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U:\PythonProject\Janssen\VTMFprocessing\Processed\"/>
    </mc:Choice>
  </mc:AlternateContent>
  <xr:revisionPtr revIDLastSave="0" documentId="13_ncr:1_{CBC082C2-CCA8-4FB6-8ACA-F9854020B0A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DD5-CZ10001" sheetId="1" r:id="rId1"/>
    <sheet name="DD5-CZ10003" sheetId="2" r:id="rId2"/>
    <sheet name="DD5-CZ10006" sheetId="3" r:id="rId3"/>
    <sheet name="DD5-CZ10009" sheetId="4" r:id="rId4"/>
    <sheet name="DD5-CZ10010" sheetId="5" r:id="rId5"/>
    <sheet name="DD5-CZ10012" sheetId="6" r:id="rId6"/>
    <sheet name="DD5-CZ10013" sheetId="7" r:id="rId7"/>
    <sheet name="DD5-CZ10015" sheetId="8" r:id="rId8"/>
    <sheet name="DD5-CZ10016" sheetId="9" r:id="rId9"/>
    <sheet name="DD5-CZ10020" sheetId="10" r:id="rId10"/>
    <sheet name="DD5-CZ10021" sheetId="11" r:id="rId11"/>
    <sheet name="DD5-CZ10022" sheetId="12" r:id="rId12"/>
    <sheet name="DD5-CZ10002" sheetId="13" r:id="rId13"/>
    <sheet name="DD5-CZ10005" sheetId="14" r:id="rId14"/>
    <sheet name="DD5-CZ10007" sheetId="15" r:id="rId15"/>
    <sheet name="DD5-CZ10008" sheetId="16" r:id="rId16"/>
    <sheet name="DD5-CZ10011" sheetId="17" r:id="rId17"/>
    <sheet name="DD5-CZ10017" sheetId="18" r:id="rId18"/>
    <sheet name="DD5-CZ10018" sheetId="19" r:id="rId19"/>
    <sheet name="DD5-CZ10019" sheetId="20" r:id="rId20"/>
    <sheet name="DD5-CZ10023" sheetId="21" r:id="rId21"/>
    <sheet name="DD5-CZ10024" sheetId="22" r:id="rId22"/>
    <sheet name="DD5-CZ10025" sheetId="23" r:id="rId23"/>
    <sheet name="DD5-CZ10026" sheetId="24" r:id="rId24"/>
  </sheets>
  <definedNames>
    <definedName name="_xlnm._FilterDatabase" localSheetId="0" hidden="1">'DD5-CZ10001'!$A$1:$Q$55</definedName>
    <definedName name="_xlnm._FilterDatabase" localSheetId="12" hidden="1">'DD5-CZ10002'!$A$1:$Q$5</definedName>
    <definedName name="_xlnm._FilterDatabase" localSheetId="1" hidden="1">'DD5-CZ10003'!$A$1:$Q$48</definedName>
    <definedName name="_xlnm._FilterDatabase" localSheetId="13" hidden="1">'DD5-CZ10005'!$A$1:$Q$5</definedName>
    <definedName name="_xlnm._FilterDatabase" localSheetId="2" hidden="1">'DD5-CZ10006'!$A$1:$Q$44</definedName>
    <definedName name="_xlnm._FilterDatabase" localSheetId="14" hidden="1">'DD5-CZ10007'!$A$1:$Q$5</definedName>
    <definedName name="_xlnm._FilterDatabase" localSheetId="15" hidden="1">'DD5-CZ10008'!$A$1:$Q$5</definedName>
    <definedName name="_xlnm._FilterDatabase" localSheetId="3" hidden="1">'DD5-CZ10009'!$A$1:$Q$32</definedName>
    <definedName name="_xlnm._FilterDatabase" localSheetId="4" hidden="1">'DD5-CZ10010'!$A$1:$Q$22</definedName>
    <definedName name="_xlnm._FilterDatabase" localSheetId="16" hidden="1">'DD5-CZ10011'!$A$1:$Q$4</definedName>
    <definedName name="_xlnm._FilterDatabase" localSheetId="5" hidden="1">'DD5-CZ10012'!$A$1:$Q$37</definedName>
    <definedName name="_xlnm._FilterDatabase" localSheetId="6" hidden="1">'DD5-CZ10013'!$A$1:$Q$35</definedName>
    <definedName name="_xlnm._FilterDatabase" localSheetId="7" hidden="1">'DD5-CZ10015'!$A$1:$Q$46</definedName>
    <definedName name="_xlnm._FilterDatabase" localSheetId="8" hidden="1">'DD5-CZ10016'!$A$1:$Q$37</definedName>
    <definedName name="_xlnm._FilterDatabase" localSheetId="17" hidden="1">'DD5-CZ10017'!$A$1:$Q$5</definedName>
    <definedName name="_xlnm._FilterDatabase" localSheetId="18" hidden="1">'DD5-CZ10018'!$A$1:$Q$5</definedName>
    <definedName name="_xlnm._FilterDatabase" localSheetId="19" hidden="1">'DD5-CZ10019'!$A$1:$Q$5</definedName>
    <definedName name="_xlnm._FilterDatabase" localSheetId="9" hidden="1">'DD5-CZ10020'!$A$1:$Q$65</definedName>
    <definedName name="_xlnm._FilterDatabase" localSheetId="10" hidden="1">'DD5-CZ10021'!$A$1:$Q$51</definedName>
    <definedName name="_xlnm._FilterDatabase" localSheetId="11" hidden="1">'DD5-CZ10022'!$A$1:$Q$91</definedName>
    <definedName name="_xlnm._FilterDatabase" localSheetId="20" hidden="1">'DD5-CZ10023'!$A$1:$Q$5</definedName>
    <definedName name="_xlnm._FilterDatabase" localSheetId="21" hidden="1">'DD5-CZ10024'!$A$1:$Q$7</definedName>
    <definedName name="_xlnm._FilterDatabase" localSheetId="22" hidden="1">'DD5-CZ10025'!$A$1:$Q$6</definedName>
    <definedName name="_xlnm._FilterDatabase" localSheetId="23" hidden="1">'DD5-CZ10026'!$A$1:$Q$5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4" l="1"/>
  <c r="A5" i="24"/>
  <c r="G4" i="24"/>
  <c r="A4" i="24"/>
  <c r="G3" i="24"/>
  <c r="A3" i="24"/>
  <c r="G2" i="24"/>
  <c r="A2" i="24"/>
  <c r="G6" i="23"/>
  <c r="A6" i="23"/>
  <c r="G5" i="23"/>
  <c r="A5" i="23"/>
  <c r="G4" i="23"/>
  <c r="A4" i="23"/>
  <c r="G3" i="23"/>
  <c r="A3" i="23"/>
  <c r="G2" i="23"/>
  <c r="A2" i="23"/>
  <c r="G7" i="22"/>
  <c r="A7" i="22"/>
  <c r="G6" i="22"/>
  <c r="A6" i="22"/>
  <c r="G5" i="22"/>
  <c r="A5" i="22"/>
  <c r="G4" i="22"/>
  <c r="A4" i="22"/>
  <c r="G3" i="22"/>
  <c r="A3" i="22"/>
  <c r="G2" i="22"/>
  <c r="A2" i="22"/>
  <c r="G5" i="21"/>
  <c r="A5" i="21"/>
  <c r="G4" i="21"/>
  <c r="A4" i="21"/>
  <c r="G3" i="21"/>
  <c r="A3" i="21"/>
  <c r="G2" i="21"/>
  <c r="A2" i="21"/>
  <c r="G5" i="20"/>
  <c r="A5" i="20"/>
  <c r="G4" i="20"/>
  <c r="A4" i="20"/>
  <c r="G3" i="20"/>
  <c r="A3" i="20"/>
  <c r="G2" i="20"/>
  <c r="A2" i="20"/>
  <c r="G5" i="19"/>
  <c r="A5" i="19"/>
  <c r="G4" i="19"/>
  <c r="A4" i="19"/>
  <c r="G3" i="19"/>
  <c r="A3" i="19"/>
  <c r="G2" i="19"/>
  <c r="A2" i="19"/>
  <c r="G5" i="18"/>
  <c r="A5" i="18"/>
  <c r="G4" i="18"/>
  <c r="A4" i="18"/>
  <c r="G3" i="18"/>
  <c r="A3" i="18"/>
  <c r="G2" i="18"/>
  <c r="A2" i="18"/>
  <c r="G4" i="17"/>
  <c r="A4" i="17"/>
  <c r="G3" i="17"/>
  <c r="A3" i="17"/>
  <c r="G2" i="17"/>
  <c r="A2" i="17"/>
  <c r="G5" i="16"/>
  <c r="A5" i="16"/>
  <c r="G4" i="16"/>
  <c r="A4" i="16"/>
  <c r="G3" i="16"/>
  <c r="A3" i="16"/>
  <c r="G2" i="16"/>
  <c r="A2" i="16"/>
  <c r="G5" i="15"/>
  <c r="A5" i="15"/>
  <c r="G4" i="15"/>
  <c r="A4" i="15"/>
  <c r="G3" i="15"/>
  <c r="A3" i="15"/>
  <c r="G2" i="15"/>
  <c r="A2" i="15"/>
  <c r="G5" i="14"/>
  <c r="A5" i="14"/>
  <c r="G4" i="14"/>
  <c r="A4" i="14"/>
  <c r="G3" i="14"/>
  <c r="A3" i="14"/>
  <c r="G2" i="14"/>
  <c r="A2" i="14"/>
  <c r="G5" i="13"/>
  <c r="A5" i="13"/>
  <c r="G4" i="13"/>
  <c r="A4" i="13"/>
  <c r="G3" i="13"/>
  <c r="A3" i="13"/>
  <c r="G2" i="13"/>
  <c r="A2" i="13"/>
  <c r="G91" i="12"/>
  <c r="A91" i="12"/>
  <c r="G90" i="12"/>
  <c r="A90" i="12"/>
  <c r="G89" i="12"/>
  <c r="A89" i="12"/>
  <c r="G88" i="12"/>
  <c r="A88" i="12"/>
  <c r="G87" i="12"/>
  <c r="A87" i="12"/>
  <c r="G86" i="12"/>
  <c r="A86" i="12"/>
  <c r="G85" i="12"/>
  <c r="A85" i="12"/>
  <c r="G84" i="12"/>
  <c r="A84" i="12"/>
  <c r="G83" i="12"/>
  <c r="A83" i="12"/>
  <c r="G82" i="12"/>
  <c r="A82" i="12"/>
  <c r="G81" i="12"/>
  <c r="A81" i="12"/>
  <c r="G80" i="12"/>
  <c r="A80" i="12"/>
  <c r="G79" i="12"/>
  <c r="A79" i="12"/>
  <c r="G78" i="12"/>
  <c r="A78" i="12"/>
  <c r="G77" i="12"/>
  <c r="A77" i="12"/>
  <c r="G76" i="12"/>
  <c r="A76" i="12"/>
  <c r="G75" i="12"/>
  <c r="A75" i="12"/>
  <c r="G74" i="12"/>
  <c r="A74" i="12"/>
  <c r="G73" i="12"/>
  <c r="A73" i="12"/>
  <c r="G72" i="12"/>
  <c r="A72" i="12"/>
  <c r="G71" i="12"/>
  <c r="A71" i="12"/>
  <c r="G70" i="12"/>
  <c r="A70" i="12"/>
  <c r="G69" i="12"/>
  <c r="A69" i="12"/>
  <c r="G68" i="12"/>
  <c r="A68" i="12"/>
  <c r="G67" i="12"/>
  <c r="A67" i="12"/>
  <c r="G66" i="12"/>
  <c r="A66" i="12"/>
  <c r="G65" i="12"/>
  <c r="A65" i="12"/>
  <c r="G64" i="12"/>
  <c r="A64" i="12"/>
  <c r="G63" i="12"/>
  <c r="A63" i="12"/>
  <c r="G62" i="12"/>
  <c r="A62" i="12"/>
  <c r="G61" i="12"/>
  <c r="A61" i="12"/>
  <c r="G60" i="12"/>
  <c r="A60" i="12"/>
  <c r="G59" i="12"/>
  <c r="A59" i="12"/>
  <c r="G58" i="12"/>
  <c r="A58" i="12"/>
  <c r="G57" i="12"/>
  <c r="A57" i="12"/>
  <c r="G56" i="12"/>
  <c r="A56" i="12"/>
  <c r="G55" i="12"/>
  <c r="A55" i="12"/>
  <c r="G54" i="12"/>
  <c r="A54" i="12"/>
  <c r="G53" i="12"/>
  <c r="A53" i="12"/>
  <c r="G52" i="12"/>
  <c r="A52" i="12"/>
  <c r="G51" i="12"/>
  <c r="A51" i="12"/>
  <c r="G50" i="12"/>
  <c r="A50" i="12"/>
  <c r="G49" i="12"/>
  <c r="A49" i="12"/>
  <c r="G48" i="12"/>
  <c r="A48" i="12"/>
  <c r="G47" i="12"/>
  <c r="A47" i="12"/>
  <c r="G46" i="12"/>
  <c r="A46" i="12"/>
  <c r="G45" i="12"/>
  <c r="A45" i="12"/>
  <c r="G44" i="12"/>
  <c r="A44" i="12"/>
  <c r="G43" i="12"/>
  <c r="A43" i="12"/>
  <c r="G42" i="12"/>
  <c r="A42" i="12"/>
  <c r="G41" i="12"/>
  <c r="A41" i="12"/>
  <c r="G40" i="12"/>
  <c r="A40" i="12"/>
  <c r="G39" i="12"/>
  <c r="A39" i="12"/>
  <c r="G38" i="12"/>
  <c r="A38" i="12"/>
  <c r="G37" i="12"/>
  <c r="A37" i="12"/>
  <c r="G36" i="12"/>
  <c r="A36" i="12"/>
  <c r="G35" i="12"/>
  <c r="A35" i="12"/>
  <c r="G34" i="12"/>
  <c r="A34" i="12"/>
  <c r="G33" i="12"/>
  <c r="A33" i="12"/>
  <c r="G32" i="12"/>
  <c r="A32" i="12"/>
  <c r="G31" i="12"/>
  <c r="A31" i="12"/>
  <c r="G30" i="12"/>
  <c r="A30" i="12"/>
  <c r="G29" i="12"/>
  <c r="A29" i="12"/>
  <c r="G28" i="12"/>
  <c r="A28" i="12"/>
  <c r="G27" i="12"/>
  <c r="A27" i="12"/>
  <c r="G26" i="12"/>
  <c r="A26" i="12"/>
  <c r="G25" i="12"/>
  <c r="A25" i="12"/>
  <c r="G24" i="12"/>
  <c r="A24" i="12"/>
  <c r="G23" i="12"/>
  <c r="A23" i="12"/>
  <c r="G22" i="12"/>
  <c r="A22" i="12"/>
  <c r="G21" i="12"/>
  <c r="A21" i="12"/>
  <c r="G20" i="12"/>
  <c r="A20" i="12"/>
  <c r="G19" i="12"/>
  <c r="A19" i="12"/>
  <c r="G18" i="12"/>
  <c r="A18" i="12"/>
  <c r="G17" i="12"/>
  <c r="A17" i="12"/>
  <c r="G16" i="12"/>
  <c r="A16" i="12"/>
  <c r="G15" i="12"/>
  <c r="A15" i="12"/>
  <c r="G14" i="12"/>
  <c r="A14" i="12"/>
  <c r="G13" i="12"/>
  <c r="A13" i="12"/>
  <c r="G12" i="12"/>
  <c r="A12" i="12"/>
  <c r="G11" i="12"/>
  <c r="A11" i="12"/>
  <c r="G10" i="12"/>
  <c r="A10" i="12"/>
  <c r="G9" i="12"/>
  <c r="A9" i="12"/>
  <c r="G8" i="12"/>
  <c r="A8" i="12"/>
  <c r="G7" i="12"/>
  <c r="A7" i="12"/>
  <c r="G6" i="12"/>
  <c r="A6" i="12"/>
  <c r="G5" i="12"/>
  <c r="A5" i="12"/>
  <c r="G4" i="12"/>
  <c r="A4" i="12"/>
  <c r="G3" i="12"/>
  <c r="A3" i="12"/>
  <c r="G2" i="12"/>
  <c r="A2" i="12"/>
  <c r="G51" i="11"/>
  <c r="A51" i="11"/>
  <c r="G50" i="11"/>
  <c r="A50" i="11"/>
  <c r="G49" i="11"/>
  <c r="A49" i="11"/>
  <c r="G48" i="11"/>
  <c r="A48" i="11"/>
  <c r="G47" i="11"/>
  <c r="A47" i="11"/>
  <c r="G46" i="11"/>
  <c r="A46" i="11"/>
  <c r="G45" i="11"/>
  <c r="A45" i="11"/>
  <c r="G44" i="11"/>
  <c r="A44" i="11"/>
  <c r="G43" i="11"/>
  <c r="A43" i="11"/>
  <c r="G42" i="11"/>
  <c r="A42" i="11"/>
  <c r="G41" i="11"/>
  <c r="A41" i="11"/>
  <c r="G40" i="11"/>
  <c r="A40" i="11"/>
  <c r="G39" i="11"/>
  <c r="A39" i="11"/>
  <c r="G38" i="11"/>
  <c r="A38" i="11"/>
  <c r="G37" i="11"/>
  <c r="A37" i="11"/>
  <c r="G36" i="11"/>
  <c r="A36" i="11"/>
  <c r="G35" i="11"/>
  <c r="A35" i="11"/>
  <c r="G34" i="11"/>
  <c r="A34" i="11"/>
  <c r="G33" i="11"/>
  <c r="A33" i="11"/>
  <c r="G32" i="11"/>
  <c r="A32" i="11"/>
  <c r="G31" i="11"/>
  <c r="A31" i="11"/>
  <c r="G30" i="11"/>
  <c r="A30" i="11"/>
  <c r="G29" i="11"/>
  <c r="A29" i="11"/>
  <c r="G28" i="11"/>
  <c r="A28" i="11"/>
  <c r="G27" i="11"/>
  <c r="A27" i="11"/>
  <c r="G26" i="11"/>
  <c r="A26" i="11"/>
  <c r="G25" i="11"/>
  <c r="A25" i="11"/>
  <c r="G24" i="11"/>
  <c r="A24" i="11"/>
  <c r="G23" i="11"/>
  <c r="A23" i="11"/>
  <c r="G22" i="11"/>
  <c r="A22" i="11"/>
  <c r="G21" i="11"/>
  <c r="A21" i="11"/>
  <c r="G20" i="11"/>
  <c r="A20" i="11"/>
  <c r="G19" i="11"/>
  <c r="A19" i="11"/>
  <c r="G18" i="11"/>
  <c r="A18" i="11"/>
  <c r="G17" i="11"/>
  <c r="A17" i="11"/>
  <c r="G16" i="11"/>
  <c r="A16" i="11"/>
  <c r="G15" i="11"/>
  <c r="A15" i="11"/>
  <c r="G14" i="11"/>
  <c r="A14" i="11"/>
  <c r="G13" i="11"/>
  <c r="A13" i="11"/>
  <c r="G12" i="11"/>
  <c r="A12" i="11"/>
  <c r="G11" i="11"/>
  <c r="A11" i="11"/>
  <c r="G10" i="11"/>
  <c r="A10" i="11"/>
  <c r="G9" i="11"/>
  <c r="A9" i="11"/>
  <c r="G8" i="11"/>
  <c r="A8" i="11"/>
  <c r="G7" i="11"/>
  <c r="A7" i="11"/>
  <c r="G6" i="11"/>
  <c r="A6" i="11"/>
  <c r="G5" i="11"/>
  <c r="A5" i="11"/>
  <c r="G4" i="11"/>
  <c r="A4" i="11"/>
  <c r="G3" i="11"/>
  <c r="A3" i="11"/>
  <c r="G2" i="11"/>
  <c r="A2" i="11"/>
  <c r="G65" i="10"/>
  <c r="A65" i="10"/>
  <c r="G64" i="10"/>
  <c r="A64" i="10"/>
  <c r="G63" i="10"/>
  <c r="A63" i="10"/>
  <c r="G62" i="10"/>
  <c r="A62" i="10"/>
  <c r="G61" i="10"/>
  <c r="A61" i="10"/>
  <c r="G60" i="10"/>
  <c r="A60" i="10"/>
  <c r="G59" i="10"/>
  <c r="A59" i="10"/>
  <c r="G58" i="10"/>
  <c r="A58" i="10"/>
  <c r="G57" i="10"/>
  <c r="A57" i="10"/>
  <c r="G56" i="10"/>
  <c r="A56" i="10"/>
  <c r="G55" i="10"/>
  <c r="A55" i="10"/>
  <c r="G54" i="10"/>
  <c r="A54" i="10"/>
  <c r="G53" i="10"/>
  <c r="A53" i="10"/>
  <c r="G52" i="10"/>
  <c r="A52" i="10"/>
  <c r="G51" i="10"/>
  <c r="A51" i="10"/>
  <c r="G50" i="10"/>
  <c r="A50" i="10"/>
  <c r="G49" i="10"/>
  <c r="A49" i="10"/>
  <c r="G48" i="10"/>
  <c r="A48" i="10"/>
  <c r="G47" i="10"/>
  <c r="A47" i="10"/>
  <c r="G46" i="10"/>
  <c r="A46" i="10"/>
  <c r="G45" i="10"/>
  <c r="A45" i="10"/>
  <c r="G44" i="10"/>
  <c r="A44" i="10"/>
  <c r="G43" i="10"/>
  <c r="A43" i="10"/>
  <c r="G42" i="10"/>
  <c r="A42" i="10"/>
  <c r="G41" i="10"/>
  <c r="A41" i="10"/>
  <c r="G40" i="10"/>
  <c r="A40" i="10"/>
  <c r="G39" i="10"/>
  <c r="A39" i="10"/>
  <c r="G38" i="10"/>
  <c r="A38" i="10"/>
  <c r="G37" i="10"/>
  <c r="A37" i="10"/>
  <c r="G36" i="10"/>
  <c r="A36" i="10"/>
  <c r="G35" i="10"/>
  <c r="A35" i="10"/>
  <c r="G34" i="10"/>
  <c r="A34" i="10"/>
  <c r="G33" i="10"/>
  <c r="A33" i="10"/>
  <c r="G32" i="10"/>
  <c r="A32" i="10"/>
  <c r="G31" i="10"/>
  <c r="A31" i="10"/>
  <c r="G30" i="10"/>
  <c r="A30" i="10"/>
  <c r="G29" i="10"/>
  <c r="A29" i="10"/>
  <c r="G28" i="10"/>
  <c r="A28" i="10"/>
  <c r="G27" i="10"/>
  <c r="A27" i="10"/>
  <c r="G26" i="10"/>
  <c r="A26" i="10"/>
  <c r="G25" i="10"/>
  <c r="A25" i="10"/>
  <c r="G24" i="10"/>
  <c r="A24" i="10"/>
  <c r="G23" i="10"/>
  <c r="A23" i="10"/>
  <c r="G22" i="10"/>
  <c r="A22" i="10"/>
  <c r="G21" i="10"/>
  <c r="A21" i="10"/>
  <c r="G20" i="10"/>
  <c r="A20" i="10"/>
  <c r="G19" i="10"/>
  <c r="A19" i="10"/>
  <c r="G18" i="10"/>
  <c r="A18" i="10"/>
  <c r="G17" i="10"/>
  <c r="A17" i="10"/>
  <c r="G16" i="10"/>
  <c r="A16" i="10"/>
  <c r="G15" i="10"/>
  <c r="A15" i="10"/>
  <c r="G14" i="10"/>
  <c r="A14" i="10"/>
  <c r="G13" i="10"/>
  <c r="A13" i="10"/>
  <c r="G12" i="10"/>
  <c r="A12" i="10"/>
  <c r="G11" i="10"/>
  <c r="A11" i="10"/>
  <c r="G10" i="10"/>
  <c r="A10" i="10"/>
  <c r="G9" i="10"/>
  <c r="A9" i="10"/>
  <c r="G8" i="10"/>
  <c r="A8" i="10"/>
  <c r="G7" i="10"/>
  <c r="A7" i="10"/>
  <c r="G6" i="10"/>
  <c r="A6" i="10"/>
  <c r="G5" i="10"/>
  <c r="A5" i="10"/>
  <c r="G4" i="10"/>
  <c r="A4" i="10"/>
  <c r="G3" i="10"/>
  <c r="A3" i="10"/>
  <c r="G2" i="10"/>
  <c r="A2" i="10"/>
  <c r="G37" i="9"/>
  <c r="A37" i="9"/>
  <c r="G36" i="9"/>
  <c r="A36" i="9"/>
  <c r="G35" i="9"/>
  <c r="A35" i="9"/>
  <c r="G34" i="9"/>
  <c r="A34" i="9"/>
  <c r="G33" i="9"/>
  <c r="A33" i="9"/>
  <c r="G32" i="9"/>
  <c r="A32" i="9"/>
  <c r="G31" i="9"/>
  <c r="A31" i="9"/>
  <c r="G30" i="9"/>
  <c r="A30" i="9"/>
  <c r="G29" i="9"/>
  <c r="A29" i="9"/>
  <c r="G28" i="9"/>
  <c r="A28" i="9"/>
  <c r="G27" i="9"/>
  <c r="A27" i="9"/>
  <c r="G26" i="9"/>
  <c r="A26" i="9"/>
  <c r="G25" i="9"/>
  <c r="A25" i="9"/>
  <c r="G24" i="9"/>
  <c r="A24" i="9"/>
  <c r="G23" i="9"/>
  <c r="A23" i="9"/>
  <c r="G22" i="9"/>
  <c r="A22" i="9"/>
  <c r="G21" i="9"/>
  <c r="A21" i="9"/>
  <c r="G20" i="9"/>
  <c r="A20" i="9"/>
  <c r="G19" i="9"/>
  <c r="A19" i="9"/>
  <c r="G18" i="9"/>
  <c r="A18" i="9"/>
  <c r="G17" i="9"/>
  <c r="A17" i="9"/>
  <c r="G16" i="9"/>
  <c r="A16" i="9"/>
  <c r="G15" i="9"/>
  <c r="A15" i="9"/>
  <c r="G14" i="9"/>
  <c r="A14" i="9"/>
  <c r="G13" i="9"/>
  <c r="A13" i="9"/>
  <c r="G12" i="9"/>
  <c r="A12" i="9"/>
  <c r="G11" i="9"/>
  <c r="A11" i="9"/>
  <c r="G10" i="9"/>
  <c r="A10" i="9"/>
  <c r="G9" i="9"/>
  <c r="A9" i="9"/>
  <c r="G8" i="9"/>
  <c r="A8" i="9"/>
  <c r="G7" i="9"/>
  <c r="A7" i="9"/>
  <c r="G6" i="9"/>
  <c r="A6" i="9"/>
  <c r="G5" i="9"/>
  <c r="A5" i="9"/>
  <c r="G4" i="9"/>
  <c r="A4" i="9"/>
  <c r="G3" i="9"/>
  <c r="A3" i="9"/>
  <c r="G2" i="9"/>
  <c r="A2" i="9"/>
  <c r="G46" i="8"/>
  <c r="A46" i="8"/>
  <c r="G45" i="8"/>
  <c r="A45" i="8"/>
  <c r="G44" i="8"/>
  <c r="A44" i="8"/>
  <c r="G43" i="8"/>
  <c r="A43" i="8"/>
  <c r="G42" i="8"/>
  <c r="A42" i="8"/>
  <c r="G41" i="8"/>
  <c r="A41" i="8"/>
  <c r="G40" i="8"/>
  <c r="A40" i="8"/>
  <c r="G39" i="8"/>
  <c r="A39" i="8"/>
  <c r="G38" i="8"/>
  <c r="A38" i="8"/>
  <c r="G37" i="8"/>
  <c r="A37" i="8"/>
  <c r="G36" i="8"/>
  <c r="A36" i="8"/>
  <c r="G35" i="8"/>
  <c r="A35" i="8"/>
  <c r="G34" i="8"/>
  <c r="A34" i="8"/>
  <c r="G33" i="8"/>
  <c r="A33" i="8"/>
  <c r="G32" i="8"/>
  <c r="A32" i="8"/>
  <c r="G31" i="8"/>
  <c r="A31" i="8"/>
  <c r="G30" i="8"/>
  <c r="A30" i="8"/>
  <c r="G29" i="8"/>
  <c r="A29" i="8"/>
  <c r="G28" i="8"/>
  <c r="A28" i="8"/>
  <c r="G27" i="8"/>
  <c r="A27" i="8"/>
  <c r="G26" i="8"/>
  <c r="A26" i="8"/>
  <c r="G25" i="8"/>
  <c r="A25" i="8"/>
  <c r="G24" i="8"/>
  <c r="A24" i="8"/>
  <c r="G23" i="8"/>
  <c r="A23" i="8"/>
  <c r="G22" i="8"/>
  <c r="A22" i="8"/>
  <c r="G21" i="8"/>
  <c r="A21" i="8"/>
  <c r="G20" i="8"/>
  <c r="A20" i="8"/>
  <c r="G19" i="8"/>
  <c r="A19" i="8"/>
  <c r="G18" i="8"/>
  <c r="A18" i="8"/>
  <c r="G17" i="8"/>
  <c r="A17" i="8"/>
  <c r="G16" i="8"/>
  <c r="A16" i="8"/>
  <c r="G15" i="8"/>
  <c r="A15" i="8"/>
  <c r="G14" i="8"/>
  <c r="A14" i="8"/>
  <c r="G13" i="8"/>
  <c r="A13" i="8"/>
  <c r="G12" i="8"/>
  <c r="A12" i="8"/>
  <c r="G11" i="8"/>
  <c r="A11" i="8"/>
  <c r="G10" i="8"/>
  <c r="A10" i="8"/>
  <c r="G9" i="8"/>
  <c r="A9" i="8"/>
  <c r="G8" i="8"/>
  <c r="A8" i="8"/>
  <c r="G7" i="8"/>
  <c r="A7" i="8"/>
  <c r="G6" i="8"/>
  <c r="A6" i="8"/>
  <c r="G5" i="8"/>
  <c r="A5" i="8"/>
  <c r="G4" i="8"/>
  <c r="A4" i="8"/>
  <c r="G3" i="8"/>
  <c r="A3" i="8"/>
  <c r="G2" i="8"/>
  <c r="A2" i="8"/>
  <c r="G35" i="7"/>
  <c r="A35" i="7"/>
  <c r="G34" i="7"/>
  <c r="A34" i="7"/>
  <c r="G33" i="7"/>
  <c r="A33" i="7"/>
  <c r="G32" i="7"/>
  <c r="A32" i="7"/>
  <c r="G31" i="7"/>
  <c r="A31" i="7"/>
  <c r="G30" i="7"/>
  <c r="A30" i="7"/>
  <c r="G29" i="7"/>
  <c r="A29" i="7"/>
  <c r="G28" i="7"/>
  <c r="A28" i="7"/>
  <c r="G27" i="7"/>
  <c r="A27" i="7"/>
  <c r="G26" i="7"/>
  <c r="A26" i="7"/>
  <c r="G25" i="7"/>
  <c r="A25" i="7"/>
  <c r="G24" i="7"/>
  <c r="A24" i="7"/>
  <c r="G23" i="7"/>
  <c r="A23" i="7"/>
  <c r="G22" i="7"/>
  <c r="A22" i="7"/>
  <c r="G21" i="7"/>
  <c r="A21" i="7"/>
  <c r="G20" i="7"/>
  <c r="A20" i="7"/>
  <c r="G19" i="7"/>
  <c r="A19" i="7"/>
  <c r="G18" i="7"/>
  <c r="A18" i="7"/>
  <c r="G17" i="7"/>
  <c r="A17" i="7"/>
  <c r="G16" i="7"/>
  <c r="A16" i="7"/>
  <c r="G15" i="7"/>
  <c r="A15" i="7"/>
  <c r="G14" i="7"/>
  <c r="A14" i="7"/>
  <c r="G13" i="7"/>
  <c r="A13" i="7"/>
  <c r="G12" i="7"/>
  <c r="A12" i="7"/>
  <c r="G11" i="7"/>
  <c r="A11" i="7"/>
  <c r="G10" i="7"/>
  <c r="A10" i="7"/>
  <c r="G9" i="7"/>
  <c r="A9" i="7"/>
  <c r="G8" i="7"/>
  <c r="A8" i="7"/>
  <c r="G7" i="7"/>
  <c r="A7" i="7"/>
  <c r="G6" i="7"/>
  <c r="A6" i="7"/>
  <c r="G5" i="7"/>
  <c r="A5" i="7"/>
  <c r="G4" i="7"/>
  <c r="A4" i="7"/>
  <c r="G3" i="7"/>
  <c r="A3" i="7"/>
  <c r="G2" i="7"/>
  <c r="A2" i="7"/>
  <c r="G37" i="6"/>
  <c r="A37" i="6"/>
  <c r="G36" i="6"/>
  <c r="A36" i="6"/>
  <c r="G35" i="6"/>
  <c r="A35" i="6"/>
  <c r="G34" i="6"/>
  <c r="A34" i="6"/>
  <c r="G33" i="6"/>
  <c r="A33" i="6"/>
  <c r="G32" i="6"/>
  <c r="A32" i="6"/>
  <c r="G31" i="6"/>
  <c r="A31" i="6"/>
  <c r="G30" i="6"/>
  <c r="A30" i="6"/>
  <c r="G29" i="6"/>
  <c r="A29" i="6"/>
  <c r="G28" i="6"/>
  <c r="A28" i="6"/>
  <c r="G27" i="6"/>
  <c r="A27" i="6"/>
  <c r="G26" i="6"/>
  <c r="A26" i="6"/>
  <c r="G25" i="6"/>
  <c r="A25" i="6"/>
  <c r="G24" i="6"/>
  <c r="A24" i="6"/>
  <c r="G23" i="6"/>
  <c r="A23" i="6"/>
  <c r="G22" i="6"/>
  <c r="A22" i="6"/>
  <c r="G21" i="6"/>
  <c r="A21" i="6"/>
  <c r="G20" i="6"/>
  <c r="A20" i="6"/>
  <c r="G19" i="6"/>
  <c r="A19" i="6"/>
  <c r="G18" i="6"/>
  <c r="A18" i="6"/>
  <c r="G17" i="6"/>
  <c r="A17" i="6"/>
  <c r="G16" i="6"/>
  <c r="A16" i="6"/>
  <c r="G15" i="6"/>
  <c r="A15" i="6"/>
  <c r="G14" i="6"/>
  <c r="A14" i="6"/>
  <c r="G13" i="6"/>
  <c r="A13" i="6"/>
  <c r="G12" i="6"/>
  <c r="A12" i="6"/>
  <c r="G11" i="6"/>
  <c r="A11" i="6"/>
  <c r="G10" i="6"/>
  <c r="A10" i="6"/>
  <c r="G9" i="6"/>
  <c r="A9" i="6"/>
  <c r="G8" i="6"/>
  <c r="A8" i="6"/>
  <c r="G7" i="6"/>
  <c r="A7" i="6"/>
  <c r="G6" i="6"/>
  <c r="A6" i="6"/>
  <c r="G5" i="6"/>
  <c r="A5" i="6"/>
  <c r="G4" i="6"/>
  <c r="A4" i="6"/>
  <c r="G3" i="6"/>
  <c r="A3" i="6"/>
  <c r="G2" i="6"/>
  <c r="A2" i="6"/>
  <c r="G22" i="5"/>
  <c r="A22" i="5"/>
  <c r="G21" i="5"/>
  <c r="A21" i="5"/>
  <c r="G20" i="5"/>
  <c r="A20" i="5"/>
  <c r="G19" i="5"/>
  <c r="A19" i="5"/>
  <c r="G18" i="5"/>
  <c r="A18" i="5"/>
  <c r="G17" i="5"/>
  <c r="A17" i="5"/>
  <c r="G16" i="5"/>
  <c r="A16" i="5"/>
  <c r="G15" i="5"/>
  <c r="A15" i="5"/>
  <c r="G14" i="5"/>
  <c r="A14" i="5"/>
  <c r="G13" i="5"/>
  <c r="A13" i="5"/>
  <c r="G12" i="5"/>
  <c r="A12" i="5"/>
  <c r="G11" i="5"/>
  <c r="A11" i="5"/>
  <c r="G10" i="5"/>
  <c r="A10" i="5"/>
  <c r="G9" i="5"/>
  <c r="A9" i="5"/>
  <c r="G8" i="5"/>
  <c r="A8" i="5"/>
  <c r="G7" i="5"/>
  <c r="A7" i="5"/>
  <c r="G6" i="5"/>
  <c r="A6" i="5"/>
  <c r="G5" i="5"/>
  <c r="A5" i="5"/>
  <c r="G4" i="5"/>
  <c r="A4" i="5"/>
  <c r="G3" i="5"/>
  <c r="A3" i="5"/>
  <c r="G2" i="5"/>
  <c r="A2" i="5"/>
  <c r="G32" i="4"/>
  <c r="A32" i="4"/>
  <c r="G31" i="4"/>
  <c r="A31" i="4"/>
  <c r="G30" i="4"/>
  <c r="A30" i="4"/>
  <c r="G29" i="4"/>
  <c r="A29" i="4"/>
  <c r="G28" i="4"/>
  <c r="A28" i="4"/>
  <c r="G27" i="4"/>
  <c r="A27" i="4"/>
  <c r="G26" i="4"/>
  <c r="A26" i="4"/>
  <c r="G25" i="4"/>
  <c r="A25" i="4"/>
  <c r="G24" i="4"/>
  <c r="A24" i="4"/>
  <c r="G23" i="4"/>
  <c r="A23" i="4"/>
  <c r="G22" i="4"/>
  <c r="A22" i="4"/>
  <c r="G21" i="4"/>
  <c r="A21" i="4"/>
  <c r="G20" i="4"/>
  <c r="A20" i="4"/>
  <c r="G19" i="4"/>
  <c r="A19" i="4"/>
  <c r="G18" i="4"/>
  <c r="A18" i="4"/>
  <c r="G17" i="4"/>
  <c r="A17" i="4"/>
  <c r="G16" i="4"/>
  <c r="A16" i="4"/>
  <c r="G15" i="4"/>
  <c r="A15" i="4"/>
  <c r="G14" i="4"/>
  <c r="A14" i="4"/>
  <c r="G13" i="4"/>
  <c r="A13" i="4"/>
  <c r="G12" i="4"/>
  <c r="A12" i="4"/>
  <c r="G11" i="4"/>
  <c r="A11" i="4"/>
  <c r="G10" i="4"/>
  <c r="A10" i="4"/>
  <c r="G9" i="4"/>
  <c r="A9" i="4"/>
  <c r="G8" i="4"/>
  <c r="A8" i="4"/>
  <c r="G7" i="4"/>
  <c r="A7" i="4"/>
  <c r="G6" i="4"/>
  <c r="A6" i="4"/>
  <c r="G5" i="4"/>
  <c r="A5" i="4"/>
  <c r="G4" i="4"/>
  <c r="A4" i="4"/>
  <c r="G3" i="4"/>
  <c r="A3" i="4"/>
  <c r="G2" i="4"/>
  <c r="A2" i="4"/>
  <c r="G44" i="3"/>
  <c r="A44" i="3"/>
  <c r="G43" i="3"/>
  <c r="A43" i="3"/>
  <c r="G42" i="3"/>
  <c r="A42" i="3"/>
  <c r="G41" i="3"/>
  <c r="A41" i="3"/>
  <c r="G40" i="3"/>
  <c r="A40" i="3"/>
  <c r="G39" i="3"/>
  <c r="A39" i="3"/>
  <c r="G38" i="3"/>
  <c r="A38" i="3"/>
  <c r="G37" i="3"/>
  <c r="A37" i="3"/>
  <c r="G36" i="3"/>
  <c r="A36" i="3"/>
  <c r="G35" i="3"/>
  <c r="A35" i="3"/>
  <c r="G34" i="3"/>
  <c r="A34" i="3"/>
  <c r="G33" i="3"/>
  <c r="A33" i="3"/>
  <c r="G32" i="3"/>
  <c r="A32" i="3"/>
  <c r="G31" i="3"/>
  <c r="A31" i="3"/>
  <c r="G30" i="3"/>
  <c r="A30" i="3"/>
  <c r="G29" i="3"/>
  <c r="A29" i="3"/>
  <c r="G28" i="3"/>
  <c r="A28" i="3"/>
  <c r="G27" i="3"/>
  <c r="A27" i="3"/>
  <c r="G26" i="3"/>
  <c r="A26" i="3"/>
  <c r="G25" i="3"/>
  <c r="A25" i="3"/>
  <c r="G24" i="3"/>
  <c r="A24" i="3"/>
  <c r="G23" i="3"/>
  <c r="A23" i="3"/>
  <c r="G22" i="3"/>
  <c r="A22" i="3"/>
  <c r="G21" i="3"/>
  <c r="A21" i="3"/>
  <c r="G20" i="3"/>
  <c r="A20" i="3"/>
  <c r="G19" i="3"/>
  <c r="A19" i="3"/>
  <c r="G18" i="3"/>
  <c r="A18" i="3"/>
  <c r="G17" i="3"/>
  <c r="A17" i="3"/>
  <c r="G16" i="3"/>
  <c r="A16" i="3"/>
  <c r="G15" i="3"/>
  <c r="A15" i="3"/>
  <c r="G14" i="3"/>
  <c r="A14" i="3"/>
  <c r="G13" i="3"/>
  <c r="A13" i="3"/>
  <c r="G12" i="3"/>
  <c r="A12" i="3"/>
  <c r="G11" i="3"/>
  <c r="A11" i="3"/>
  <c r="G10" i="3"/>
  <c r="A10" i="3"/>
  <c r="G9" i="3"/>
  <c r="A9" i="3"/>
  <c r="G8" i="3"/>
  <c r="A8" i="3"/>
  <c r="G7" i="3"/>
  <c r="A7" i="3"/>
  <c r="G6" i="3"/>
  <c r="A6" i="3"/>
  <c r="G5" i="3"/>
  <c r="A5" i="3"/>
  <c r="G4" i="3"/>
  <c r="A4" i="3"/>
  <c r="G3" i="3"/>
  <c r="A3" i="3"/>
  <c r="G2" i="3"/>
  <c r="A2" i="3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G3" i="2"/>
  <c r="A3" i="2"/>
  <c r="G2" i="2"/>
  <c r="A2" i="2"/>
  <c r="G55" i="1"/>
  <c r="A55" i="1"/>
  <c r="G54" i="1"/>
  <c r="A54" i="1"/>
  <c r="G53" i="1"/>
  <c r="A53" i="1"/>
  <c r="G52" i="1"/>
  <c r="A52" i="1"/>
  <c r="G51" i="1"/>
  <c r="A51" i="1"/>
  <c r="G50" i="1"/>
  <c r="A50" i="1"/>
  <c r="G49" i="1"/>
  <c r="A49" i="1"/>
  <c r="G48" i="1"/>
  <c r="A48" i="1"/>
  <c r="G47" i="1"/>
  <c r="A47" i="1"/>
  <c r="G46" i="1"/>
  <c r="A46" i="1"/>
  <c r="G45" i="1"/>
  <c r="A45" i="1"/>
  <c r="G44" i="1"/>
  <c r="A44" i="1"/>
  <c r="G43" i="1"/>
  <c r="A43" i="1"/>
  <c r="G42" i="1"/>
  <c r="A42" i="1"/>
  <c r="G41" i="1"/>
  <c r="A41" i="1"/>
  <c r="G40" i="1"/>
  <c r="A40" i="1"/>
  <c r="G39" i="1"/>
  <c r="A39" i="1"/>
  <c r="G38" i="1"/>
  <c r="A38" i="1"/>
  <c r="G37" i="1"/>
  <c r="A37" i="1"/>
  <c r="G36" i="1"/>
  <c r="A36" i="1"/>
  <c r="G35" i="1"/>
  <c r="A35" i="1"/>
  <c r="G34" i="1"/>
  <c r="A34" i="1"/>
  <c r="G33" i="1"/>
  <c r="A33" i="1"/>
  <c r="G32" i="1"/>
  <c r="A32" i="1"/>
  <c r="G31" i="1"/>
  <c r="A31" i="1"/>
  <c r="G30" i="1"/>
  <c r="A30" i="1"/>
  <c r="G29" i="1"/>
  <c r="A29" i="1"/>
  <c r="G28" i="1"/>
  <c r="A28" i="1"/>
  <c r="G27" i="1"/>
  <c r="A27" i="1"/>
  <c r="G26" i="1"/>
  <c r="A26" i="1"/>
  <c r="G25" i="1"/>
  <c r="A25" i="1"/>
  <c r="G24" i="1"/>
  <c r="A24" i="1"/>
  <c r="G23" i="1"/>
  <c r="A23" i="1"/>
  <c r="G22" i="1"/>
  <c r="A22" i="1"/>
  <c r="G21" i="1"/>
  <c r="A21" i="1"/>
  <c r="G20" i="1"/>
  <c r="A20" i="1"/>
  <c r="G19" i="1"/>
  <c r="A19" i="1"/>
  <c r="G18" i="1"/>
  <c r="A18" i="1"/>
  <c r="G17" i="1"/>
  <c r="A17" i="1"/>
  <c r="G16" i="1"/>
  <c r="A16" i="1"/>
  <c r="G15" i="1"/>
  <c r="A15" i="1"/>
  <c r="G14" i="1"/>
  <c r="A14" i="1"/>
  <c r="G13" i="1"/>
  <c r="A13" i="1"/>
  <c r="G12" i="1"/>
  <c r="A12" i="1"/>
  <c r="G11" i="1"/>
  <c r="A11" i="1"/>
  <c r="G10" i="1"/>
  <c r="A10" i="1"/>
  <c r="G9" i="1"/>
  <c r="A9" i="1"/>
  <c r="G8" i="1"/>
  <c r="A8" i="1"/>
  <c r="G7" i="1"/>
  <c r="A7" i="1"/>
  <c r="G6" i="1"/>
  <c r="A6" i="1"/>
  <c r="G5" i="1"/>
  <c r="A5" i="1"/>
  <c r="G4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<sst xmlns="http://schemas.openxmlformats.org/spreadsheetml/2006/main" count="7473" uniqueCount="569">
  <si>
    <t>Document Name</t>
  </si>
  <si>
    <t>Created By</t>
  </si>
  <si>
    <t>Type</t>
  </si>
  <si>
    <t>Subtype</t>
  </si>
  <si>
    <t>Classification</t>
  </si>
  <si>
    <t>Description</t>
  </si>
  <si>
    <t>Document Number</t>
  </si>
  <si>
    <t>External System Name</t>
  </si>
  <si>
    <t>Last Modified By</t>
  </si>
  <si>
    <t>Version Created By</t>
  </si>
  <si>
    <t>Version Creation Date</t>
  </si>
  <si>
    <t>Approval Complete Date</t>
  </si>
  <si>
    <t>Document Status</t>
  </si>
  <si>
    <t>Process Name</t>
  </si>
  <si>
    <t>Study Country</t>
  </si>
  <si>
    <t>Site</t>
  </si>
  <si>
    <t>Study</t>
  </si>
  <si>
    <t>Daniela Trekovalova</t>
  </si>
  <si>
    <t>Site Management</t>
  </si>
  <si>
    <t>General</t>
  </si>
  <si>
    <t>Relevant Communications</t>
  </si>
  <si>
    <t>Email_Randomisation with mMayo3;20Apr2026</t>
  </si>
  <si>
    <t>System</t>
  </si>
  <si>
    <t>Approved</t>
  </si>
  <si>
    <t>Available for Distribution, Country Close, Site Close, Study Close</t>
  </si>
  <si>
    <t>Czech Republic</t>
  </si>
  <si>
    <t>DD5-CZ10001</t>
  </si>
  <si>
    <t>77242113UCO3001</t>
  </si>
  <si>
    <t>IP and Trial Supplies</t>
  </si>
  <si>
    <t>Non-IP Documentation</t>
  </si>
  <si>
    <t>Non-IP Shipment Documentation</t>
  </si>
  <si>
    <t>NIPSF_PCIv5.1_LabManualv3_Trainings_26Mar2026</t>
  </si>
  <si>
    <t>CLIX Filing, Country Start, Site Start</t>
  </si>
  <si>
    <t>NIPSF_Insurance 2026_25Feb2026</t>
  </si>
  <si>
    <t>NIPSF_Pt Material Stooll Coll_18Dec2025</t>
  </si>
  <si>
    <t>Agnesa Ruiz Kajtarova</t>
  </si>
  <si>
    <t>Relevant Communication_Screening Prohibition for Closed Cohorts_23MAR2026_08APR2026</t>
  </si>
  <si>
    <t>Relevant communication_Patient CZ100012002  screening approval from Medical director_25FEB2026</t>
  </si>
  <si>
    <t>Admin User Medidata</t>
  </si>
  <si>
    <t>Monitoring Visit Follow-up Letter</t>
  </si>
  <si>
    <t>Jasmine James</t>
  </si>
  <si>
    <t>Available for Distribution, CLIX Filing, Not associated to a milestone</t>
  </si>
  <si>
    <t>Monitoring Visit Report</t>
  </si>
  <si>
    <t>Site Close</t>
  </si>
  <si>
    <t>Enrollment Status Newsletter_10FEB2026</t>
  </si>
  <si>
    <t>DD5-CZ10001, DD5-CZ10003, DD5-CZ10006, DD5-CZ10009, DD5-CZ10010, DD5-CZ10012, DD5-CZ10013, DD5-CZ10015, DD5-CZ10020, DD5-CZ10021, DD5-CZ10022</t>
  </si>
  <si>
    <t>NIPSF_Pt Material_SIPPM_TOR_PQC_21Jan2026</t>
  </si>
  <si>
    <t>Site Confirmation Letter</t>
  </si>
  <si>
    <t>Trial Management</t>
  </si>
  <si>
    <t>Trial Oversight</t>
  </si>
  <si>
    <t>Recruitment Plan</t>
  </si>
  <si>
    <t>Site Specific Recruitment and Retention Plan_V1_16JAN2026</t>
  </si>
  <si>
    <t>Study Start</t>
  </si>
  <si>
    <t>NIPSF_eCOA Handheld 2pcs_05Dec2025</t>
  </si>
  <si>
    <t>NIPSF_eCOA Tablet Lenovo K11_05Dec2025</t>
  </si>
  <si>
    <t>NIPSF_ISF_Pt Binders_05Dec2025</t>
  </si>
  <si>
    <t>Michaela Sapíková</t>
  </si>
  <si>
    <t>Site Set-up Documentation</t>
  </si>
  <si>
    <t>Other Curriculum Vitae</t>
  </si>
  <si>
    <t>CV_Cerna,M_PH_Initial</t>
  </si>
  <si>
    <t>Available for Distribution, CLIX Filing, Site Start</t>
  </si>
  <si>
    <t>CV_Skala, P_PH_Initial</t>
  </si>
  <si>
    <t>CV_Pakostova, M_SN_Initial</t>
  </si>
  <si>
    <t>CV_Rabasova, S_SN_Initial</t>
  </si>
  <si>
    <t>CV_Pitasova, T_SC_Initial</t>
  </si>
  <si>
    <t>Principal Investigator Curriculum Vitae</t>
  </si>
  <si>
    <t>CV_PI_Eng_Falc, M_PI_Initial</t>
  </si>
  <si>
    <t>Available for Distribution, CLIX Filing, IP Release, Site Start</t>
  </si>
  <si>
    <t>Site Initiation</t>
  </si>
  <si>
    <t>Site Training Documentation</t>
  </si>
  <si>
    <t>CSSRS Training_Piatosova, T</t>
  </si>
  <si>
    <t>CSSRS Training_Falc, M</t>
  </si>
  <si>
    <t>IATA certificate_handling for transportation of dangerous goods_Pakostova, M</t>
  </si>
  <si>
    <t>IATA certificate_handling for transportation of dangerous goods_Rabasova, S</t>
  </si>
  <si>
    <t>IATA certificate_handling for transportation of dangerous goods_Falc, M</t>
  </si>
  <si>
    <t>Sub-Investigator Curriculum Vitae</t>
  </si>
  <si>
    <t>CV_Hoffmannova, L_SI_Initial</t>
  </si>
  <si>
    <t>Storage</t>
  </si>
  <si>
    <t>Temperature Monitor Validation/Calibration Certificates</t>
  </si>
  <si>
    <t>CZ10001_Calibration Certificate_Thermometer Room</t>
  </si>
  <si>
    <t>Available for Distribution, CLIX Filing, Country Close, Site Close, Study Close</t>
  </si>
  <si>
    <t>Czech Republic, Czech Republic</t>
  </si>
  <si>
    <t>DD5-CZ10001, DD6-CZ10001</t>
  </si>
  <si>
    <t>77242113CRD3001, 77242113UCO3001</t>
  </si>
  <si>
    <t>Data Management</t>
  </si>
  <si>
    <t>EDC Management</t>
  </si>
  <si>
    <t>Certification of Electronic Signature</t>
  </si>
  <si>
    <t>Certification of Electronic Signatures_PI_Falc Matej_09DEC2025</t>
  </si>
  <si>
    <t>Source Data</t>
  </si>
  <si>
    <t>Statement of the PI regarding Source Documents_Initial_09DEC2025</t>
  </si>
  <si>
    <t>Trial Initiation Monitoring Report</t>
  </si>
  <si>
    <t>CLIX Filing, Site Start</t>
  </si>
  <si>
    <t>Acceptance of Investigator Brochure</t>
  </si>
  <si>
    <t>IB_Icotrokinra_IB Ed 6 _16DEC2024_IB Ed 6 Add 1_16JUL2025_09DEC2025</t>
  </si>
  <si>
    <t>Vladimir Buzalka</t>
  </si>
  <si>
    <t>IP Site Release Documentation</t>
  </si>
  <si>
    <t>IP approval 22DEC2025</t>
  </si>
  <si>
    <t>Available for Distribution, Site Start</t>
  </si>
  <si>
    <t>Principal Investigator Financial Disclosure Form</t>
  </si>
  <si>
    <t>Financial Disclosure Form_Falc Matej_Initial_09DEC2025</t>
  </si>
  <si>
    <t>Available for Distribution</t>
  </si>
  <si>
    <t>Protocol Signature Page</t>
  </si>
  <si>
    <t>Protocol Signature Page_PI_Falc Matej_Initial_AMN 1 EEA-2_09DEC2025</t>
  </si>
  <si>
    <t>Available for Distribution, CLIX Filing, Country Start, IP Release, Site Start</t>
  </si>
  <si>
    <t>Site Signature Sheet</t>
  </si>
  <si>
    <t>Delegation Log_Initial_09DEC2025_15DEC2025</t>
  </si>
  <si>
    <t>Available for Distribution, CLIX Filing, Site Close, Study Start</t>
  </si>
  <si>
    <t>VI-2153 Enterprise RPA Bot</t>
  </si>
  <si>
    <t>SDIA</t>
  </si>
  <si>
    <t>Maintenance Logs (Device)</t>
  </si>
  <si>
    <t>Clinvita_Hand-over _Scale_Calibration_Training_18Nov2025</t>
  </si>
  <si>
    <t>Available for Distribution, CLIX Filing, Study Close</t>
  </si>
  <si>
    <t>Clinvita_Hand-over _Incubator_Calibration_Training_18Nov2025</t>
  </si>
  <si>
    <t>Clinvita_Hand-over _Centrifuga_Calibration_Training_18Nov2025</t>
  </si>
  <si>
    <t>vi-1072 RPA_Bot2</t>
  </si>
  <si>
    <t>Electronic Source Data Compliance Assessment Questionnaire (ESDCAQ)</t>
  </si>
  <si>
    <t>ESDCAQ 1</t>
  </si>
  <si>
    <t>Barbora Pospisilova</t>
  </si>
  <si>
    <t>Available for Distribution, CLIX Filing, Study Start</t>
  </si>
  <si>
    <t>DrugDev API Account</t>
  </si>
  <si>
    <t>Email Blast-77242113UCO3001 ICONIC UC Portal: Introducing the Teckro Digital Site Engagement platform for ICONIC-UC!-15 Sep 2025</t>
  </si>
  <si>
    <t>Country Close, Site Close, Study Close</t>
  </si>
  <si>
    <t>Argentina, Australia, Belgium, Brazil, Canada, China, Czech Republic, France, Germany, Greece, Hungary, India, Israel, Italy, Japan, Spain, Switzerland, United Kingdom</t>
  </si>
  <si>
    <t>DD5-AR10001, DD5-AR10005, DD5-AR10006, DD5-AR10007, DD5-AR10009, DD5-AR10013, DD5-AR10014, DD5-AR10016, DD5-AR10018, DD5-AR10019, DD5-AR10020, DD5-AR10021, DD5-AU10001, DD5-AU10002, DD5-AU10004, DD5-AU10005, DD5-AU10009, DD5-AU10011, DD5-AU10012, DD5-BE10001, DD5-BE10002, DD5-BE10003, DD5-BE10004, DD5-BE10005, DD5-BE10006, DD5-BE10007, DD5-BE10008, DD5-BE10009, DD5-BE10011, DD5-BE10012, DD5-BR10001, DD5-BR10003, DD5-BR10004, DD5-BR10006, DD5-BR10007, DD5-BR10011, DD5-BR10012, DD5-BR10013, DD5-BR10015, DD5-BR10016, DD5-BR10017, DD5-BR10018, DD5-BR10019, DD5-BR10020, DD5-BR10021, DD5-BR10022, DD5-BR10023, DD5-BR10024, DD5-BR10025, DD5-BR10026, DD5-BR10028, DD5-BR10029, DD5-BR10030, DD5-CA10001, DD5-CA10002, DD5-CA10003, DD5-CA10004, DD5-CA10005, DD5-CA10006, DD5-CA10007, DD5-CA10008, DD5-CA10010, DD5-CA10011, DD5-CA10012, DD5-CH10002, DD5-CH10003, DD5-CH10004, DD5-CN10001, DD5-CN10002, DD5-CN10003, DD5-CN10004, DD5-CN10005, DD5-CN10007, DD5-CN10008, DD5-CN10011, DD5-CN10012, DD5-CN10013, DD5-CN10015, DD5-CN10017, DD5-CN10019, DD5-CN10020, DD5-CN10021, DD5-CN10022, DD5-CN10023, DD5-CN10024, DD5-CN10025, DD5-CN10026, DD5-CN10027, DD5-CN10028, DD5-CN10029, DD5-CN10030, DD5-CN10031, DD5-CN10032, DD5-CN10033, DD5-CN10034, DD5-CN10035, DD5-CN10036, DD5-CN10037, DD5-CN10038, DD5-CN10039, DD5-CN10040, DD5-CZ10001, DD5-CZ10003, DD5-CZ10006, DD5-CZ10009, DD5-CZ10010, DD5-CZ10012, DD5-CZ10013, DD5-CZ10015, DD5-CZ10016, DD5-CZ10020, DD5-CZ10021, DD5-CZ10022, DD5-DE10001, DD5-DE10002, DD5-DE10005, DD5-DE10006, DD5-DE10010, DD5-DE10015, DD5-DE10016, DD5-DE10021, DD5-DE10022, DD5-DE10023, DD5-DE10025, DD5-DE10026, DD5-DE10031, DD5-DE10032, DD5-DE10033, DD5-DE10034, DD5-DE10035, DD5-DE10036, DD5-ES10003, DD5-ES10004, DD5-ES10005, DD5-ES10006, DD5-ES10007, DD5-ES10009, DD5-ES10010, DD5-ES10011, DD5-ES10012, DD5-ES10014, DD5-ES10018, DD5-ES10020, DD5-FR10001, DD5-FR10002, DD5-FR10003, DD5-FR10004, DD5-FR10005, DD5-FR10006, DD5-FR10007, DD5-FR10008, DD5-FR10009, DD5-FR10010, DD5-FR10011, DD5-FR10012, DD5-FR10013, DD5-FR10014, DD5-FR10015, DD5-FR10016, DD5-FR10017, DD5-FR10018, DD5-GB10001, DD5-GB10002, DD5-GB10005, DD5-GB10006, DD5-GB10008, DD5-GB10013, DD5-GB10015, DD5-GB10016, DD5-GB10017, DD5-GR10001, DD5-GR10002, DD5-GR10003, DD5-GR10004, DD5-GR10005, DD5-GR10006, DD5-GR10007, DD5-GR10008, DD5-HU10001, DD5-HU10002, DD5-HU10003, DD5-HU10004, DD5-HU10005, DD5-HU10006, DD5-HU10007, DD5-HU10008, DD5-HU10009, DD5-HU10010, DD5-HU10011, DD5-HU10012, DD5-HU10013, DD5-HU10014, DD5-IL10001, DD5-IL10002, DD5-IL10003, DD5-IL10004, DD5-IL10005, DD5-IL10006, DD5-IL10007, DD5-IL10008, DD5-IL10009, DD5-IL10010, DD5-IL10011, DD5-IL10012, DD5-IL10013, DD5-IL10014, DD5-IL10015, DD5-IN10001, DD5-IN10002, DD5-IN10003, DD5-IN10004, DD5-IN10005, DD5-IN10006, DD5-IN10007, DD5-IN10008, DD5-IN10009, DD5-IN10010, DD5-IN10012, DD5-IN10014, DD5-IN10015, DD5-IN10016, DD5-IN10018, DD5-IN10020, DD5-IN10022, DD5-IN10023, DD5-IN10024, DD5-IN10025, DD5-IT10001, DD5-IT10002, DD5-IT10004, DD5-IT10005, DD5-IT10006, DD5-IT10008, DD5-IT10011, DD5-IT10013, DD5-IT10016, DD5-IT10017, DD5-JP10002, DD5-JP10003, DD5-JP10004, DD5-JP10005, DD5-JP10006, DD5-JP10008, DD5-JP10009, DD5-JP10010, DD5-JP10012, DD5-JP10013, DD5-JP10015, DD5-JP10016, DD5-JP10018</t>
  </si>
  <si>
    <t>Site and Staff Qualification Supporting Information</t>
  </si>
  <si>
    <t>N1_Site Suitability Form_Centrum gastroenterologie_CZ_cze_2025-521381-10_16JUN2025_1</t>
  </si>
  <si>
    <t>Marketa Zachova</t>
  </si>
  <si>
    <t>M2_DoI Investigator_Falc M_Centrum gastroenterologie_CZ_cze_2025-521381-10_16JUN2025_1</t>
  </si>
  <si>
    <t>M1_CV Investigator_Falc M_Centrum gastrenterologie_CZ_cze_2025-521381-10_14JUL2025_1</t>
  </si>
  <si>
    <t>N1_Registration of Facility Centrum gastroenterologie_CZ_cze_2025-521381-10_10DEC2007_NA</t>
  </si>
  <si>
    <t>Helena Klempererova</t>
  </si>
  <si>
    <t>Site Selection</t>
  </si>
  <si>
    <t>Feasibility Documentation</t>
  </si>
  <si>
    <t>ICONIC-CD_UC Site Selection Letter Falc</t>
  </si>
  <si>
    <t>Pre Trial Monitoring Report</t>
  </si>
  <si>
    <t>NIPSF_Pharmacy_SIPPM_TOT_PQC_11Feb2026</t>
  </si>
  <si>
    <t>DD5-CZ10003</t>
  </si>
  <si>
    <t>Relevant Communication_Screening Cap Letter_23MAR2026_25MAR2026</t>
  </si>
  <si>
    <t>VR Correction Form</t>
  </si>
  <si>
    <t>Monica Madsen</t>
  </si>
  <si>
    <t>E-mail_Request_Safety training</t>
  </si>
  <si>
    <t>Site Specific Recruitment &amp; Retention Plan_V1_08JAN2026</t>
  </si>
  <si>
    <t>CV_Nejedla, J_SN_Initial</t>
  </si>
  <si>
    <t>CV_Matyasova, J_SN_Initial</t>
  </si>
  <si>
    <t>NIPSF_Pharmacy Binder_05Dec2025</t>
  </si>
  <si>
    <t>CV_Mica, M_PH_Initial</t>
  </si>
  <si>
    <t>CV_Zahornicka, I_PH_Initial</t>
  </si>
  <si>
    <t>CSSRS Training_Fabian, J</t>
  </si>
  <si>
    <t>IATA certificate_handling for transportation of dangerous goods_Leksa, V</t>
  </si>
  <si>
    <t>Transporting dangerous goods Training_Matyasova, J</t>
  </si>
  <si>
    <t>IATA certificate_handling for transportation of dangerous goods_Matyasova, J</t>
  </si>
  <si>
    <t>Transporting dangerous goods Training_Leksa, V</t>
  </si>
  <si>
    <t>CSSRS Training_Leksa, V</t>
  </si>
  <si>
    <t>CV_Fabian, J_SI_Initial</t>
  </si>
  <si>
    <t>CZ10003_Calibration Certificate_Thermometer Room</t>
  </si>
  <si>
    <t>DD5-CZ10003, DD6-CZ10003</t>
  </si>
  <si>
    <t>CZ10003_Calibration Certificate_Thermometer Room_Pharmacy</t>
  </si>
  <si>
    <t>Certification of Electronic Signatures_PI_Leksa Vaclav_05DEC2025</t>
  </si>
  <si>
    <t>Clinical Trial Agreement</t>
  </si>
  <si>
    <t>Statement of PI regarding meal vouchers_SI_Fabian_05DEC2025</t>
  </si>
  <si>
    <t>Statement of PI regarding Source Documents_Initial_05-DEC-2025</t>
  </si>
  <si>
    <t>IB_Icotrokinra_IB Ed 6 _16DEC2024_IB Ed 6 Add 1_16JUL2025_05DEC2025</t>
  </si>
  <si>
    <t>CV_ENG/CZE_Leksa Vaclav_Initial_18NOV2025</t>
  </si>
  <si>
    <t>Financial Disclosure Form_Leksa Vaclav_Initial_05DEC2025</t>
  </si>
  <si>
    <t>Delegation Log_Leksa Vaclav_Initial_05DEC2025</t>
  </si>
  <si>
    <t>Source Document Identification and Agreement Form_Initial_05DEC2025</t>
  </si>
  <si>
    <t>CV_ENG/CZE_Fabian Jiri_Initial_18NOV2025</t>
  </si>
  <si>
    <t>IP approval form 10DEC2025</t>
  </si>
  <si>
    <t>Protocol Signature Page_Leksa Vaclav_Initial_Amendment 1 EEA-2_24NOV2025_05DEC2025</t>
  </si>
  <si>
    <t>M1_CV Investigator_Leksa V_Gastromedic_CZ_cze_2025-521381-10_14JUL2025_1</t>
  </si>
  <si>
    <t>N1_Site Suitability Form Gastromedic_CZ_cze_2025-521381-10_14JUL2025_1</t>
  </si>
  <si>
    <t>M2_DoI Investigator_Leksa V_Gastromedic_CZ_cze_2025-521381-10_11JUL2025_1</t>
  </si>
  <si>
    <t>N1_Registration of Facility Gastromedic_CZ_cze_2025-521381-10_14DEC2007_NA</t>
  </si>
  <si>
    <t>ICONIC-CD_UC Site Selection Letter Leksa</t>
  </si>
  <si>
    <t>ICONIC-CD_UC Site Selection Letter Konecny Stefan FN Brno</t>
  </si>
  <si>
    <t>DD5-CZ10003, DD6-CZ10012</t>
  </si>
  <si>
    <t>Daniel Maxa</t>
  </si>
  <si>
    <t>SIPPM v2 completion confirmation - H.Mozisova</t>
  </si>
  <si>
    <t>DD5-CZ10006</t>
  </si>
  <si>
    <t>NIPSF_PCIv5.1_LabManual_Training_26Mar2026</t>
  </si>
  <si>
    <t>Memo to site regarding enrollment</t>
  </si>
  <si>
    <t>Relevant Communication_Screening Prohibition for Closed Cohorts_23MAR2026_25MAR2026</t>
  </si>
  <si>
    <t>Recruitment and retention plan_v1</t>
  </si>
  <si>
    <t>DD5-CZ10006, DD6-CZ10006</t>
  </si>
  <si>
    <t>Vladimíra Cetkovská</t>
  </si>
  <si>
    <t>Calibration certificate_endoscope_10Nov2025</t>
  </si>
  <si>
    <t>Site Activation email notification from LTM; 12Jan2025</t>
  </si>
  <si>
    <t>NIPSF_MAC5 ECG_02Dec2025</t>
  </si>
  <si>
    <t>NIPSF_Imaging laptop_02Dec2025</t>
  </si>
  <si>
    <t>Financial Disclosure Form</t>
  </si>
  <si>
    <t>IFDF_Baca, Jakub_Initial</t>
  </si>
  <si>
    <t>Available for Distribution, IP Release, Ready for TMF Lock, Site Start</t>
  </si>
  <si>
    <t>NIPSF_Pharmacy Binder_16Dec2025</t>
  </si>
  <si>
    <t>NIPSF_SIV Binders, Authorization_16Dec2025</t>
  </si>
  <si>
    <t>NIPSF_eCOA Handheld 2pcs_16Dec2025</t>
  </si>
  <si>
    <t>IP approval 12JAN2026</t>
  </si>
  <si>
    <t>NIPSF_Protocol SQV_26May2025</t>
  </si>
  <si>
    <t>C-SSRS certificate_Baca, Jakub</t>
  </si>
  <si>
    <t>AoR_Icotrokinra_Ed #6, Ed#6 Add 1; 16Dec2025</t>
  </si>
  <si>
    <t>Certification of Electronic Signature_Konecny, M_16Dec2025</t>
  </si>
  <si>
    <t>NIPSF_eCOA Tablet_16Dec2025</t>
  </si>
  <si>
    <t>IFDF_Konecny, M_Initial; 16Dec2025</t>
  </si>
  <si>
    <t>PSP_Konecny, M_PA1/EEA-2</t>
  </si>
  <si>
    <t>Source PI Confirmation_Initial</t>
  </si>
  <si>
    <t>Clinvita_handover and calibration certificate_Memmert incubator IN30m</t>
  </si>
  <si>
    <t>Clinvita_handover and calibration certificate_Eppendorf 5702 centrifuge</t>
  </si>
  <si>
    <t>N1_Site Suitability Form_MUDr Michal Konecny PhD_CZ_cze_2025-521381-10_16JUN2025_1</t>
  </si>
  <si>
    <t>M1_CV Investigator_Konecny M_MUDr Michal Konecny PhD_CZ_cze_2025-521381-10_16JUN2025_1</t>
  </si>
  <si>
    <t>M2_DoI Investigator_Konecny M_MUDr Michal Konecny PhD_CZ_cze_2025-521381-10_16JUN2025_1</t>
  </si>
  <si>
    <t>N1_Registration of Facility MUDr Michal Konecny PhD_CZ_cze_2025-521381-10_23MAY2018_NA</t>
  </si>
  <si>
    <t>ICONIC-CD_UC Site Selection Letter Konecny Michal</t>
  </si>
  <si>
    <t>NIPSF_PCIv5.1_LabManual_Trainings_26Mar2026</t>
  </si>
  <si>
    <t>DD5-CZ10009</t>
  </si>
  <si>
    <t>NIPSF_Pharmacy_SIPPM_TOR_PQC_11Feb2026</t>
  </si>
  <si>
    <t>Martina Sába</t>
  </si>
  <si>
    <t>77242113UCO3001-DD5-CZ10009_Recruitment and Retention Plan_09DEC2025</t>
  </si>
  <si>
    <t>Lucie Hrabalova</t>
  </si>
  <si>
    <t>NIPSF_eCOA Handheld_03-Dec-2025</t>
  </si>
  <si>
    <t>NIPSF_eCOA tablet_03-Dec-2025</t>
  </si>
  <si>
    <t>NIPSF_ISF_03-Dec-2025</t>
  </si>
  <si>
    <t>NIPSF_Pharmacy file_03-Dec-2025</t>
  </si>
  <si>
    <t>NIPSF_Clario ECG_03-Dec-2025</t>
  </si>
  <si>
    <t>CZ10009_Calibration Certificate_Thermometer Room</t>
  </si>
  <si>
    <t>DD5-CZ10009, DD6-CZ10009</t>
  </si>
  <si>
    <t>CZ10009_Calibration Certificate_Thermometer Freezer</t>
  </si>
  <si>
    <t>IB AoR_Icotrokinra_Edition #6.0 (including Addendum 1);03DEC2025</t>
  </si>
  <si>
    <t>IP approval 11DEC2025</t>
  </si>
  <si>
    <t>IFDF_Pumprla, Jiri_Initial;03DEC2025</t>
  </si>
  <si>
    <t>Protocol Signature Page_Pumprla, Jiri, Initial_Amendment #1 EEA/2; 08DEC2025</t>
  </si>
  <si>
    <t>N1_Site Suitability Form_PreventaMed_CZ_cze_2025-521381-10_16JUN2025_1</t>
  </si>
  <si>
    <t>M1_CV Investigator Pumprla J PreventaMed_CZ_cze_2025-521381-10_16JUN2025_1</t>
  </si>
  <si>
    <t>M2_DoI Investigator_Pumprla J_PreventaMed_CZ_cze_2025-521381-10_11JUL2025_1</t>
  </si>
  <si>
    <t>N1_Registration of Facility PreventaMed_CZ_cze_2025-521381-10_26JUN2017_NA</t>
  </si>
  <si>
    <t>NIPSF_SIPPM_TOR_PCQ_24Feb2026</t>
  </si>
  <si>
    <t>Draft</t>
  </si>
  <si>
    <t>Signed Enrollment Memo;26MAR2026</t>
  </si>
  <si>
    <t>DD5-CZ10010</t>
  </si>
  <si>
    <t>IB AoR_Icotrokinra_Ed #6, Ed#6 Add 1</t>
  </si>
  <si>
    <t>Protocol Signature Page_El-Labadidi, Nabil_Amendment1_EEA2</t>
  </si>
  <si>
    <t>Site notification, study cannot be started based on current approval</t>
  </si>
  <si>
    <t>M1_GCP TRAINING INVESTIGATOR_EL-LABABIDI N_VFN_CZ_ENG_2025-521381-10_17AUG2025_NA</t>
  </si>
  <si>
    <t>M1_CV Investigator_El-Lababidy N_VFN v Praze_CZ_cze_2025-521381-10_14JUL2025_1</t>
  </si>
  <si>
    <t>N1_Site Suitability Form_VFN v Praze_CZ_cze_2025-521381-10_14JUL2025_1</t>
  </si>
  <si>
    <t>M2_DoI Investigator_El-Lababidi N_VFN v Praze_CZ_cze_2025-521381-10_11JUL2025_1</t>
  </si>
  <si>
    <t>Site Selection Letter El-Lababidi, 19JUN2025</t>
  </si>
  <si>
    <t>Financial Disclosure Form_Lababidi, Nabil_Initial_11MAR2026</t>
  </si>
  <si>
    <t>Signed Enrollment Memo;25MAR2026</t>
  </si>
  <si>
    <t>DD5-CZ10012</t>
  </si>
  <si>
    <t>NIPSF_Pharmacy Binder_21Jan2026</t>
  </si>
  <si>
    <t>AoR_Icotrokinra_Ed #6, Ed#6 Add 1</t>
  </si>
  <si>
    <t>IFDF_Zvarova, V_Initial</t>
  </si>
  <si>
    <t>IFDF_Valek, V_Initial</t>
  </si>
  <si>
    <t>IFDF_Smela, M_Initial</t>
  </si>
  <si>
    <t>IFDF_Poredska, K_Initial</t>
  </si>
  <si>
    <t>Calibration certificate_endoscope</t>
  </si>
  <si>
    <t>NIPSF_eCOA Tablet_16Jan2026</t>
  </si>
  <si>
    <t>NIPSF_eCOA Handheld 2pcs_16Jan2026</t>
  </si>
  <si>
    <t>NIPSF_SIV Binders, Authorization, Materials_16Jan2026</t>
  </si>
  <si>
    <t>Site Activation email</t>
  </si>
  <si>
    <t>Calibration Certificate_IP ambient</t>
  </si>
  <si>
    <t>IP approval form 30JAN2026</t>
  </si>
  <si>
    <t>IFDF_Konecny, S_Initial</t>
  </si>
  <si>
    <t>PSP_Konecny, S_PA1/EEA-2</t>
  </si>
  <si>
    <t>ICONIC-CD_UC_IUS substudy Site Selection Letter  Konecny_3Sep25</t>
  </si>
  <si>
    <t>DD5-CZ10012, DD6-CZ10012</t>
  </si>
  <si>
    <t>N1_Site Suitability Form_FN Brno_CZ_cze_2025-521382-27_16JUN2025_1</t>
  </si>
  <si>
    <t>M1_CV Investigator_Konecny S_FN Brno_CZ_cze_2025-521381-10_16JUN2025_1</t>
  </si>
  <si>
    <t>M2_DoI Investigator_Konecny S_FN Brno_CZ_cze_2025-521381-10_11JUL2025_1</t>
  </si>
  <si>
    <t>Lenka Placha</t>
  </si>
  <si>
    <t>Confidentiality Agreement</t>
  </si>
  <si>
    <t>Master Confidentiality Agreement_FN Brno_19Dec2022_CDA uploaded in ICD_ICD#1863436</t>
  </si>
  <si>
    <t>Czech Republic, Czech Republic, Czech Republic, Czech Republic</t>
  </si>
  <si>
    <t>77242113CRD3001, 77242113UCO3001, 80202135SJS3001, CNTO1959CRD3009</t>
  </si>
  <si>
    <t>Czech Republic, Czech Republic, Czech Republic, Czech Republic, Czech Republic, Czech Republic, Czech Republic, Czech Republic, Czech Republic, Czech Republic, Czech Republic, Czech Republic, Czech Republic</t>
  </si>
  <si>
    <t>420026, AJ1-CZ10003, AL8-CZ10001, AP6-CZ10001, BH5-CZ10001, CT2-CZ10003, DD5-CZ10012, DD6-CZ10012, DH3-CZ10001, K23-CZ10005, M11-CZ10006, V47-CZ10003, W26-CZ10004, W26-CZ10005</t>
  </si>
  <si>
    <t>54179060CLL2032, 54179060CLL3011, 54767414MMY3019, 61186372NSC4014, 64007957MMY3005, 64007957MMY3006, 64407564MMY3002, 64407564MMY3009, 68284528MMY3004, 75276617AML3001, 77242113CRD3001, 77242113UCO3001, PCI-32765MCL3002</t>
  </si>
  <si>
    <t>DD5-CZ10013</t>
  </si>
  <si>
    <t>NIPSF_PtMaterial_GTPTv7_SIPPM_02Feb2026</t>
  </si>
  <si>
    <t>77242113UCO3001-DD5-CZ10013-Recruitment and Retention Plan_11JAN2026</t>
  </si>
  <si>
    <t>IB AoR_Stepek_Edition 6.0, Addendum 1</t>
  </si>
  <si>
    <t>NIPSF_eCOA Handheld_05-Dec-2025</t>
  </si>
  <si>
    <t>NIPSF_eCOA Tablet_05-Dec-2025</t>
  </si>
  <si>
    <t>NIPSF_ISF_05-Dec-2025</t>
  </si>
  <si>
    <t>NIPSF_Pharmacy binder_05-Dec-2025</t>
  </si>
  <si>
    <t>NIPSF_ECG_05-Dec-2025</t>
  </si>
  <si>
    <t>iFDF_Stepek David_Initial_09-Dec-2025</t>
  </si>
  <si>
    <t>Protocol signature page_Stepek, Initial_Amendment 1/EEA-2</t>
  </si>
  <si>
    <t>CZ10013_Calibration Certificate_Thermometer Freezer_22Oct2025</t>
  </si>
  <si>
    <t>DD5-CZ10013, DD6-CZ10013</t>
  </si>
  <si>
    <t>N1_Site Suitability Form_VN Brno_CZ_cze_2025-521381-10_16JUN2025_1</t>
  </si>
  <si>
    <t>M2_DoI Investigator_Stepek D_VN Brno_CZ_cze_2025-521381-10_16JUN2025_1</t>
  </si>
  <si>
    <t>M1_CV Investigator_Stepek D_VN Brno_CZ_cze_2025-521381-10_06AUG2025_1</t>
  </si>
  <si>
    <t>N1_Site Suitability Form_VN Brno_CZ_cze_2025-521381-10_06AUG2025_1</t>
  </si>
  <si>
    <t>N1_Registration of Facility VN Brno_CZ_cze_2025-521381-10_22MAR2013_NA</t>
  </si>
  <si>
    <t>ICONIC-CD_UC Site Selection Letter Stepek</t>
  </si>
  <si>
    <t>EDL Admin</t>
  </si>
  <si>
    <t>CZ10013 Calibration Certificate_Room Thermometer</t>
  </si>
  <si>
    <t>Planned</t>
  </si>
  <si>
    <t>DD5-CZ10015</t>
  </si>
  <si>
    <t>NIPSF_PHARMACY_SIPPM_TOR_PCQ_11Feb2026</t>
  </si>
  <si>
    <t>NIPSF_ThermoBox_23Feb2026</t>
  </si>
  <si>
    <t>China, Czech Republic</t>
  </si>
  <si>
    <t>DD5-CZ10015, DD6-CN10015</t>
  </si>
  <si>
    <t>CV_Narozna,H_PH_Initial</t>
  </si>
  <si>
    <t>NIPSF_Pt Material_SIPPM_GTPT_PQC_TOR_21Jan2026</t>
  </si>
  <si>
    <t>NIPSF_ISF_Pt binders_03Dec2025</t>
  </si>
  <si>
    <t>NIPSF_eCOA Handheld 2pcs_03Dec2025</t>
  </si>
  <si>
    <t>NIPSF_eCOA Tablet_LenovoK11_03Dec2025</t>
  </si>
  <si>
    <t>NIPSF_EUCTR Decision_ICFs_10Dec2025</t>
  </si>
  <si>
    <t>NIPSF_Patient Material_18Dec2025</t>
  </si>
  <si>
    <t>Certification of Electronic Signature_PI_Matous Jan_03DEC2025</t>
  </si>
  <si>
    <t>Statement of PI regarding meal vouchers_Initial_03-DEC-2025</t>
  </si>
  <si>
    <t>Statement of PI regarding meal vouchers_Initial_Zavorkova_03-DEC-2025</t>
  </si>
  <si>
    <t>Statement of PI regarding Source Document_Initial_03-DEC-2025</t>
  </si>
  <si>
    <t>IP approval 19DEC2025</t>
  </si>
  <si>
    <t>IB AoR_Icotrokinra_Matous_Edition #6.0 (including Addendum 1)</t>
  </si>
  <si>
    <t>Bela Lukavcová</t>
  </si>
  <si>
    <t>IDFD_PI_Matous, J_Initial</t>
  </si>
  <si>
    <t>CV_Lachmannova, P_SC_Initial</t>
  </si>
  <si>
    <t>CV_Kruzikova, Katerina_SN_Initial</t>
  </si>
  <si>
    <t>CV_Mitiskova, S_SN_Initial</t>
  </si>
  <si>
    <t>CV_Melichercikova, Lenka_SN_Initial</t>
  </si>
  <si>
    <t>CV_Syslova_J_PH_Initial</t>
  </si>
  <si>
    <t>Protocol Signature Page_Matous, J_Amendment 1/EEA-2</t>
  </si>
  <si>
    <t>Delegation log_Matous, J</t>
  </si>
  <si>
    <t>CV_SI_Wallish, M_Initial</t>
  </si>
  <si>
    <t>CV_SI_Zadorova, Z_Initial</t>
  </si>
  <si>
    <t>M1_CV Investigator_Matous J_Axon Clinical_CZ_cze_2025-521381-10_16JUN2025_1</t>
  </si>
  <si>
    <t>M2_DoI Investigator_Matous J_Axon Clinical_CZ_cze_2025-521381-10_11JUL2025_1</t>
  </si>
  <si>
    <t>N1_Site Suitability Form Axon Clinical_CZ_cze_2025-521381-10_14JUL2025_1</t>
  </si>
  <si>
    <t>N1_Registration of Facility Axon Clinical_CZ_cze_2025-521381-10_19APR2017_NA</t>
  </si>
  <si>
    <t>ICONIC-CD_UC Site Selection Letter Matous</t>
  </si>
  <si>
    <t>DD5-CZ10015, DD6-CZ10015</t>
  </si>
  <si>
    <t>CV_PI_Eng_Matous, J_Initial</t>
  </si>
  <si>
    <t>DD5-CZ10016</t>
  </si>
  <si>
    <t>SIPPM v2 completion confirmation - L.Polova</t>
  </si>
  <si>
    <t>SIPPM v2.0 completion confirmation - M.Kubasiakova</t>
  </si>
  <si>
    <t>Site Activation email notification from LTM</t>
  </si>
  <si>
    <t>DD5-CZ10016, DD6-CZ10016</t>
  </si>
  <si>
    <t>IFDF_Pekny, P_Initial</t>
  </si>
  <si>
    <t>NIPSF_eCOA Tablet_12Jan2026</t>
  </si>
  <si>
    <t>NIPSF_SIV Binders, Authorization, Materials_12Jan2026</t>
  </si>
  <si>
    <t>NIPSF_eCOA Handheld 2pcs_12Jan2026</t>
  </si>
  <si>
    <t>NIPSF_Pharmacy Binder_12Jan2026</t>
  </si>
  <si>
    <t>IP approval, 27JAN2026</t>
  </si>
  <si>
    <t>IFDF_Mudr, Robert_Initial</t>
  </si>
  <si>
    <t>PSP_Mudr, R_PA1/EEA-2</t>
  </si>
  <si>
    <t>GCP R3 certificate_Pekny, P</t>
  </si>
  <si>
    <t>C-SSRS certificate_Pekny, Petr</t>
  </si>
  <si>
    <t>N1_Site Suitability Form_Nemocnice milosrdnych sester_CZ_cze_2025-521381-10_16JUN2025_1</t>
  </si>
  <si>
    <t>M1_CV Investigator_Mudr R_Nemocnice milosrdnych sester_CZ_cze_2025-521381-10_16JUN2025_1</t>
  </si>
  <si>
    <t>M2_DoI Investigator_Mudr R_Nemocnice milosrdnych sester_CZ_cze_2025-521381-10_16JUN2025_1</t>
  </si>
  <si>
    <t>N1_Registration of Facility Nemocnice milosrdnych sester_CZ_cze_2025-521381-10_27JUL2022_NA</t>
  </si>
  <si>
    <t>ICONIC-CD_UC Site Selection Letter Mudr</t>
  </si>
  <si>
    <t>NIPSF_Pharmacy Ambient Thermometer_20Jan2026</t>
  </si>
  <si>
    <t>NIPSF_PCIv5.1_LabManual_Trainings;26Mar2026</t>
  </si>
  <si>
    <t>DD5-CZ10020</t>
  </si>
  <si>
    <t>IP approval form 25MAR2026</t>
  </si>
  <si>
    <t>[4G] 77242113UCO3001 Site Activation Alert for, Site DD5-CZ10020</t>
  </si>
  <si>
    <t>Site notification of study start 25MAR2026</t>
  </si>
  <si>
    <t>Calibration_Tape Measure</t>
  </si>
  <si>
    <t>CV_ENG_Slovakova,K_Pharmacist</t>
  </si>
  <si>
    <t>CV_CZ_Kasanova,L_Pharmacist</t>
  </si>
  <si>
    <t>CV_ENG_Sporten,R_Pharmacist</t>
  </si>
  <si>
    <t>CV_ENG_Veverkova,A_Pharmacist</t>
  </si>
  <si>
    <t>CV_ENG_Vitkova,L_Pharmacist</t>
  </si>
  <si>
    <t>CV_ENG_Polednakova,L_Pharmacist</t>
  </si>
  <si>
    <t>CV_ENG_Zahradnikova,Z_SN</t>
  </si>
  <si>
    <t>CSSR Training_Skopek,J</t>
  </si>
  <si>
    <t>CV_CZE/ENG_Skopek,J_Initial</t>
  </si>
  <si>
    <t>Calibration Certificate_Scale</t>
  </si>
  <si>
    <t>Calibration Certificate_Freezer Box</t>
  </si>
  <si>
    <t>Calibration Certificate_Temperature Log</t>
  </si>
  <si>
    <t>Calibration Certificate_Thermometer</t>
  </si>
  <si>
    <t>Calibration Certificate_Tonometer</t>
  </si>
  <si>
    <t>Calibration Certificate_Centrifuge Cooling</t>
  </si>
  <si>
    <t>Calibration Certificate_Centrifuge</t>
  </si>
  <si>
    <t>Calibration Certificate_Thermometer Digital</t>
  </si>
  <si>
    <t>GCP R3_Slovakova,K</t>
  </si>
  <si>
    <t>GCP R3_Vitkova, L</t>
  </si>
  <si>
    <t>GCP R3_Polednakova,L</t>
  </si>
  <si>
    <t>CSSR_Slovakova_K</t>
  </si>
  <si>
    <t>CSSR_Zahradnikova_Z</t>
  </si>
  <si>
    <t>GCP R3_Kasanova, L</t>
  </si>
  <si>
    <t>GCP R3_Sporten,R</t>
  </si>
  <si>
    <t>GCP R3_Veverkova, A</t>
  </si>
  <si>
    <t>GCP R3_Skopek,J</t>
  </si>
  <si>
    <t>ASCLS_certificate_handling for transportation of dangerous goodsDangerous Goods_Zahradnikova_Z</t>
  </si>
  <si>
    <t>GCP R3_Zahradnikova, Z</t>
  </si>
  <si>
    <t>Certificate El.Signature_Gonsorcikova L_17Feb2026</t>
  </si>
  <si>
    <t>Disposal of Records Form</t>
  </si>
  <si>
    <t>PI Statement to SD_Source Data_17Feb2026</t>
  </si>
  <si>
    <t>Not associated to a milestone</t>
  </si>
  <si>
    <t>NIPSF_CZ10020_eCoA Tablet_16Feb2026</t>
  </si>
  <si>
    <t>NIPSF_CZ10020_ECG_16Feb2026</t>
  </si>
  <si>
    <t>NIPSF_CZ10020_Handheld_16Feb2026</t>
  </si>
  <si>
    <t>NIPSF_CZ10020_SIV ISF Binders_16Feb2026</t>
  </si>
  <si>
    <t>NIPSF_CZ10020_Laptop_16Feb2026</t>
  </si>
  <si>
    <t>IFDF_Gonsorcikova, Lucie_Initial_17FEB2026</t>
  </si>
  <si>
    <t>Protocol signature page_Gonsorcikova, Lucie_Amendment 1/EEA-2_17FEB2026</t>
  </si>
  <si>
    <t>M1_GCP TRAINING INVESTIGATOR_GONSORCIKOVA L_FTN_CZ_ENG_2025-521381-10_12AUG2025_NA</t>
  </si>
  <si>
    <t>M1_CV Investigator_Gonsorcikova L_FTN_CZ_cze_2025-521381-10_14JUL2025_1</t>
  </si>
  <si>
    <t>Adriana Stepnickova</t>
  </si>
  <si>
    <t>N1_Site Suitability Form_FTN_CZ_cze_2025-521381-10_14JUL2025_1</t>
  </si>
  <si>
    <t>M2_DoI Investigator_Gonsorcikova L_Thomayerova nemocnice_CZ_cze_2025-521381-10_11JUL2025_1</t>
  </si>
  <si>
    <t>Site Selection Letter Gonsorčíková, 19JUN2025</t>
  </si>
  <si>
    <t>NIPSF_GONSORCIKOVA Lucie_Protocol version original, 22Apr2025_signed 28May2025</t>
  </si>
  <si>
    <t>Zuzana Sekeresova</t>
  </si>
  <si>
    <t>Master Confidentiality Agreement_Fakultni Thomayerova nemocnice_30Oct2023_CDA uploaded in ICD_ICD#1985365</t>
  </si>
  <si>
    <t>Zuzana Hejdankova</t>
  </si>
  <si>
    <t>Czech Republic, Czech Republic, Czech Republic</t>
  </si>
  <si>
    <t>CN9-CZ10007, CO7-CZ10007, DD5-CZ10020</t>
  </si>
  <si>
    <t>61186372COR3001, 61186372COR3002, 77242113UCO3001</t>
  </si>
  <si>
    <t>Mail_Vyplneni doazniku</t>
  </si>
  <si>
    <t>DD5-CZ10021</t>
  </si>
  <si>
    <t>Relevant Communication_Screening prohibition for closed cohorts_23MAR2026_24MAR2026</t>
  </si>
  <si>
    <t>NIPSF_SIV_Binders_Protocol_ICFs_Pt Material_14Jan2026</t>
  </si>
  <si>
    <t>NIPSF_Pharmacy SIV Binder_14jan2026</t>
  </si>
  <si>
    <t>NIPSF_eCOA Handheld 2pcs_14Jan2026</t>
  </si>
  <si>
    <t>NIPSF_MAC5_14Jan2026</t>
  </si>
  <si>
    <t>NIPSF_eCoA Tablet Lenovo K11_14Jan2026</t>
  </si>
  <si>
    <t>CV_Kadlecova, M_SN_Initial</t>
  </si>
  <si>
    <t>CV_Krystufkova, AJ_SN_Initial</t>
  </si>
  <si>
    <t>CV_Dvorakova, Z_SC_Initial</t>
  </si>
  <si>
    <t>CV_Exnerova, L_Ph_Initial</t>
  </si>
  <si>
    <t>CV_Novakova, E_Ph_Initial</t>
  </si>
  <si>
    <t>CV_Rezlerová, A_SN_Initial</t>
  </si>
  <si>
    <t>M1_CV Investigator_Bortlik M_Nemocnice C Budejovice_CZ</t>
  </si>
  <si>
    <t>Recruitment and Retention Plan_ V1_09FEB2026</t>
  </si>
  <si>
    <t>CV_Novakova, M_SI_Initial</t>
  </si>
  <si>
    <t>CV_Hornik, T_SI_Initial</t>
  </si>
  <si>
    <t>CV_Stepanek, V_Initial</t>
  </si>
  <si>
    <t>CV_Kovacova, J_SN_Initial</t>
  </si>
  <si>
    <t>Bortlik Martin_Nemocnice Ceske Budejovice_PI statement to meal vouchers_20JAN2026</t>
  </si>
  <si>
    <t>IP approval 03FEB2026</t>
  </si>
  <si>
    <t>Acceptamce of Investigator Brochure_Icotrokinra_IB ed 6 and IB ed 6 Add 1_20JAN2026</t>
  </si>
  <si>
    <t>Certification of Electronic Signature_Bortlik Martin_Initial_20JAN2026</t>
  </si>
  <si>
    <t>Financial Disclosure Form_Bortlik Martin_Initial_20JAN2026</t>
  </si>
  <si>
    <t>Protocol Signature Page_Bortlik Martin_Initial_Amendment 1 EEA-2_20JAN2026</t>
  </si>
  <si>
    <t>Delegation Log_Initial_20JAN2026</t>
  </si>
  <si>
    <t>PI declaration regarding patient source documentation</t>
  </si>
  <si>
    <t>GCP R3_Novakova, E</t>
  </si>
  <si>
    <t>CSSRS Training_Bortlik, M</t>
  </si>
  <si>
    <t>CSSRS Training_Dvorakova, Z</t>
  </si>
  <si>
    <t>M1_GCP TRAINING INVESTIGATOR_BORTLIK M_NEMCB_CZ_ENG_2025-521381-10_15SEP2025_NA</t>
  </si>
  <si>
    <t>N1_Registration of Facility_Nemocnice C Budejovice_CZ_cze_2025-521381-10_31DEC2003_NA</t>
  </si>
  <si>
    <t>M2_DoI Investigator_Bortlik M_Nemocnice C Budejovice_CZ_cze_2025-521381-10_16JUN2025_1</t>
  </si>
  <si>
    <t>N1_Site Suitability Form_Nemocnice C Budejovice_CZ_cze_2025-521381-10_10AUG2025_1</t>
  </si>
  <si>
    <t>Site Selection Letter Bortlík, 19JUN2025</t>
  </si>
  <si>
    <t>Master Confidentiality Agreement_Nemocnice Ceske Budejovice_10May2023_CDA uploaded in ICD_ICD#1916535</t>
  </si>
  <si>
    <t>DD5-CZ10021, DD6-CZ10021</t>
  </si>
  <si>
    <t>DD5-CZ10022</t>
  </si>
  <si>
    <t>Memo to site regarding cohort closure</t>
  </si>
  <si>
    <t>NIPSF_Subject Binders_05Mar2026</t>
  </si>
  <si>
    <t>NIPSF_CZ10022_HandOver_100pcs Meal Vouchers_25Mar2026</t>
  </si>
  <si>
    <t>IP Storage Condition Excursion Documentation</t>
  </si>
  <si>
    <t>TOR_CZ10022</t>
  </si>
  <si>
    <t>CLIX Filing, Not associated to a milestone</t>
  </si>
  <si>
    <t>TOR_approval_for_use</t>
  </si>
  <si>
    <t>Telephone Contact_Visit rescheduling</t>
  </si>
  <si>
    <t>Central Trial Documents</t>
  </si>
  <si>
    <t>Subject Documents</t>
  </si>
  <si>
    <t>Other Information Given to Investigators</t>
  </si>
  <si>
    <t>Rescreening approval_CZ100222002</t>
  </si>
  <si>
    <t>Available for Distribution, Country Start, Site Start, Study Start</t>
  </si>
  <si>
    <t>NIPSF_Pt Material_GTPTv7_PQC_TOR_30Jan2026</t>
  </si>
  <si>
    <t>Potential Participant status verification</t>
  </si>
  <si>
    <t>Communication_ECG result evaluation</t>
  </si>
  <si>
    <t>CZ1022_Calibration Certificate_Thermometer Fridge</t>
  </si>
  <si>
    <t>DD5-CZ10022, DD6-CZ10022</t>
  </si>
  <si>
    <t>C-SSRS certificate_Macasek, Jaroslav</t>
  </si>
  <si>
    <t>Calibration certificate_incubator_06Sep2025</t>
  </si>
  <si>
    <t>CZ1022_Calibration Certificate_Thermometer Room</t>
  </si>
  <si>
    <t>CZ10022_Calibration certificate_Thermometer_Freezer</t>
  </si>
  <si>
    <t>Site Activation email notification from LTM; 18Dec2025</t>
  </si>
  <si>
    <t>NIPSF_Pharmacy binder_08Dec2025 ; 09Dec2025</t>
  </si>
  <si>
    <t>IFDF_Benko, P_Initial; 9Dec2025</t>
  </si>
  <si>
    <t>IFDF_Peregrinova, M _Initital; 09Dec2025</t>
  </si>
  <si>
    <t>IFDF_Macasek, J_Initial; 09Dec2025</t>
  </si>
  <si>
    <t>IP approval 18DEC2025</t>
  </si>
  <si>
    <t>CV_English_Macasek, J_SI_Initial</t>
  </si>
  <si>
    <t>AoR_Icotrokinra_Ed #6, Ed#6 Add 1; 09Dec2025</t>
  </si>
  <si>
    <t>Certification of eSignature_Hrabak, P_09Dec2025</t>
  </si>
  <si>
    <t>Hrabak_Clinoxus s.r.o._Meal Voucher Confirmer</t>
  </si>
  <si>
    <t>Hrabak_Clinoxus sr.o._Meal Vouchers Confirmer</t>
  </si>
  <si>
    <t>NIPSF_SIV Binders;Authorization_08Dec2025; 09Dec2025</t>
  </si>
  <si>
    <t>Confirmation of Receipt_Meal Vouchers 150pcs_09Dec2025</t>
  </si>
  <si>
    <t>NIPSF_eCOA Tablet_09Dec2025</t>
  </si>
  <si>
    <t>NIPSF_eCOA Handheld 2pcs_08Dec2025; 09Dec2025</t>
  </si>
  <si>
    <t>IFDF_Hrabak, Petr_Initial; 09Dec2025</t>
  </si>
  <si>
    <t>PSP_Hrabak, P_PA1/EEA-2</t>
  </si>
  <si>
    <t>NIPSF_Thermometer 2pcs_15Dec2025 ; 16Dec2025</t>
  </si>
  <si>
    <t>CV_English_Khajl, T_Pharmacist_Initial</t>
  </si>
  <si>
    <t>CV_English_Ogurcakova, K_pharmacist_Initial</t>
  </si>
  <si>
    <t>CV_English_Svobodova, P_Pharmacist_Initial</t>
  </si>
  <si>
    <t>CV_English_Benko, P_Initial</t>
  </si>
  <si>
    <t>CV_Czech_Peregrinova, M_Initial</t>
  </si>
  <si>
    <t>C-SSRS certificate_Hrabak, Petr</t>
  </si>
  <si>
    <t>C-SSRS certificate_Tumova, Martina</t>
  </si>
  <si>
    <t>C-SSRS certificate_Pomahacova, Jana</t>
  </si>
  <si>
    <t>GCP R3 certificate_Khajl, Tomas</t>
  </si>
  <si>
    <t>Calibration certificate_altimeter_11Mar2025</t>
  </si>
  <si>
    <t>Calibration certificate_endoscopes_18Mar2025</t>
  </si>
  <si>
    <t>Calibration certificate_sphygmomanometer_23Jul2025</t>
  </si>
  <si>
    <t>Calibration certificate_Contactless Thermometer_23Jul2025</t>
  </si>
  <si>
    <t>Calibration certificate_freezer_25Aug2025</t>
  </si>
  <si>
    <t>Calibration certificate_personal scale_21Feb2025</t>
  </si>
  <si>
    <t>NIPSF_MAC5 EKG_20Nov2025</t>
  </si>
  <si>
    <t>CV_English_Tumova, Martina</t>
  </si>
  <si>
    <t>CV_English_Pomahacova, Jana</t>
  </si>
  <si>
    <t>GCP R3 certificate_Ogurcakova, Katarina</t>
  </si>
  <si>
    <t>IATA certificate_Pomahacova, Jana</t>
  </si>
  <si>
    <t>GCP R3 certificate_SI_Peregrinova, Martina</t>
  </si>
  <si>
    <t>GCP R3 certificate_PI_Hrabak, Petr</t>
  </si>
  <si>
    <t>GCP R3 certificate_SI_Macasek, Jaroslav</t>
  </si>
  <si>
    <t>GCP R3 certificate_Tumova, Martina</t>
  </si>
  <si>
    <t>IATA certificate_Tumova, Martina</t>
  </si>
  <si>
    <t>GCP R3 certificate_Svobodova, Pavlina</t>
  </si>
  <si>
    <t>GCP R3 certificate_Pomahacova, Jana</t>
  </si>
  <si>
    <t>GCP R3 certificate_SI_Benko, Peter</t>
  </si>
  <si>
    <t>M1_CV Investigator_Hrabak P_Clinoxus_CZ_cze_2025-521381-10_08JUL2025_1</t>
  </si>
  <si>
    <t>M2_DoI Investigator_Hrabak P_Clinoxus_CZ_cze_2025-521381-10_11JUL2025_1</t>
  </si>
  <si>
    <t>N1_Site Suitability Form Clinoxus_CZ_cze_2025-521381-10_14JUL2025_1</t>
  </si>
  <si>
    <t>N1_Registration of Facility Clinoxus_CZ_cze_2025-521381-10_12Apr2023_NA</t>
  </si>
  <si>
    <t>ICONIC-CD_UC Site Selection Letter Hrabak</t>
  </si>
  <si>
    <t>NIPSF_Protocol_SQV training_27May2025</t>
  </si>
  <si>
    <t>Sites Evaluated but not Selected</t>
  </si>
  <si>
    <t>ICONIC-CD_UC Non Selection Letter Dr. Vanasek</t>
  </si>
  <si>
    <t>DD5-CZ10002, DD6-CZ10002</t>
  </si>
  <si>
    <t>DD5-CZ10002</t>
  </si>
  <si>
    <t>ICONIC-CD_UC Non Selection Letter Dr. Jelinek</t>
  </si>
  <si>
    <t>DD5-CZ10005, DD6-CZ10005</t>
  </si>
  <si>
    <t>DD5-CZ10005</t>
  </si>
  <si>
    <t>DD5-CZ10007</t>
  </si>
  <si>
    <t>Site DD5-CZ10007 (Study 77242113UCO3001) Pretrial Assessment Visit (Site Qualification Visit) Confirmation Letter_dated 15May25</t>
  </si>
  <si>
    <t>ICONIC-CD_UC Site Selection Letter Ulbrych</t>
  </si>
  <si>
    <t>DD5-CZ10007, DD6-CZ10007</t>
  </si>
  <si>
    <t>ICONIC-CD_UC Non Selection Letter Dr. Svoboda</t>
  </si>
  <si>
    <t>DD5-CZ10008, DD6-CZ10008</t>
  </si>
  <si>
    <t>DD5-CZ10008</t>
  </si>
  <si>
    <t>DD5-CZ10011</t>
  </si>
  <si>
    <t>ICONIC-CD_UC Non Selection Letter Dr. Hlavova</t>
  </si>
  <si>
    <t>DD5-CZ10017, DD6-CZ10017</t>
  </si>
  <si>
    <t>DD5-CZ10017</t>
  </si>
  <si>
    <t>ICONIC-CD_UC Non Selection Letter Dr. Jungwirthova</t>
  </si>
  <si>
    <t>DD5-CZ10018, DD6-CZ10018</t>
  </si>
  <si>
    <t>DD5-CZ10018</t>
  </si>
  <si>
    <t>DD5-CZ10019</t>
  </si>
  <si>
    <t>Petra Strouhova</t>
  </si>
  <si>
    <t>Master Confidentiality Agreement_FN Ostrava_16Jan2023_CDA uploaded in ICD_ICD#1863451</t>
  </si>
  <si>
    <t>Eva Holubova</t>
  </si>
  <si>
    <t>BH5-CZ10003, DD5-CZ10019, DI6-CZ10001</t>
  </si>
  <si>
    <t>54179060CLL2032, 77242113UCO3001, 90014496LYM3001</t>
  </si>
  <si>
    <t>ICONIC-CD_UC Non Selection Letter Dr. Minarikova</t>
  </si>
  <si>
    <t>DD5-CZ10023, DD6-CZ10023</t>
  </si>
  <si>
    <t>DD5-CZ10023</t>
  </si>
  <si>
    <t>ICONIC-CD_UC Non Selection Letter Dr. Lukas</t>
  </si>
  <si>
    <t>DD5-CZ10024, DD6-CZ10024</t>
  </si>
  <si>
    <t>DD5-CZ10024</t>
  </si>
  <si>
    <t>NIPSF_Protocol_SQV training_23May2025</t>
  </si>
  <si>
    <t>Master Confidentiality Agreement_ISCARE a.s._11Oct2023_CDA uploaded in ICD_ICD#1974090</t>
  </si>
  <si>
    <t>ICONIC-CD_UC Non Selection Letter Dr. Drastich</t>
  </si>
  <si>
    <t>DD5-CZ10025, DD6-CZ10025</t>
  </si>
  <si>
    <t>DD5-CZ10025</t>
  </si>
  <si>
    <t>ICONIC-CD_UC Non Selection Letter Dr. Vaculin</t>
  </si>
  <si>
    <t>DD5-CZ10026, DD6-CZ10026</t>
  </si>
  <si>
    <t>DD5-CZ10026</t>
  </si>
  <si>
    <t>Zaneta Pavlasova</t>
  </si>
  <si>
    <t>CL to SQV_Dr. Vaculin_28May2025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</si>
</sst>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409]dd\ mmm\ yyyy\ h:mm\ AM/PM\ ;@"/>
    <numFmt numFmtId="166" formatCode="[$-409]dd\ mmm\ yyyy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indexed="12"/>
      <name val="Calibri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55"/>
  <sheetViews>
    <sheetView tabSelected="1" workbookViewId="0">
      <selection activeCell="J11" sqref="J11"/>
    </sheetView>
  </sheetViews>
  <sheetFormatPr defaultRowHeight="14.5" x14ac:dyDescent="0.35"/>
  <cols>
    <col min="1" max="1" width="40" customWidth="1"/>
    <col min="2" max="5" width="16" customWidth="1"/>
    <col min="6" max="6" width="32" customWidth="1"/>
    <col min="7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HYPERLINK("https://vtmf.veevavault.com/ui/#doc_info/31488872/1/0", "77242113UCO3001-CZE-DD5-CZ10001-Relevant Communications-20 Apr 2026 (v1.0)")</f>
        <v>77242113UCO3001-CZE-DD5-CZ10001-Relevant Communications-20 Apr 2026 (v1.0)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2" t="str">
        <f>HYPERLINK("https://vtmf.veevavault.com/ui/#doc_info/31488872/1/0", "VTMF-25409678")</f>
        <v>VTMF-25409678</v>
      </c>
      <c r="H2" s="3"/>
      <c r="I2" s="3" t="s">
        <v>22</v>
      </c>
      <c r="J2" s="3" t="s">
        <v>17</v>
      </c>
      <c r="K2" s="4">
        <v>46132.486284722218</v>
      </c>
      <c r="L2" s="5">
        <v>46132</v>
      </c>
      <c r="M2" s="3" t="s">
        <v>23</v>
      </c>
      <c r="N2" s="3" t="s">
        <v>24</v>
      </c>
      <c r="O2" s="3" t="s">
        <v>25</v>
      </c>
      <c r="P2" s="3" t="s">
        <v>26</v>
      </c>
      <c r="Q2" s="3" t="s">
        <v>27</v>
      </c>
    </row>
    <row r="3" spans="1:17" x14ac:dyDescent="0.35">
      <c r="A3" s="2" t="str">
        <f>HYPERLINK("https://vtmf.veevavault.com/ui/#doc_info/31393589/1/0", "77242113UCO3001-CZE-DD5-CZ10001-Non-IP Shipment Documentation-02 Apr 2026 (v1.0)")</f>
        <v>77242113UCO3001-CZE-DD5-CZ10001-Non-IP Shipment Documentation-02 Apr 2026 (v1.0)</v>
      </c>
      <c r="B3" s="3" t="s">
        <v>17</v>
      </c>
      <c r="C3" s="3" t="s">
        <v>28</v>
      </c>
      <c r="D3" s="3" t="s">
        <v>29</v>
      </c>
      <c r="E3" s="3" t="s">
        <v>30</v>
      </c>
      <c r="F3" s="3" t="s">
        <v>31</v>
      </c>
      <c r="G3" s="2" t="str">
        <f>HYPERLINK("https://vtmf.veevavault.com/ui/#doc_info/31393589/1/0", "VTMF-25328042")</f>
        <v>VTMF-25328042</v>
      </c>
      <c r="H3" s="3"/>
      <c r="I3" s="3" t="s">
        <v>22</v>
      </c>
      <c r="J3" s="3" t="s">
        <v>17</v>
      </c>
      <c r="K3" s="4">
        <v>46119.423877314817</v>
      </c>
      <c r="L3" s="5">
        <v>46125</v>
      </c>
      <c r="M3" s="3" t="s">
        <v>23</v>
      </c>
      <c r="N3" s="3" t="s">
        <v>32</v>
      </c>
      <c r="O3" s="3" t="s">
        <v>25</v>
      </c>
      <c r="P3" s="3" t="s">
        <v>26</v>
      </c>
      <c r="Q3" s="3" t="s">
        <v>27</v>
      </c>
    </row>
    <row r="4" spans="1:17" x14ac:dyDescent="0.35">
      <c r="A4" s="2" t="str">
        <f>HYPERLINK("https://vtmf.veevavault.com/ui/#doc_info/31393839/1/0", "77242113UCO3001-CZE-DD5-CZ10001-Non-IP Shipment Documentation-03 Mar 2026 (v1.0)")</f>
        <v>77242113UCO3001-CZE-DD5-CZ10001-Non-IP Shipment Documentation-03 Mar 2026 (v1.0)</v>
      </c>
      <c r="B4" s="3" t="s">
        <v>17</v>
      </c>
      <c r="C4" s="3" t="s">
        <v>28</v>
      </c>
      <c r="D4" s="3" t="s">
        <v>29</v>
      </c>
      <c r="E4" s="3" t="s">
        <v>30</v>
      </c>
      <c r="F4" s="3" t="s">
        <v>33</v>
      </c>
      <c r="G4" s="2" t="str">
        <f>HYPERLINK("https://vtmf.veevavault.com/ui/#doc_info/31393839/1/0", "VTMF-25328167")</f>
        <v>VTMF-25328167</v>
      </c>
      <c r="H4" s="3"/>
      <c r="I4" s="3" t="s">
        <v>22</v>
      </c>
      <c r="J4" s="3" t="s">
        <v>17</v>
      </c>
      <c r="K4" s="4">
        <v>46119.43582175926</v>
      </c>
      <c r="L4" s="5">
        <v>46125</v>
      </c>
      <c r="M4" s="3" t="s">
        <v>23</v>
      </c>
      <c r="N4" s="3" t="s">
        <v>32</v>
      </c>
      <c r="O4" s="3" t="s">
        <v>25</v>
      </c>
      <c r="P4" s="3" t="s">
        <v>26</v>
      </c>
      <c r="Q4" s="3" t="s">
        <v>27</v>
      </c>
    </row>
    <row r="5" spans="1:17" x14ac:dyDescent="0.35">
      <c r="A5" s="2" t="str">
        <f>HYPERLINK("https://vtmf.veevavault.com/ui/#doc_info/31289352/1/0", "77242113UCO3001-CZE-DD5-CZ10001-Non-IP Shipment Documentation-07 Jan 2026 (v1.0)")</f>
        <v>77242113UCO3001-CZE-DD5-CZ10001-Non-IP Shipment Documentation-07 Jan 2026 (v1.0)</v>
      </c>
      <c r="B5" s="3" t="s">
        <v>17</v>
      </c>
      <c r="C5" s="3" t="s">
        <v>28</v>
      </c>
      <c r="D5" s="3" t="s">
        <v>29</v>
      </c>
      <c r="E5" s="3" t="s">
        <v>30</v>
      </c>
      <c r="F5" s="3" t="s">
        <v>34</v>
      </c>
      <c r="G5" s="2" t="str">
        <f>HYPERLINK("https://vtmf.veevavault.com/ui/#doc_info/31289352/1/0", "VTMF-25234827")</f>
        <v>VTMF-25234827</v>
      </c>
      <c r="H5" s="3"/>
      <c r="I5" s="3" t="s">
        <v>22</v>
      </c>
      <c r="J5" s="3" t="s">
        <v>17</v>
      </c>
      <c r="K5" s="4">
        <v>46108.647928240738</v>
      </c>
      <c r="L5" s="5">
        <v>46125</v>
      </c>
      <c r="M5" s="3" t="s">
        <v>23</v>
      </c>
      <c r="N5" s="3" t="s">
        <v>32</v>
      </c>
      <c r="O5" s="3" t="s">
        <v>25</v>
      </c>
      <c r="P5" s="3" t="s">
        <v>26</v>
      </c>
      <c r="Q5" s="3" t="s">
        <v>27</v>
      </c>
    </row>
    <row r="6" spans="1:17" x14ac:dyDescent="0.35">
      <c r="A6" s="2" t="str">
        <f>HYPERLINK("https://vtmf.veevavault.com/ui/#doc_info/31410904/1/0", "77242113UCO3001-CZE-DD5-CZ10001-Relevant Communications-08 Apr 2026 (v1.0)")</f>
        <v>77242113UCO3001-CZE-DD5-CZ10001-Relevant Communications-08 Apr 2026 (v1.0)</v>
      </c>
      <c r="B6" s="3" t="s">
        <v>35</v>
      </c>
      <c r="C6" s="3" t="s">
        <v>18</v>
      </c>
      <c r="D6" s="3" t="s">
        <v>19</v>
      </c>
      <c r="E6" s="3" t="s">
        <v>20</v>
      </c>
      <c r="F6" s="3" t="s">
        <v>36</v>
      </c>
      <c r="G6" s="2" t="str">
        <f>HYPERLINK("https://vtmf.veevavault.com/ui/#doc_info/31410904/1/0", "VTMF-25343614")</f>
        <v>VTMF-25343614</v>
      </c>
      <c r="H6" s="3"/>
      <c r="I6" s="3" t="s">
        <v>22</v>
      </c>
      <c r="J6" s="3" t="s">
        <v>35</v>
      </c>
      <c r="K6" s="4">
        <v>46120.425706018519</v>
      </c>
      <c r="L6" s="5">
        <v>46120</v>
      </c>
      <c r="M6" s="3" t="s">
        <v>23</v>
      </c>
      <c r="N6" s="3" t="s">
        <v>24</v>
      </c>
      <c r="O6" s="3" t="s">
        <v>25</v>
      </c>
      <c r="P6" s="3" t="s">
        <v>26</v>
      </c>
      <c r="Q6" s="3" t="s">
        <v>27</v>
      </c>
    </row>
    <row r="7" spans="1:17" x14ac:dyDescent="0.35">
      <c r="A7" s="2" t="str">
        <f>HYPERLINK("https://vtmf.veevavault.com/ui/#doc_info/31061993/1/0", "77242113UCO3001-CZE-DD5-CZ10001-Relevant Communications-25 Feb 2026 (v1.0)")</f>
        <v>77242113UCO3001-CZE-DD5-CZ10001-Relevant Communications-25 Feb 2026 (v1.0)</v>
      </c>
      <c r="B7" s="3" t="s">
        <v>35</v>
      </c>
      <c r="C7" s="3" t="s">
        <v>18</v>
      </c>
      <c r="D7" s="3" t="s">
        <v>19</v>
      </c>
      <c r="E7" s="3" t="s">
        <v>20</v>
      </c>
      <c r="F7" s="3" t="s">
        <v>37</v>
      </c>
      <c r="G7" s="2" t="str">
        <f>HYPERLINK("https://vtmf.veevavault.com/ui/#doc_info/31061993/1/0", "VTMF-25041586")</f>
        <v>VTMF-25041586</v>
      </c>
      <c r="H7" s="3"/>
      <c r="I7" s="3" t="s">
        <v>22</v>
      </c>
      <c r="J7" s="3" t="s">
        <v>35</v>
      </c>
      <c r="K7" s="4">
        <v>46078.690729166658</v>
      </c>
      <c r="L7" s="5">
        <v>46078</v>
      </c>
      <c r="M7" s="3" t="s">
        <v>23</v>
      </c>
      <c r="N7" s="3" t="s">
        <v>24</v>
      </c>
      <c r="O7" s="3" t="s">
        <v>25</v>
      </c>
      <c r="P7" s="3" t="s">
        <v>26</v>
      </c>
      <c r="Q7" s="3" t="s">
        <v>27</v>
      </c>
    </row>
    <row r="8" spans="1:17" x14ac:dyDescent="0.35">
      <c r="A8" s="2" t="str">
        <f>HYPERLINK("https://vtmf.veevavault.com/ui/#doc_info/30999231/1/0", "77242113UCO3001-CZE-DD5-CZ10001-Monitoring Visit Follow-up Letter-SMVR_FL-05 Feb 2026 (v1.0)")</f>
        <v>77242113UCO3001-CZE-DD5-CZ10001-Monitoring Visit Follow-up Letter-SMVR_FL-05 Feb 2026 (v1.0)</v>
      </c>
      <c r="B8" s="3" t="s">
        <v>38</v>
      </c>
      <c r="C8" s="3" t="s">
        <v>18</v>
      </c>
      <c r="D8" s="3" t="s">
        <v>18</v>
      </c>
      <c r="E8" s="3" t="s">
        <v>39</v>
      </c>
      <c r="F8" s="3"/>
      <c r="G8" s="2" t="str">
        <f>HYPERLINK("https://vtmf.veevavault.com/ui/#doc_info/30999231/1/0", "VTMF-24987881")</f>
        <v>VTMF-24987881</v>
      </c>
      <c r="H8" s="3"/>
      <c r="I8" s="3" t="s">
        <v>40</v>
      </c>
      <c r="J8" s="3" t="s">
        <v>38</v>
      </c>
      <c r="K8" s="4">
        <v>46069.729675925933</v>
      </c>
      <c r="L8" s="5">
        <v>46069</v>
      </c>
      <c r="M8" s="3" t="s">
        <v>23</v>
      </c>
      <c r="N8" s="3" t="s">
        <v>41</v>
      </c>
      <c r="O8" s="3" t="s">
        <v>25</v>
      </c>
      <c r="P8" s="3" t="s">
        <v>26</v>
      </c>
      <c r="Q8" s="3" t="s">
        <v>27</v>
      </c>
    </row>
    <row r="9" spans="1:17" x14ac:dyDescent="0.35">
      <c r="A9" s="2" t="str">
        <f>HYPERLINK("https://vtmf.veevavault.com/ui/#doc_info/30996083/1/0", "77242113UCO3001-CZE-DD5-CZ10001-Monitoring Visit Report-05 Feb 2026 (v1.0)")</f>
        <v>77242113UCO3001-CZE-DD5-CZ10001-Monitoring Visit Report-05 Feb 2026 (v1.0)</v>
      </c>
      <c r="B9" s="3" t="s">
        <v>38</v>
      </c>
      <c r="C9" s="3" t="s">
        <v>18</v>
      </c>
      <c r="D9" s="3" t="s">
        <v>18</v>
      </c>
      <c r="E9" s="3" t="s">
        <v>42</v>
      </c>
      <c r="F9" s="3"/>
      <c r="G9" s="2" t="str">
        <f>HYPERLINK("https://vtmf.veevavault.com/ui/#doc_info/30996083/1/0", "VTMF-24985513")</f>
        <v>VTMF-24985513</v>
      </c>
      <c r="H9" s="3"/>
      <c r="I9" s="3" t="s">
        <v>40</v>
      </c>
      <c r="J9" s="3" t="s">
        <v>38</v>
      </c>
      <c r="K9" s="4">
        <v>46069.352349537039</v>
      </c>
      <c r="L9" s="5">
        <v>46069</v>
      </c>
      <c r="M9" s="3" t="s">
        <v>23</v>
      </c>
      <c r="N9" s="3" t="s">
        <v>43</v>
      </c>
      <c r="O9" s="3" t="s">
        <v>25</v>
      </c>
      <c r="P9" s="3" t="s">
        <v>26</v>
      </c>
      <c r="Q9" s="3" t="s">
        <v>27</v>
      </c>
    </row>
    <row r="10" spans="1:17" x14ac:dyDescent="0.35">
      <c r="A10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10" s="3" t="s">
        <v>35</v>
      </c>
      <c r="C10" s="3" t="s">
        <v>18</v>
      </c>
      <c r="D10" s="3" t="s">
        <v>19</v>
      </c>
      <c r="E10" s="3" t="s">
        <v>20</v>
      </c>
      <c r="F10" s="3" t="s">
        <v>44</v>
      </c>
      <c r="G10" s="2" t="str">
        <f>HYPERLINK("https://vtmf.veevavault.com/ui/#doc_info/30957580/1/0", "VTMF-24952860")</f>
        <v>VTMF-24952860</v>
      </c>
      <c r="H10" s="3"/>
      <c r="I10" s="3" t="s">
        <v>35</v>
      </c>
      <c r="J10" s="3" t="s">
        <v>35</v>
      </c>
      <c r="K10" s="4">
        <v>46063.445960648147</v>
      </c>
      <c r="L10" s="5">
        <v>46063</v>
      </c>
      <c r="M10" s="3" t="s">
        <v>23</v>
      </c>
      <c r="N10" s="3" t="s">
        <v>24</v>
      </c>
      <c r="O10" s="3" t="s">
        <v>25</v>
      </c>
      <c r="P10" s="3" t="s">
        <v>45</v>
      </c>
      <c r="Q10" s="3" t="s">
        <v>27</v>
      </c>
    </row>
    <row r="11" spans="1:17" x14ac:dyDescent="0.35">
      <c r="A11" s="2" t="str">
        <f>HYPERLINK("https://vtmf.veevavault.com/ui/#doc_info/30948206/1/0", "77242113UCO3001-CZE-DD5-CZ10001-Non-IP Shipment Documentation-22 Jan 2026 (v1.0)")</f>
        <v>77242113UCO3001-CZE-DD5-CZ10001-Non-IP Shipment Documentation-22 Jan 2026 (v1.0)</v>
      </c>
      <c r="B11" s="3" t="s">
        <v>17</v>
      </c>
      <c r="C11" s="3" t="s">
        <v>28</v>
      </c>
      <c r="D11" s="3" t="s">
        <v>29</v>
      </c>
      <c r="E11" s="3" t="s">
        <v>30</v>
      </c>
      <c r="F11" s="3" t="s">
        <v>46</v>
      </c>
      <c r="G11" s="2" t="str">
        <f>HYPERLINK("https://vtmf.veevavault.com/ui/#doc_info/30948206/1/0", "VTMF-24944701")</f>
        <v>VTMF-24944701</v>
      </c>
      <c r="H11" s="3"/>
      <c r="I11" s="3" t="s">
        <v>22</v>
      </c>
      <c r="J11" s="3" t="s">
        <v>17</v>
      </c>
      <c r="K11" s="4">
        <v>46062.414525462962</v>
      </c>
      <c r="L11" s="5">
        <v>46062</v>
      </c>
      <c r="M11" s="3" t="s">
        <v>23</v>
      </c>
      <c r="N11" s="3" t="s">
        <v>32</v>
      </c>
      <c r="O11" s="3" t="s">
        <v>25</v>
      </c>
      <c r="P11" s="3" t="s">
        <v>26</v>
      </c>
      <c r="Q11" s="3" t="s">
        <v>27</v>
      </c>
    </row>
    <row r="12" spans="1:17" x14ac:dyDescent="0.35">
      <c r="A12" s="2" t="str">
        <f>HYPERLINK("https://vtmf.veevavault.com/ui/#doc_info/30906444/1/0", "77242113UCO3001-CZE-DD5-CZ10001-Site Confirmation Letter-SMVR_CL-05 Feb 2026 (v1.0)")</f>
        <v>77242113UCO3001-CZE-DD5-CZ10001-Site Confirmation Letter-SMVR_CL-05 Feb 2026 (v1.0)</v>
      </c>
      <c r="B12" s="3" t="s">
        <v>38</v>
      </c>
      <c r="C12" s="3" t="s">
        <v>18</v>
      </c>
      <c r="D12" s="3" t="s">
        <v>18</v>
      </c>
      <c r="E12" s="3" t="s">
        <v>47</v>
      </c>
      <c r="F12" s="3"/>
      <c r="G12" s="2" t="str">
        <f>HYPERLINK("https://vtmf.veevavault.com/ui/#doc_info/30906444/1/0", "VTMF-24910414")</f>
        <v>VTMF-24910414</v>
      </c>
      <c r="H12" s="3"/>
      <c r="I12" s="3" t="s">
        <v>40</v>
      </c>
      <c r="J12" s="3" t="s">
        <v>38</v>
      </c>
      <c r="K12" s="4">
        <v>46056.523680555547</v>
      </c>
      <c r="L12" s="5">
        <v>46056</v>
      </c>
      <c r="M12" s="3" t="s">
        <v>23</v>
      </c>
      <c r="N12" s="3" t="s">
        <v>41</v>
      </c>
      <c r="O12" s="3" t="s">
        <v>25</v>
      </c>
      <c r="P12" s="3" t="s">
        <v>26</v>
      </c>
      <c r="Q12" s="3" t="s">
        <v>27</v>
      </c>
    </row>
    <row r="13" spans="1:17" x14ac:dyDescent="0.35">
      <c r="A13" s="2" t="str">
        <f>HYPERLINK("https://vtmf.veevavault.com/ui/#doc_info/30795190/1/0", "77242113UCO3001-CZE-DD5-CZ10001-Recruitment Plan-16 Jan 2026 (v1.0)")</f>
        <v>77242113UCO3001-CZE-DD5-CZ10001-Recruitment Plan-16 Jan 2026 (v1.0)</v>
      </c>
      <c r="B13" s="3" t="s">
        <v>35</v>
      </c>
      <c r="C13" s="3" t="s">
        <v>48</v>
      </c>
      <c r="D13" s="3" t="s">
        <v>49</v>
      </c>
      <c r="E13" s="3" t="s">
        <v>50</v>
      </c>
      <c r="F13" s="3" t="s">
        <v>51</v>
      </c>
      <c r="G13" s="2" t="str">
        <f>HYPERLINK("https://vtmf.veevavault.com/ui/#doc_info/30795190/1/0", "VTMF-24816089")</f>
        <v>VTMF-24816089</v>
      </c>
      <c r="H13" s="3"/>
      <c r="I13" s="3" t="s">
        <v>22</v>
      </c>
      <c r="J13" s="3" t="s">
        <v>35</v>
      </c>
      <c r="K13" s="4">
        <v>46038.752534722233</v>
      </c>
      <c r="L13" s="5">
        <v>46038</v>
      </c>
      <c r="M13" s="3" t="s">
        <v>23</v>
      </c>
      <c r="N13" s="3" t="s">
        <v>52</v>
      </c>
      <c r="O13" s="3" t="s">
        <v>25</v>
      </c>
      <c r="P13" s="3" t="s">
        <v>26</v>
      </c>
      <c r="Q13" s="3" t="s">
        <v>27</v>
      </c>
    </row>
    <row r="14" spans="1:17" x14ac:dyDescent="0.35">
      <c r="A14" s="2" t="str">
        <f>HYPERLINK("https://vtmf.veevavault.com/ui/#doc_info/30714934/1/0", "77242113UCO3001-CZE-DD5-CZ10001-Non-IP Shipment Documentation-09 Dec 2025 (v1.0)")</f>
        <v>77242113UCO3001-CZE-DD5-CZ10001-Non-IP Shipment Documentation-09 Dec 2025 (v1.0)</v>
      </c>
      <c r="B14" s="3" t="s">
        <v>17</v>
      </c>
      <c r="C14" s="3" t="s">
        <v>28</v>
      </c>
      <c r="D14" s="3" t="s">
        <v>29</v>
      </c>
      <c r="E14" s="3" t="s">
        <v>30</v>
      </c>
      <c r="F14" s="3" t="s">
        <v>53</v>
      </c>
      <c r="G14" s="2" t="str">
        <f>HYPERLINK("https://vtmf.veevavault.com/ui/#doc_info/30714934/1/0", "VTMF-24749551")</f>
        <v>VTMF-24749551</v>
      </c>
      <c r="H14" s="3"/>
      <c r="I14" s="3" t="s">
        <v>22</v>
      </c>
      <c r="J14" s="3" t="s">
        <v>17</v>
      </c>
      <c r="K14" s="4">
        <v>46027.447083333333</v>
      </c>
      <c r="L14" s="5">
        <v>46027</v>
      </c>
      <c r="M14" s="3" t="s">
        <v>23</v>
      </c>
      <c r="N14" s="3" t="s">
        <v>32</v>
      </c>
      <c r="O14" s="3" t="s">
        <v>25</v>
      </c>
      <c r="P14" s="3" t="s">
        <v>26</v>
      </c>
      <c r="Q14" s="3" t="s">
        <v>27</v>
      </c>
    </row>
    <row r="15" spans="1:17" x14ac:dyDescent="0.35">
      <c r="A15" s="2" t="str">
        <f>HYPERLINK("https://vtmf.veevavault.com/ui/#doc_info/30714935/1/0", "77242113UCO3001-CZE-DD5-CZ10001-Non-IP Shipment Documentation-09 Dec 2025 (v1.0)")</f>
        <v>77242113UCO3001-CZE-DD5-CZ10001-Non-IP Shipment Documentation-09 Dec 2025 (v1.0)</v>
      </c>
      <c r="B15" s="3" t="s">
        <v>17</v>
      </c>
      <c r="C15" s="3" t="s">
        <v>28</v>
      </c>
      <c r="D15" s="3" t="s">
        <v>29</v>
      </c>
      <c r="E15" s="3" t="s">
        <v>30</v>
      </c>
      <c r="F15" s="3" t="s">
        <v>54</v>
      </c>
      <c r="G15" s="2" t="str">
        <f>HYPERLINK("https://vtmf.veevavault.com/ui/#doc_info/30714935/1/0", "VTMF-24749552")</f>
        <v>VTMF-24749552</v>
      </c>
      <c r="H15" s="3"/>
      <c r="I15" s="3" t="s">
        <v>22</v>
      </c>
      <c r="J15" s="3" t="s">
        <v>17</v>
      </c>
      <c r="K15" s="4">
        <v>46027.447083333333</v>
      </c>
      <c r="L15" s="5">
        <v>46027</v>
      </c>
      <c r="M15" s="3" t="s">
        <v>23</v>
      </c>
      <c r="N15" s="3" t="s">
        <v>32</v>
      </c>
      <c r="O15" s="3" t="s">
        <v>25</v>
      </c>
      <c r="P15" s="3" t="s">
        <v>26</v>
      </c>
      <c r="Q15" s="3" t="s">
        <v>27</v>
      </c>
    </row>
    <row r="16" spans="1:17" x14ac:dyDescent="0.35">
      <c r="A16" s="2" t="str">
        <f>HYPERLINK("https://vtmf.veevavault.com/ui/#doc_info/30714936/1/0", "77242113UCO3001-CZE-DD5-CZ10001-Non-IP Shipment Documentation-09 Dec 2025 (v1.0)")</f>
        <v>77242113UCO3001-CZE-DD5-CZ10001-Non-IP Shipment Documentation-09 Dec 2025 (v1.0)</v>
      </c>
      <c r="B16" s="3" t="s">
        <v>17</v>
      </c>
      <c r="C16" s="3" t="s">
        <v>28</v>
      </c>
      <c r="D16" s="3" t="s">
        <v>29</v>
      </c>
      <c r="E16" s="3" t="s">
        <v>30</v>
      </c>
      <c r="F16" s="3" t="s">
        <v>55</v>
      </c>
      <c r="G16" s="2" t="str">
        <f>HYPERLINK("https://vtmf.veevavault.com/ui/#doc_info/30714936/1/0", "VTMF-24749553")</f>
        <v>VTMF-24749553</v>
      </c>
      <c r="H16" s="3"/>
      <c r="I16" s="3" t="s">
        <v>22</v>
      </c>
      <c r="J16" s="3" t="s">
        <v>17</v>
      </c>
      <c r="K16" s="4">
        <v>46027.447083333333</v>
      </c>
      <c r="L16" s="5">
        <v>46027</v>
      </c>
      <c r="M16" s="3" t="s">
        <v>23</v>
      </c>
      <c r="N16" s="3" t="s">
        <v>32</v>
      </c>
      <c r="O16" s="3" t="s">
        <v>25</v>
      </c>
      <c r="P16" s="3" t="s">
        <v>26</v>
      </c>
      <c r="Q16" s="3" t="s">
        <v>27</v>
      </c>
    </row>
    <row r="17" spans="1:17" x14ac:dyDescent="0.35">
      <c r="A17" s="2" t="str">
        <f>HYPERLINK("https://vtmf.veevavault.com/ui/#doc_info/30715817/1/0", "77242113UCO3001-CZE-DD5-CZ10001-Other Curriculum Vitae-09 Dec 2025 (v1.0)")</f>
        <v>77242113UCO3001-CZE-DD5-CZ10001-Other Curriculum Vitae-09 Dec 2025 (v1.0)</v>
      </c>
      <c r="B17" s="3" t="s">
        <v>56</v>
      </c>
      <c r="C17" s="3" t="s">
        <v>18</v>
      </c>
      <c r="D17" s="3" t="s">
        <v>57</v>
      </c>
      <c r="E17" s="3" t="s">
        <v>58</v>
      </c>
      <c r="F17" s="3" t="s">
        <v>59</v>
      </c>
      <c r="G17" s="2" t="str">
        <f>HYPERLINK("https://vtmf.veevavault.com/ui/#doc_info/30715817/1/0", "VTMF-24750365")</f>
        <v>VTMF-24750365</v>
      </c>
      <c r="H17" s="3"/>
      <c r="I17" s="3" t="s">
        <v>22</v>
      </c>
      <c r="J17" s="3" t="s">
        <v>56</v>
      </c>
      <c r="K17" s="4">
        <v>46027.568437499998</v>
      </c>
      <c r="L17" s="5">
        <v>46027</v>
      </c>
      <c r="M17" s="3" t="s">
        <v>23</v>
      </c>
      <c r="N17" s="3" t="s">
        <v>60</v>
      </c>
      <c r="O17" s="3" t="s">
        <v>25</v>
      </c>
      <c r="P17" s="3" t="s">
        <v>26</v>
      </c>
      <c r="Q17" s="3" t="s">
        <v>27</v>
      </c>
    </row>
    <row r="18" spans="1:17" x14ac:dyDescent="0.35">
      <c r="A18" s="2" t="str">
        <f>HYPERLINK("https://vtmf.veevavault.com/ui/#doc_info/30715824/1/0", "77242113UCO3001-CZE-DD5-CZ10001-Other Curriculum Vitae-09 Dec 2025 (v1.0)")</f>
        <v>77242113UCO3001-CZE-DD5-CZ10001-Other Curriculum Vitae-09 Dec 2025 (v1.0)</v>
      </c>
      <c r="B18" s="3" t="s">
        <v>56</v>
      </c>
      <c r="C18" s="3" t="s">
        <v>18</v>
      </c>
      <c r="D18" s="3" t="s">
        <v>57</v>
      </c>
      <c r="E18" s="3" t="s">
        <v>58</v>
      </c>
      <c r="F18" s="3" t="s">
        <v>61</v>
      </c>
      <c r="G18" s="2" t="str">
        <f>HYPERLINK("https://vtmf.veevavault.com/ui/#doc_info/30715824/1/0", "VTMF-24750392")</f>
        <v>VTMF-24750392</v>
      </c>
      <c r="H18" s="3"/>
      <c r="I18" s="3" t="s">
        <v>22</v>
      </c>
      <c r="J18" s="3" t="s">
        <v>56</v>
      </c>
      <c r="K18" s="4">
        <v>46027.570219907408</v>
      </c>
      <c r="L18" s="5">
        <v>46027</v>
      </c>
      <c r="M18" s="3" t="s">
        <v>23</v>
      </c>
      <c r="N18" s="3" t="s">
        <v>60</v>
      </c>
      <c r="O18" s="3" t="s">
        <v>25</v>
      </c>
      <c r="P18" s="3" t="s">
        <v>26</v>
      </c>
      <c r="Q18" s="3" t="s">
        <v>27</v>
      </c>
    </row>
    <row r="19" spans="1:17" x14ac:dyDescent="0.35">
      <c r="A19" s="2" t="str">
        <f>HYPERLINK("https://vtmf.veevavault.com/ui/#doc_info/30715839/1/0", "77242113UCO3001-CZE-DD5-CZ10001-Other Curriculum Vitae-09 Dec 2025 (v1.0)")</f>
        <v>77242113UCO3001-CZE-DD5-CZ10001-Other Curriculum Vitae-09 Dec 2025 (v1.0)</v>
      </c>
      <c r="B19" s="3" t="s">
        <v>56</v>
      </c>
      <c r="C19" s="3" t="s">
        <v>18</v>
      </c>
      <c r="D19" s="3" t="s">
        <v>57</v>
      </c>
      <c r="E19" s="3" t="s">
        <v>58</v>
      </c>
      <c r="F19" s="3" t="s">
        <v>62</v>
      </c>
      <c r="G19" s="2" t="str">
        <f>HYPERLINK("https://vtmf.veevavault.com/ui/#doc_info/30715839/1/0", "VTMF-24750440")</f>
        <v>VTMF-24750440</v>
      </c>
      <c r="H19" s="3"/>
      <c r="I19" s="3" t="s">
        <v>22</v>
      </c>
      <c r="J19" s="3" t="s">
        <v>56</v>
      </c>
      <c r="K19" s="4">
        <v>46027.577013888891</v>
      </c>
      <c r="L19" s="5">
        <v>46027</v>
      </c>
      <c r="M19" s="3" t="s">
        <v>23</v>
      </c>
      <c r="N19" s="3" t="s">
        <v>60</v>
      </c>
      <c r="O19" s="3" t="s">
        <v>25</v>
      </c>
      <c r="P19" s="3" t="s">
        <v>26</v>
      </c>
      <c r="Q19" s="3" t="s">
        <v>27</v>
      </c>
    </row>
    <row r="20" spans="1:17" x14ac:dyDescent="0.35">
      <c r="A20" s="2" t="str">
        <f>HYPERLINK("https://vtmf.veevavault.com/ui/#doc_info/30715927/1/0", "77242113UCO3001-CZE-DD5-CZ10001-Other Curriculum Vitae-09 Dec 2025 (v1.0)")</f>
        <v>77242113UCO3001-CZE-DD5-CZ10001-Other Curriculum Vitae-09 Dec 2025 (v1.0)</v>
      </c>
      <c r="B20" s="3" t="s">
        <v>56</v>
      </c>
      <c r="C20" s="3" t="s">
        <v>18</v>
      </c>
      <c r="D20" s="3" t="s">
        <v>57</v>
      </c>
      <c r="E20" s="3" t="s">
        <v>58</v>
      </c>
      <c r="F20" s="3" t="s">
        <v>63</v>
      </c>
      <c r="G20" s="2" t="str">
        <f>HYPERLINK("https://vtmf.veevavault.com/ui/#doc_info/30715927/1/0", "VTMF-24750446")</f>
        <v>VTMF-24750446</v>
      </c>
      <c r="H20" s="3"/>
      <c r="I20" s="3" t="s">
        <v>22</v>
      </c>
      <c r="J20" s="3" t="s">
        <v>56</v>
      </c>
      <c r="K20" s="4">
        <v>46027.578634259262</v>
      </c>
      <c r="L20" s="5">
        <v>46027</v>
      </c>
      <c r="M20" s="3" t="s">
        <v>23</v>
      </c>
      <c r="N20" s="3" t="s">
        <v>60</v>
      </c>
      <c r="O20" s="3" t="s">
        <v>25</v>
      </c>
      <c r="P20" s="3" t="s">
        <v>26</v>
      </c>
      <c r="Q20" s="3" t="s">
        <v>27</v>
      </c>
    </row>
    <row r="21" spans="1:17" x14ac:dyDescent="0.35">
      <c r="A21" s="2" t="str">
        <f>HYPERLINK("https://vtmf.veevavault.com/ui/#doc_info/30715833/1/0", "77242113UCO3001-CZE-DD5-CZ10001-Other Curriculum Vitae-27 Nov 2025 (v1.0)")</f>
        <v>77242113UCO3001-CZE-DD5-CZ10001-Other Curriculum Vitae-27 Nov 2025 (v1.0)</v>
      </c>
      <c r="B21" s="3" t="s">
        <v>56</v>
      </c>
      <c r="C21" s="3" t="s">
        <v>18</v>
      </c>
      <c r="D21" s="3" t="s">
        <v>57</v>
      </c>
      <c r="E21" s="3" t="s">
        <v>58</v>
      </c>
      <c r="F21" s="3" t="s">
        <v>64</v>
      </c>
      <c r="G21" s="2" t="str">
        <f>HYPERLINK("https://vtmf.veevavault.com/ui/#doc_info/30715833/1/0", "VTMF-24750430")</f>
        <v>VTMF-24750430</v>
      </c>
      <c r="H21" s="3"/>
      <c r="I21" s="3" t="s">
        <v>22</v>
      </c>
      <c r="J21" s="3" t="s">
        <v>56</v>
      </c>
      <c r="K21" s="4">
        <v>46027.574305555558</v>
      </c>
      <c r="L21" s="5">
        <v>46027</v>
      </c>
      <c r="M21" s="3" t="s">
        <v>23</v>
      </c>
      <c r="N21" s="3" t="s">
        <v>60</v>
      </c>
      <c r="O21" s="3" t="s">
        <v>25</v>
      </c>
      <c r="P21" s="3" t="s">
        <v>26</v>
      </c>
      <c r="Q21" s="3" t="s">
        <v>27</v>
      </c>
    </row>
    <row r="22" spans="1:17" x14ac:dyDescent="0.35">
      <c r="A22" s="2" t="str">
        <f>HYPERLINK("https://vtmf.veevavault.com/ui/#doc_info/30715829/1/0", "77242113UCO3001-CZE-DD5-CZ10001-Principal Investigator Curriculum Vitae-16 Dec 2025 (v1.0)")</f>
        <v>77242113UCO3001-CZE-DD5-CZ10001-Principal Investigator Curriculum Vitae-16 Dec 2025 (v1.0)</v>
      </c>
      <c r="B22" s="3" t="s">
        <v>56</v>
      </c>
      <c r="C22" s="3" t="s">
        <v>18</v>
      </c>
      <c r="D22" s="3" t="s">
        <v>57</v>
      </c>
      <c r="E22" s="3" t="s">
        <v>65</v>
      </c>
      <c r="F22" s="3" t="s">
        <v>66</v>
      </c>
      <c r="G22" s="2" t="str">
        <f>HYPERLINK("https://vtmf.veevavault.com/ui/#doc_info/30715829/1/0", "VTMF-24750414")</f>
        <v>VTMF-24750414</v>
      </c>
      <c r="H22" s="3"/>
      <c r="I22" s="3" t="s">
        <v>22</v>
      </c>
      <c r="J22" s="3" t="s">
        <v>56</v>
      </c>
      <c r="K22" s="4">
        <v>46027.572569444441</v>
      </c>
      <c r="L22" s="5">
        <v>46027</v>
      </c>
      <c r="M22" s="3" t="s">
        <v>23</v>
      </c>
      <c r="N22" s="3" t="s">
        <v>67</v>
      </c>
      <c r="O22" s="3" t="s">
        <v>25</v>
      </c>
      <c r="P22" s="3" t="s">
        <v>26</v>
      </c>
      <c r="Q22" s="3" t="s">
        <v>27</v>
      </c>
    </row>
    <row r="23" spans="1:17" x14ac:dyDescent="0.35">
      <c r="A23" s="2" t="str">
        <f>HYPERLINK("https://vtmf.veevavault.com/ui/#doc_info/30715743/1/0", "77242113UCO3001-CZE-DD5-CZ10001-Site Training Documentation-02 Dec 2025 (v1.0)")</f>
        <v>77242113UCO3001-CZE-DD5-CZ10001-Site Training Documentation-02 Dec 2025 (v1.0)</v>
      </c>
      <c r="B23" s="3" t="s">
        <v>56</v>
      </c>
      <c r="C23" s="3" t="s">
        <v>18</v>
      </c>
      <c r="D23" s="3" t="s">
        <v>68</v>
      </c>
      <c r="E23" s="3" t="s">
        <v>69</v>
      </c>
      <c r="F23" s="3" t="s">
        <v>70</v>
      </c>
      <c r="G23" s="2" t="str">
        <f>HYPERLINK("https://vtmf.veevavault.com/ui/#doc_info/30715743/1/0", "VTMF-24750207")</f>
        <v>VTMF-24750207</v>
      </c>
      <c r="H23" s="3"/>
      <c r="I23" s="3" t="s">
        <v>22</v>
      </c>
      <c r="J23" s="3" t="s">
        <v>56</v>
      </c>
      <c r="K23" s="4">
        <v>46027.546157407407</v>
      </c>
      <c r="L23" s="5">
        <v>46027</v>
      </c>
      <c r="M23" s="3" t="s">
        <v>23</v>
      </c>
      <c r="N23" s="3" t="s">
        <v>60</v>
      </c>
      <c r="O23" s="3" t="s">
        <v>25</v>
      </c>
      <c r="P23" s="3" t="s">
        <v>26</v>
      </c>
      <c r="Q23" s="3" t="s">
        <v>27</v>
      </c>
    </row>
    <row r="24" spans="1:17" x14ac:dyDescent="0.35">
      <c r="A24" s="2" t="str">
        <f>HYPERLINK("https://vtmf.veevavault.com/ui/#doc_info/30715731/1/0", "77242113UCO3001-CZE-DD5-CZ10001-Site Training Documentation-09 Nov 2025 (v1.0)")</f>
        <v>77242113UCO3001-CZE-DD5-CZ10001-Site Training Documentation-09 Nov 2025 (v1.0)</v>
      </c>
      <c r="B24" s="3" t="s">
        <v>56</v>
      </c>
      <c r="C24" s="3" t="s">
        <v>18</v>
      </c>
      <c r="D24" s="3" t="s">
        <v>68</v>
      </c>
      <c r="E24" s="3" t="s">
        <v>69</v>
      </c>
      <c r="F24" s="3" t="s">
        <v>71</v>
      </c>
      <c r="G24" s="2" t="str">
        <f>HYPERLINK("https://vtmf.veevavault.com/ui/#doc_info/30715731/1/0", "VTMF-24750188")</f>
        <v>VTMF-24750188</v>
      </c>
      <c r="H24" s="3"/>
      <c r="I24" s="3" t="s">
        <v>22</v>
      </c>
      <c r="J24" s="3" t="s">
        <v>56</v>
      </c>
      <c r="K24" s="4">
        <v>46027.542870370373</v>
      </c>
      <c r="L24" s="5">
        <v>46027</v>
      </c>
      <c r="M24" s="3" t="s">
        <v>23</v>
      </c>
      <c r="N24" s="3" t="s">
        <v>60</v>
      </c>
      <c r="O24" s="3" t="s">
        <v>25</v>
      </c>
      <c r="P24" s="3" t="s">
        <v>26</v>
      </c>
      <c r="Q24" s="3" t="s">
        <v>27</v>
      </c>
    </row>
    <row r="25" spans="1:17" x14ac:dyDescent="0.35">
      <c r="A25" s="2" t="str">
        <f>HYPERLINK("https://vtmf.veevavault.com/ui/#doc_info/30715959/1/0", "77242113UCO3001-CZE-DD5-CZ10001-Site Training Documentation-13 Nov 2025 (v1.0)")</f>
        <v>77242113UCO3001-CZE-DD5-CZ10001-Site Training Documentation-13 Nov 2025 (v1.0)</v>
      </c>
      <c r="B25" s="3" t="s">
        <v>56</v>
      </c>
      <c r="C25" s="3" t="s">
        <v>18</v>
      </c>
      <c r="D25" s="3" t="s">
        <v>68</v>
      </c>
      <c r="E25" s="3" t="s">
        <v>69</v>
      </c>
      <c r="F25" s="3" t="s">
        <v>72</v>
      </c>
      <c r="G25" s="2" t="str">
        <f>HYPERLINK("https://vtmf.veevavault.com/ui/#doc_info/30715959/1/0", "VTMF-24750515")</f>
        <v>VTMF-24750515</v>
      </c>
      <c r="H25" s="3"/>
      <c r="I25" s="3" t="s">
        <v>22</v>
      </c>
      <c r="J25" s="3" t="s">
        <v>56</v>
      </c>
      <c r="K25" s="4">
        <v>46027.590104166673</v>
      </c>
      <c r="L25" s="5">
        <v>46027</v>
      </c>
      <c r="M25" s="3" t="s">
        <v>23</v>
      </c>
      <c r="N25" s="3" t="s">
        <v>60</v>
      </c>
      <c r="O25" s="3" t="s">
        <v>25</v>
      </c>
      <c r="P25" s="3" t="s">
        <v>26</v>
      </c>
      <c r="Q25" s="3" t="s">
        <v>27</v>
      </c>
    </row>
    <row r="26" spans="1:17" x14ac:dyDescent="0.35">
      <c r="A26" s="2" t="str">
        <f>HYPERLINK("https://vtmf.veevavault.com/ui/#doc_info/30715973/1/0", "77242113UCO3001-CZE-DD5-CZ10001-Site Training Documentation-14 Nov 2025 (v1.0)")</f>
        <v>77242113UCO3001-CZE-DD5-CZ10001-Site Training Documentation-14 Nov 2025 (v1.0)</v>
      </c>
      <c r="B26" s="3" t="s">
        <v>56</v>
      </c>
      <c r="C26" s="3" t="s">
        <v>18</v>
      </c>
      <c r="D26" s="3" t="s">
        <v>68</v>
      </c>
      <c r="E26" s="3" t="s">
        <v>69</v>
      </c>
      <c r="F26" s="3" t="s">
        <v>73</v>
      </c>
      <c r="G26" s="2" t="str">
        <f>HYPERLINK("https://vtmf.veevavault.com/ui/#doc_info/30715973/1/0", "VTMF-24750533")</f>
        <v>VTMF-24750533</v>
      </c>
      <c r="H26" s="3"/>
      <c r="I26" s="3" t="s">
        <v>22</v>
      </c>
      <c r="J26" s="3" t="s">
        <v>56</v>
      </c>
      <c r="K26" s="4">
        <v>46027.591909722221</v>
      </c>
      <c r="L26" s="5">
        <v>46027</v>
      </c>
      <c r="M26" s="3" t="s">
        <v>23</v>
      </c>
      <c r="N26" s="3" t="s">
        <v>60</v>
      </c>
      <c r="O26" s="3" t="s">
        <v>25</v>
      </c>
      <c r="P26" s="3" t="s">
        <v>26</v>
      </c>
      <c r="Q26" s="3" t="s">
        <v>27</v>
      </c>
    </row>
    <row r="27" spans="1:17" x14ac:dyDescent="0.35">
      <c r="A27" s="2" t="str">
        <f>HYPERLINK("https://vtmf.veevavault.com/ui/#doc_info/30715956/1/0", "77242113UCO3001-CZE-DD5-CZ10001-Site Training Documentation-19 May 2025 (v1.0)")</f>
        <v>77242113UCO3001-CZE-DD5-CZ10001-Site Training Documentation-19 May 2025 (v1.0)</v>
      </c>
      <c r="B27" s="3" t="s">
        <v>56</v>
      </c>
      <c r="C27" s="3" t="s">
        <v>18</v>
      </c>
      <c r="D27" s="3" t="s">
        <v>68</v>
      </c>
      <c r="E27" s="3" t="s">
        <v>69</v>
      </c>
      <c r="F27" s="3" t="s">
        <v>74</v>
      </c>
      <c r="G27" s="2" t="str">
        <f>HYPERLINK("https://vtmf.veevavault.com/ui/#doc_info/30715956/1/0", "VTMF-24750509")</f>
        <v>VTMF-24750509</v>
      </c>
      <c r="H27" s="3"/>
      <c r="I27" s="3" t="s">
        <v>22</v>
      </c>
      <c r="J27" s="3" t="s">
        <v>56</v>
      </c>
      <c r="K27" s="4">
        <v>46027.588576388887</v>
      </c>
      <c r="L27" s="5">
        <v>46027</v>
      </c>
      <c r="M27" s="3" t="s">
        <v>23</v>
      </c>
      <c r="N27" s="3" t="s">
        <v>60</v>
      </c>
      <c r="O27" s="3" t="s">
        <v>25</v>
      </c>
      <c r="P27" s="3" t="s">
        <v>26</v>
      </c>
      <c r="Q27" s="3" t="s">
        <v>27</v>
      </c>
    </row>
    <row r="28" spans="1:17" x14ac:dyDescent="0.35">
      <c r="A28" s="2" t="str">
        <f>HYPERLINK("https://vtmf.veevavault.com/ui/#doc_info/30715836/1/0", "77242113UCO3001-CZE-DD5-CZ10001-Sub-Investigator Curriculum Vitae-16 Dec 2025 (v1.0)")</f>
        <v>77242113UCO3001-CZE-DD5-CZ10001-Sub-Investigator Curriculum Vitae-16 Dec 2025 (v1.0)</v>
      </c>
      <c r="B28" s="3" t="s">
        <v>56</v>
      </c>
      <c r="C28" s="3" t="s">
        <v>18</v>
      </c>
      <c r="D28" s="3" t="s">
        <v>57</v>
      </c>
      <c r="E28" s="3" t="s">
        <v>75</v>
      </c>
      <c r="F28" s="3" t="s">
        <v>76</v>
      </c>
      <c r="G28" s="2" t="str">
        <f>HYPERLINK("https://vtmf.veevavault.com/ui/#doc_info/30715836/1/0", "VTMF-24750435")</f>
        <v>VTMF-24750435</v>
      </c>
      <c r="H28" s="3"/>
      <c r="I28" s="3" t="s">
        <v>22</v>
      </c>
      <c r="J28" s="3" t="s">
        <v>56</v>
      </c>
      <c r="K28" s="4">
        <v>46027.575439814813</v>
      </c>
      <c r="L28" s="5">
        <v>46027</v>
      </c>
      <c r="M28" s="3" t="s">
        <v>23</v>
      </c>
      <c r="N28" s="3" t="s">
        <v>67</v>
      </c>
      <c r="O28" s="3" t="s">
        <v>25</v>
      </c>
      <c r="P28" s="3" t="s">
        <v>26</v>
      </c>
      <c r="Q28" s="3" t="s">
        <v>27</v>
      </c>
    </row>
    <row r="29" spans="1:17" x14ac:dyDescent="0.35">
      <c r="A29" s="2" t="str">
        <f>HYPERLINK("https://vtmf.veevavault.com/ui/#doc_info/30715412/1/0", "77242113UCO3001-CZE-DD5-CZ10001-Temperature Monitor Validation/Calibration Cert.-22 Oct 2025 (v1.0)")</f>
        <v>77242113UCO3001-CZE-DD5-CZ10001-Temperature Monitor Validation/Calibration Cert.-22 Oct 2025 (v1.0)</v>
      </c>
      <c r="B29" s="3" t="s">
        <v>17</v>
      </c>
      <c r="C29" s="3" t="s">
        <v>28</v>
      </c>
      <c r="D29" s="3" t="s">
        <v>77</v>
      </c>
      <c r="E29" s="3" t="s">
        <v>78</v>
      </c>
      <c r="F29" s="3" t="s">
        <v>79</v>
      </c>
      <c r="G29" s="2" t="str">
        <f>HYPERLINK("https://vtmf.veevavault.com/ui/#doc_info/30715412/1/0", "VTMF-24749970")</f>
        <v>VTMF-24749970</v>
      </c>
      <c r="H29" s="3"/>
      <c r="I29" s="3" t="s">
        <v>22</v>
      </c>
      <c r="J29" s="3" t="s">
        <v>17</v>
      </c>
      <c r="K29" s="4">
        <v>46027.503287037027</v>
      </c>
      <c r="L29" s="5">
        <v>46027</v>
      </c>
      <c r="M29" s="3" t="s">
        <v>23</v>
      </c>
      <c r="N29" s="3" t="s">
        <v>80</v>
      </c>
      <c r="O29" s="3" t="s">
        <v>81</v>
      </c>
      <c r="P29" s="3" t="s">
        <v>82</v>
      </c>
      <c r="Q29" s="3" t="s">
        <v>83</v>
      </c>
    </row>
    <row r="30" spans="1:17" x14ac:dyDescent="0.35">
      <c r="A30" s="2" t="str">
        <f>HYPERLINK("https://vtmf.veevavault.com/ui/#doc_info/30708835/1/0", "77242113UCO3001-CZE-DD5-CZ10001-Certification of Electronic Signature-09 Dec 2025 (v1.0)")</f>
        <v>77242113UCO3001-CZE-DD5-CZ10001-Certification of Electronic Signature-09 Dec 2025 (v1.0)</v>
      </c>
      <c r="B30" s="3" t="s">
        <v>35</v>
      </c>
      <c r="C30" s="3" t="s">
        <v>84</v>
      </c>
      <c r="D30" s="3" t="s">
        <v>85</v>
      </c>
      <c r="E30" s="3" t="s">
        <v>86</v>
      </c>
      <c r="F30" s="3" t="s">
        <v>87</v>
      </c>
      <c r="G30" s="2" t="str">
        <f>HYPERLINK("https://vtmf.veevavault.com/ui/#doc_info/30708835/1/0", "VTMF-24744303")</f>
        <v>VTMF-24744303</v>
      </c>
      <c r="H30" s="3"/>
      <c r="I30" s="3" t="s">
        <v>35</v>
      </c>
      <c r="J30" s="3" t="s">
        <v>35</v>
      </c>
      <c r="K30" s="4">
        <v>46024.643194444441</v>
      </c>
      <c r="L30" s="5">
        <v>46024</v>
      </c>
      <c r="M30" s="3" t="s">
        <v>23</v>
      </c>
      <c r="N30" s="3" t="s">
        <v>60</v>
      </c>
      <c r="O30" s="3" t="s">
        <v>25</v>
      </c>
      <c r="P30" s="3" t="s">
        <v>26</v>
      </c>
      <c r="Q30" s="3" t="s">
        <v>27</v>
      </c>
    </row>
    <row r="31" spans="1:17" x14ac:dyDescent="0.35">
      <c r="A31" s="2" t="str">
        <f>HYPERLINK("https://vtmf.veevavault.com/ui/#doc_info/30708842/1/0", "77242113UCO3001-CZE-DD5-CZ10001-Source Data-09 Dec 2025 (v1.0)")</f>
        <v>77242113UCO3001-CZE-DD5-CZ10001-Source Data-09 Dec 2025 (v1.0)</v>
      </c>
      <c r="B31" s="3" t="s">
        <v>35</v>
      </c>
      <c r="C31" s="3" t="s">
        <v>18</v>
      </c>
      <c r="D31" s="3" t="s">
        <v>18</v>
      </c>
      <c r="E31" s="3" t="s">
        <v>88</v>
      </c>
      <c r="F31" s="3" t="s">
        <v>89</v>
      </c>
      <c r="G31" s="2" t="str">
        <f>HYPERLINK("https://vtmf.veevavault.com/ui/#doc_info/30708842/1/0", "VTMF-24744316")</f>
        <v>VTMF-24744316</v>
      </c>
      <c r="H31" s="3"/>
      <c r="I31" s="3" t="s">
        <v>35</v>
      </c>
      <c r="J31" s="3" t="s">
        <v>35</v>
      </c>
      <c r="K31" s="4">
        <v>46024.644942129627</v>
      </c>
      <c r="L31" s="5">
        <v>46024</v>
      </c>
      <c r="M31" s="3" t="s">
        <v>23</v>
      </c>
      <c r="N31" s="3" t="s">
        <v>60</v>
      </c>
      <c r="O31" s="3" t="s">
        <v>25</v>
      </c>
      <c r="P31" s="3" t="s">
        <v>26</v>
      </c>
      <c r="Q31" s="3" t="s">
        <v>27</v>
      </c>
    </row>
    <row r="32" spans="1:17" x14ac:dyDescent="0.35">
      <c r="A32" s="2" t="str">
        <f>HYPERLINK("https://vtmf.veevavault.com/ui/#doc_info/30702629/1/0", "77242113UCO3001-CZE-DD5-CZ10001-Trial Initiation Monitoring Report-22 Dec 2025 (v1.0)")</f>
        <v>77242113UCO3001-CZE-DD5-CZ10001-Trial Initiation Monitoring Report-22 Dec 2025 (v1.0)</v>
      </c>
      <c r="B32" s="3" t="s">
        <v>38</v>
      </c>
      <c r="C32" s="3" t="s">
        <v>18</v>
      </c>
      <c r="D32" s="3" t="s">
        <v>68</v>
      </c>
      <c r="E32" s="3" t="s">
        <v>90</v>
      </c>
      <c r="F32" s="3"/>
      <c r="G32" s="2" t="str">
        <f>HYPERLINK("https://vtmf.veevavault.com/ui/#doc_info/30702629/1/0", "VTMF-24743484")</f>
        <v>VTMF-24743484</v>
      </c>
      <c r="H32" s="3"/>
      <c r="I32" s="3" t="s">
        <v>40</v>
      </c>
      <c r="J32" s="3" t="s">
        <v>38</v>
      </c>
      <c r="K32" s="4">
        <v>46024.437199074076</v>
      </c>
      <c r="L32" s="5">
        <v>46024</v>
      </c>
      <c r="M32" s="3" t="s">
        <v>23</v>
      </c>
      <c r="N32" s="3" t="s">
        <v>91</v>
      </c>
      <c r="O32" s="3" t="s">
        <v>25</v>
      </c>
      <c r="P32" s="3" t="s">
        <v>26</v>
      </c>
      <c r="Q32" s="3" t="s">
        <v>27</v>
      </c>
    </row>
    <row r="33" spans="1:17" x14ac:dyDescent="0.35">
      <c r="A33" s="2" t="str">
        <f>HYPERLINK("https://vtmf.veevavault.com/ui/#doc_info/30689495/1/0", "77242113UCO3001-CZE-DD5-CZ10001-Acceptance of Investigator Brochure-09 Dec 2025 (v1.0)")</f>
        <v>77242113UCO3001-CZE-DD5-CZ10001-Acceptance of Investigator Brochure-09 Dec 2025 (v1.0)</v>
      </c>
      <c r="B33" s="3" t="s">
        <v>35</v>
      </c>
      <c r="C33" s="3" t="s">
        <v>18</v>
      </c>
      <c r="D33" s="3" t="s">
        <v>57</v>
      </c>
      <c r="E33" s="3" t="s">
        <v>92</v>
      </c>
      <c r="F33" s="3" t="s">
        <v>93</v>
      </c>
      <c r="G33" s="2" t="str">
        <f>HYPERLINK("https://vtmf.veevavault.com/ui/#doc_info/30689495/1/0", "VTMF-24731552")</f>
        <v>VTMF-24731552</v>
      </c>
      <c r="H33" s="3"/>
      <c r="I33" s="3" t="s">
        <v>35</v>
      </c>
      <c r="J33" s="3" t="s">
        <v>35</v>
      </c>
      <c r="K33" s="4">
        <v>46020.93949074074</v>
      </c>
      <c r="L33" s="5">
        <v>46020</v>
      </c>
      <c r="M33" s="3" t="s">
        <v>23</v>
      </c>
      <c r="N33" s="3" t="s">
        <v>67</v>
      </c>
      <c r="O33" s="3" t="s">
        <v>25</v>
      </c>
      <c r="P33" s="3" t="s">
        <v>26</v>
      </c>
      <c r="Q33" s="3" t="s">
        <v>27</v>
      </c>
    </row>
    <row r="34" spans="1:17" x14ac:dyDescent="0.35">
      <c r="A34" s="2" t="str">
        <f>HYPERLINK("https://vtmf.veevavault.com/ui/#doc_info/30671505/1/0", "77242113UCO3001-CZE-DD5-CZ10001-Monitoring Visit Follow-up Letter-SIVR_FL-22 Dec 2025 (v1.0)")</f>
        <v>77242113UCO3001-CZE-DD5-CZ10001-Monitoring Visit Follow-up Letter-SIVR_FL-22 Dec 2025 (v1.0)</v>
      </c>
      <c r="B34" s="3" t="s">
        <v>38</v>
      </c>
      <c r="C34" s="3" t="s">
        <v>18</v>
      </c>
      <c r="D34" s="3" t="s">
        <v>18</v>
      </c>
      <c r="E34" s="3" t="s">
        <v>39</v>
      </c>
      <c r="F34" s="3"/>
      <c r="G34" s="2" t="str">
        <f>HYPERLINK("https://vtmf.veevavault.com/ui/#doc_info/30671505/1/0", "VTMF-24715657")</f>
        <v>VTMF-24715657</v>
      </c>
      <c r="H34" s="3"/>
      <c r="I34" s="3" t="s">
        <v>40</v>
      </c>
      <c r="J34" s="3" t="s">
        <v>38</v>
      </c>
      <c r="K34" s="4">
        <v>46014.734189814822</v>
      </c>
      <c r="L34" s="5">
        <v>46014</v>
      </c>
      <c r="M34" s="3" t="s">
        <v>23</v>
      </c>
      <c r="N34" s="3" t="s">
        <v>41</v>
      </c>
      <c r="O34" s="3" t="s">
        <v>25</v>
      </c>
      <c r="P34" s="3" t="s">
        <v>26</v>
      </c>
      <c r="Q34" s="3" t="s">
        <v>27</v>
      </c>
    </row>
    <row r="35" spans="1:17" x14ac:dyDescent="0.35">
      <c r="A35" s="2" t="str">
        <f>HYPERLINK("https://vtmf.veevavault.com/ui/#doc_info/30662388/1/0", "77242113UCO3001-CZE-DD5-CZ10001-IP Site Release Documentation-22 Dec 2025 (v1.0)")</f>
        <v>77242113UCO3001-CZE-DD5-CZ10001-IP Site Release Documentation-22 Dec 2025 (v1.0)</v>
      </c>
      <c r="B35" s="3" t="s">
        <v>94</v>
      </c>
      <c r="C35" s="3" t="s">
        <v>18</v>
      </c>
      <c r="D35" s="3" t="s">
        <v>57</v>
      </c>
      <c r="E35" s="3" t="s">
        <v>95</v>
      </c>
      <c r="F35" s="3" t="s">
        <v>96</v>
      </c>
      <c r="G35" s="2" t="str">
        <f>HYPERLINK("https://vtmf.veevavault.com/ui/#doc_info/30662388/1/0", "VTMF-24707988")</f>
        <v>VTMF-24707988</v>
      </c>
      <c r="H35" s="3"/>
      <c r="I35" s="3" t="s">
        <v>22</v>
      </c>
      <c r="J35" s="3" t="s">
        <v>94</v>
      </c>
      <c r="K35" s="4">
        <v>46013.744722222233</v>
      </c>
      <c r="L35" s="5">
        <v>46013</v>
      </c>
      <c r="M35" s="3" t="s">
        <v>23</v>
      </c>
      <c r="N35" s="3" t="s">
        <v>97</v>
      </c>
      <c r="O35" s="3" t="s">
        <v>25</v>
      </c>
      <c r="P35" s="3" t="s">
        <v>26</v>
      </c>
      <c r="Q35" s="3" t="s">
        <v>27</v>
      </c>
    </row>
    <row r="36" spans="1:17" x14ac:dyDescent="0.35">
      <c r="A36" s="2" t="str">
        <f>HYPERLINK("https://vtmf.veevavault.com/ui/#doc_info/30630567/1/0", "77242113UCO3001-CZE-DD5-CZ10001-Principal Investigator Financial Disclosure Form-09 Dec 2025 (v1.0)")</f>
        <v>77242113UCO3001-CZE-DD5-CZ10001-Principal Investigator Financial Disclosure Form-09 Dec 2025 (v1.0)</v>
      </c>
      <c r="B36" s="3" t="s">
        <v>35</v>
      </c>
      <c r="C36" s="3" t="s">
        <v>18</v>
      </c>
      <c r="D36" s="3" t="s">
        <v>57</v>
      </c>
      <c r="E36" s="3" t="s">
        <v>98</v>
      </c>
      <c r="F36" s="3" t="s">
        <v>99</v>
      </c>
      <c r="G36" s="2" t="str">
        <f>HYPERLINK("https://vtmf.veevavault.com/ui/#doc_info/30630567/1/0", "VTMF-24681515")</f>
        <v>VTMF-24681515</v>
      </c>
      <c r="H36" s="3"/>
      <c r="I36" s="3" t="s">
        <v>22</v>
      </c>
      <c r="J36" s="3" t="s">
        <v>35</v>
      </c>
      <c r="K36" s="4">
        <v>46008.942997685182</v>
      </c>
      <c r="L36" s="5">
        <v>46008</v>
      </c>
      <c r="M36" s="3" t="s">
        <v>23</v>
      </c>
      <c r="N36" s="3" t="s">
        <v>100</v>
      </c>
      <c r="O36" s="3" t="s">
        <v>25</v>
      </c>
      <c r="P36" s="3" t="s">
        <v>26</v>
      </c>
      <c r="Q36" s="3" t="s">
        <v>27</v>
      </c>
    </row>
    <row r="37" spans="1:17" x14ac:dyDescent="0.35">
      <c r="A37" s="2" t="str">
        <f>HYPERLINK("https://vtmf.veevavault.com/ui/#doc_info/30630577/1/0", "77242113UCO3001-CZE-DD5-CZ10001-Protocol Signature Page-09 Dec 2025 (v1.0)")</f>
        <v>77242113UCO3001-CZE-DD5-CZ10001-Protocol Signature Page-09 Dec 2025 (v1.0)</v>
      </c>
      <c r="B37" s="3" t="s">
        <v>35</v>
      </c>
      <c r="C37" s="3" t="s">
        <v>18</v>
      </c>
      <c r="D37" s="3" t="s">
        <v>57</v>
      </c>
      <c r="E37" s="3" t="s">
        <v>101</v>
      </c>
      <c r="F37" s="3" t="s">
        <v>102</v>
      </c>
      <c r="G37" s="2" t="str">
        <f>HYPERLINK("https://vtmf.veevavault.com/ui/#doc_info/30630577/1/0", "VTMF-24681528")</f>
        <v>VTMF-24681528</v>
      </c>
      <c r="H37" s="3"/>
      <c r="I37" s="3" t="s">
        <v>35</v>
      </c>
      <c r="J37" s="3" t="s">
        <v>35</v>
      </c>
      <c r="K37" s="4">
        <v>46008.946250000001</v>
      </c>
      <c r="L37" s="5">
        <v>46008</v>
      </c>
      <c r="M37" s="3" t="s">
        <v>23</v>
      </c>
      <c r="N37" s="3" t="s">
        <v>103</v>
      </c>
      <c r="O37" s="3" t="s">
        <v>25</v>
      </c>
      <c r="P37" s="3" t="s">
        <v>26</v>
      </c>
      <c r="Q37" s="3" t="s">
        <v>27</v>
      </c>
    </row>
    <row r="38" spans="1:17" x14ac:dyDescent="0.35">
      <c r="A38" s="2" t="str">
        <f>HYPERLINK("https://vtmf.veevavault.com/ui/#doc_info/30630560/1/0", "77242113UCO3001-CZE-DD5-CZ10001-Site Signature Sheet-09 Dec 2025 (v1.0)")</f>
        <v>77242113UCO3001-CZE-DD5-CZ10001-Site Signature Sheet-09 Dec 2025 (v1.0)</v>
      </c>
      <c r="B38" s="3" t="s">
        <v>35</v>
      </c>
      <c r="C38" s="3" t="s">
        <v>18</v>
      </c>
      <c r="D38" s="3" t="s">
        <v>57</v>
      </c>
      <c r="E38" s="3" t="s">
        <v>104</v>
      </c>
      <c r="F38" s="3" t="s">
        <v>105</v>
      </c>
      <c r="G38" s="2" t="str">
        <f>HYPERLINK("https://vtmf.veevavault.com/ui/#doc_info/30630560/1/0", "VTMF-24681507")</f>
        <v>VTMF-24681507</v>
      </c>
      <c r="H38" s="3"/>
      <c r="I38" s="3" t="s">
        <v>22</v>
      </c>
      <c r="J38" s="3" t="s">
        <v>35</v>
      </c>
      <c r="K38" s="4">
        <v>46008.939189814817</v>
      </c>
      <c r="L38" s="5">
        <v>46008</v>
      </c>
      <c r="M38" s="3" t="s">
        <v>23</v>
      </c>
      <c r="N38" s="3" t="s">
        <v>106</v>
      </c>
      <c r="O38" s="3" t="s">
        <v>25</v>
      </c>
      <c r="P38" s="3" t="s">
        <v>26</v>
      </c>
      <c r="Q38" s="3" t="s">
        <v>27</v>
      </c>
    </row>
    <row r="39" spans="1:17" x14ac:dyDescent="0.35">
      <c r="A39" s="2" t="str">
        <f>HYPERLINK("https://vtmf.veevavault.com/ui/#doc_info/30566316/1/0", "77242113UCO3001-CZE-DD5-CZ10001-Source Data-09 Dec 2025 (v1.0)")</f>
        <v>77242113UCO3001-CZE-DD5-CZ10001-Source Data-09 Dec 2025 (v1.0)</v>
      </c>
      <c r="B39" s="3" t="s">
        <v>107</v>
      </c>
      <c r="C39" s="3" t="s">
        <v>18</v>
      </c>
      <c r="D39" s="3" t="s">
        <v>18</v>
      </c>
      <c r="E39" s="3" t="s">
        <v>88</v>
      </c>
      <c r="F39" s="3" t="s">
        <v>108</v>
      </c>
      <c r="G39" s="2" t="str">
        <f>HYPERLINK("https://vtmf.veevavault.com/ui/#doc_info/30566316/1/0", "VTMF-24627166")</f>
        <v>VTMF-24627166</v>
      </c>
      <c r="H39" s="3"/>
      <c r="I39" s="3" t="s">
        <v>22</v>
      </c>
      <c r="J39" s="3" t="s">
        <v>107</v>
      </c>
      <c r="K39" s="4">
        <v>46000.651145833333</v>
      </c>
      <c r="L39" s="5">
        <v>46001</v>
      </c>
      <c r="M39" s="3" t="s">
        <v>23</v>
      </c>
      <c r="N39" s="3" t="s">
        <v>60</v>
      </c>
      <c r="O39" s="3" t="s">
        <v>25</v>
      </c>
      <c r="P39" s="3" t="s">
        <v>26</v>
      </c>
      <c r="Q39" s="3" t="s">
        <v>27</v>
      </c>
    </row>
    <row r="40" spans="1:17" x14ac:dyDescent="0.35">
      <c r="A40" s="2" t="str">
        <f>HYPERLINK("https://vtmf.veevavault.com/ui/#doc_info/30574030/1/0", "77242113UCO3001-CZE-DD5-CZ10001-Maintenance Logs (Device)-03 Nov 2025 (v1.0)")</f>
        <v>77242113UCO3001-CZE-DD5-CZ10001-Maintenance Logs (Device)-03 Nov 2025 (v1.0)</v>
      </c>
      <c r="B40" s="3" t="s">
        <v>17</v>
      </c>
      <c r="C40" s="3" t="s">
        <v>28</v>
      </c>
      <c r="D40" s="3" t="s">
        <v>77</v>
      </c>
      <c r="E40" s="3" t="s">
        <v>109</v>
      </c>
      <c r="F40" s="3" t="s">
        <v>110</v>
      </c>
      <c r="G40" s="2" t="str">
        <f>HYPERLINK("https://vtmf.veevavault.com/ui/#doc_info/30574030/1/0", "VTMF-24633840")</f>
        <v>VTMF-24633840</v>
      </c>
      <c r="H40" s="3"/>
      <c r="I40" s="3" t="s">
        <v>22</v>
      </c>
      <c r="J40" s="3" t="s">
        <v>17</v>
      </c>
      <c r="K40" s="4">
        <v>46001.508136574077</v>
      </c>
      <c r="L40" s="5">
        <v>46001</v>
      </c>
      <c r="M40" s="3" t="s">
        <v>23</v>
      </c>
      <c r="N40" s="3" t="s">
        <v>111</v>
      </c>
      <c r="O40" s="3" t="s">
        <v>81</v>
      </c>
      <c r="P40" s="3" t="s">
        <v>82</v>
      </c>
      <c r="Q40" s="3" t="s">
        <v>83</v>
      </c>
    </row>
    <row r="41" spans="1:17" x14ac:dyDescent="0.35">
      <c r="A41" s="2" t="str">
        <f>HYPERLINK("https://vtmf.veevavault.com/ui/#doc_info/30553480/2/0", "77242113UCO3001-CZE-DD5-CZ10001-Maintenance Logs (Device)-18 Nov 2025 (v2.0)")</f>
        <v>77242113UCO3001-CZE-DD5-CZ10001-Maintenance Logs (Device)-18 Nov 2025 (v2.0)</v>
      </c>
      <c r="B41" s="3" t="s">
        <v>17</v>
      </c>
      <c r="C41" s="3" t="s">
        <v>28</v>
      </c>
      <c r="D41" s="3" t="s">
        <v>77</v>
      </c>
      <c r="E41" s="3" t="s">
        <v>109</v>
      </c>
      <c r="F41" s="3" t="s">
        <v>112</v>
      </c>
      <c r="G41" s="2" t="str">
        <f>HYPERLINK("https://vtmf.veevavault.com/ui/#doc_info/30553480/2/0", "VTMF-24616284")</f>
        <v>VTMF-24616284</v>
      </c>
      <c r="H41" s="3"/>
      <c r="I41" s="3" t="s">
        <v>22</v>
      </c>
      <c r="J41" s="3" t="s">
        <v>17</v>
      </c>
      <c r="K41" s="4">
        <v>46001.488645833328</v>
      </c>
      <c r="L41" s="5">
        <v>46001</v>
      </c>
      <c r="M41" s="3" t="s">
        <v>23</v>
      </c>
      <c r="N41" s="3" t="s">
        <v>111</v>
      </c>
      <c r="O41" s="3" t="s">
        <v>81</v>
      </c>
      <c r="P41" s="3" t="s">
        <v>82</v>
      </c>
      <c r="Q41" s="3" t="s">
        <v>83</v>
      </c>
    </row>
    <row r="42" spans="1:17" x14ac:dyDescent="0.35">
      <c r="A42" s="2" t="str">
        <f>HYPERLINK("https://vtmf.veevavault.com/ui/#doc_info/30574015/1/0", "77242113UCO3001-CZE-DD5-CZ10001-Maintenance Logs (Device)-18 Nov 2025 (v1.0)")</f>
        <v>77242113UCO3001-CZE-DD5-CZ10001-Maintenance Logs (Device)-18 Nov 2025 (v1.0)</v>
      </c>
      <c r="B42" s="3" t="s">
        <v>17</v>
      </c>
      <c r="C42" s="3" t="s">
        <v>28</v>
      </c>
      <c r="D42" s="3" t="s">
        <v>77</v>
      </c>
      <c r="E42" s="3" t="s">
        <v>109</v>
      </c>
      <c r="F42" s="3" t="s">
        <v>113</v>
      </c>
      <c r="G42" s="2" t="str">
        <f>HYPERLINK("https://vtmf.veevavault.com/ui/#doc_info/30574015/1/0", "VTMF-24633790")</f>
        <v>VTMF-24633790</v>
      </c>
      <c r="H42" s="3"/>
      <c r="I42" s="3" t="s">
        <v>22</v>
      </c>
      <c r="J42" s="3" t="s">
        <v>17</v>
      </c>
      <c r="K42" s="4">
        <v>46001.500625000001</v>
      </c>
      <c r="L42" s="5">
        <v>46001</v>
      </c>
      <c r="M42" s="3" t="s">
        <v>23</v>
      </c>
      <c r="N42" s="3" t="s">
        <v>111</v>
      </c>
      <c r="O42" s="3" t="s">
        <v>81</v>
      </c>
      <c r="P42" s="3" t="s">
        <v>82</v>
      </c>
      <c r="Q42" s="3" t="s">
        <v>83</v>
      </c>
    </row>
    <row r="43" spans="1:17" x14ac:dyDescent="0.35">
      <c r="A43" s="2" t="str">
        <f>HYPERLINK("https://vtmf.veevavault.com/ui/#doc_info/30556434/1/0", "77242113UCO3001-CZE-DD5-CZ10001-Site Confirmation Letter-SIVR_CL-09 Dec 2025 (v1.0)")</f>
        <v>77242113UCO3001-CZE-DD5-CZ10001-Site Confirmation Letter-SIVR_CL-09 Dec 2025 (v1.0)</v>
      </c>
      <c r="B43" s="3" t="s">
        <v>38</v>
      </c>
      <c r="C43" s="3" t="s">
        <v>18</v>
      </c>
      <c r="D43" s="3" t="s">
        <v>18</v>
      </c>
      <c r="E43" s="3" t="s">
        <v>47</v>
      </c>
      <c r="F43" s="3"/>
      <c r="G43" s="2" t="str">
        <f>HYPERLINK("https://vtmf.veevavault.com/ui/#doc_info/30556434/1/0", "VTMF-24618796")</f>
        <v>VTMF-24618796</v>
      </c>
      <c r="H43" s="3"/>
      <c r="I43" s="3" t="s">
        <v>40</v>
      </c>
      <c r="J43" s="3" t="s">
        <v>38</v>
      </c>
      <c r="K43" s="4">
        <v>45999.523229166669</v>
      </c>
      <c r="L43" s="5">
        <v>45999</v>
      </c>
      <c r="M43" s="3" t="s">
        <v>23</v>
      </c>
      <c r="N43" s="3" t="s">
        <v>41</v>
      </c>
      <c r="O43" s="3" t="s">
        <v>25</v>
      </c>
      <c r="P43" s="3" t="s">
        <v>26</v>
      </c>
      <c r="Q43" s="3" t="s">
        <v>27</v>
      </c>
    </row>
    <row r="44" spans="1:17" x14ac:dyDescent="0.35">
      <c r="A44" s="2" t="str">
        <f>HYPERLINK("https://vtmf.veevavault.com/ui/#doc_info/30422347/1/0", "77242113CRD3001-CZE-DD6-CZ10001-Electronic Source Data Compliance Assessment Questionnaire (ESDCAQ)- (v1.0)")</f>
        <v>77242113CRD3001-CZE-DD6-CZ10001-Electronic Source Data Compliance Assessment Questionnaire (ESDCAQ)- (v1.0)</v>
      </c>
      <c r="B44" s="3" t="s">
        <v>114</v>
      </c>
      <c r="C44" s="3" t="s">
        <v>18</v>
      </c>
      <c r="D44" s="3" t="s">
        <v>57</v>
      </c>
      <c r="E44" s="3" t="s">
        <v>115</v>
      </c>
      <c r="F44" s="3" t="s">
        <v>116</v>
      </c>
      <c r="G44" s="2" t="str">
        <f>HYPERLINK("https://vtmf.veevavault.com/ui/#doc_info/30422347/1/0", "VTMF-24506183")</f>
        <v>VTMF-24506183</v>
      </c>
      <c r="H44" s="3"/>
      <c r="I44" s="3" t="s">
        <v>117</v>
      </c>
      <c r="J44" s="3" t="s">
        <v>114</v>
      </c>
      <c r="K44" s="4">
        <v>45980.018865740742</v>
      </c>
      <c r="L44" s="5">
        <v>45979</v>
      </c>
      <c r="M44" s="3" t="s">
        <v>23</v>
      </c>
      <c r="N44" s="3" t="s">
        <v>118</v>
      </c>
      <c r="O44" s="3" t="s">
        <v>81</v>
      </c>
      <c r="P44" s="3" t="s">
        <v>82</v>
      </c>
      <c r="Q44" s="3" t="s">
        <v>83</v>
      </c>
    </row>
    <row r="45" spans="1:17" x14ac:dyDescent="0.35">
      <c r="A45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45" s="3" t="s">
        <v>119</v>
      </c>
      <c r="C45" s="3" t="s">
        <v>48</v>
      </c>
      <c r="D45" s="3" t="s">
        <v>19</v>
      </c>
      <c r="E45" s="3" t="s">
        <v>20</v>
      </c>
      <c r="F45" s="3" t="s">
        <v>120</v>
      </c>
      <c r="G45" s="2" t="str">
        <f>HYPERLINK("https://vtmf.veevavault.com/ui/#doc_info/29980647/1/0", "VTMF-24136357")</f>
        <v>VTMF-24136357</v>
      </c>
      <c r="H45" s="3"/>
      <c r="I45" s="3" t="s">
        <v>22</v>
      </c>
      <c r="J45" s="3" t="s">
        <v>119</v>
      </c>
      <c r="K45" s="4">
        <v>45918.85465277778</v>
      </c>
      <c r="L45" s="5">
        <v>45919</v>
      </c>
      <c r="M45" s="3" t="s">
        <v>23</v>
      </c>
      <c r="N45" s="3" t="s">
        <v>121</v>
      </c>
      <c r="O45" s="3" t="s">
        <v>122</v>
      </c>
      <c r="P45" s="3" t="s">
        <v>123</v>
      </c>
      <c r="Q45" s="3" t="s">
        <v>27</v>
      </c>
    </row>
    <row r="46" spans="1:17" x14ac:dyDescent="0.35">
      <c r="A46" s="2" t="str">
        <f>HYPERLINK("https://vtmf.veevavault.com/ui/#doc_info/29737031/1/0", "77242113UCO3001-CZE-DD5-CZ10001-Site/Staff Qualification Supporting Information (v1.0)")</f>
        <v>77242113UCO3001-CZE-DD5-CZ10001-Site/Staff Qualification Supporting Information (v1.0)</v>
      </c>
      <c r="B46" s="3" t="s">
        <v>94</v>
      </c>
      <c r="C46" s="3" t="s">
        <v>18</v>
      </c>
      <c r="D46" s="3" t="s">
        <v>57</v>
      </c>
      <c r="E46" s="3" t="s">
        <v>124</v>
      </c>
      <c r="F46" s="3" t="s">
        <v>125</v>
      </c>
      <c r="G46" s="2" t="str">
        <f>HYPERLINK("https://vtmf.veevavault.com/ui/#doc_info/29737031/1/0", "VTMF-23927933")</f>
        <v>VTMF-23927933</v>
      </c>
      <c r="H46" s="3"/>
      <c r="I46" s="3" t="s">
        <v>126</v>
      </c>
      <c r="J46" s="3" t="s">
        <v>94</v>
      </c>
      <c r="K46" s="4">
        <v>45879.800115740742</v>
      </c>
      <c r="L46" s="5">
        <v>45879</v>
      </c>
      <c r="M46" s="3" t="s">
        <v>23</v>
      </c>
      <c r="N46" s="3" t="s">
        <v>60</v>
      </c>
      <c r="O46" s="3" t="s">
        <v>25</v>
      </c>
      <c r="P46" s="3" t="s">
        <v>26</v>
      </c>
      <c r="Q46" s="3" t="s">
        <v>27</v>
      </c>
    </row>
    <row r="47" spans="1:17" x14ac:dyDescent="0.35">
      <c r="A47" s="2" t="str">
        <f>HYPERLINK("https://vtmf.veevavault.com/ui/#doc_info/29735859/1/0", "77242113UCO3001-CZE-DD5-CZ10001-Principal Investigator Financial Disclosure Form-16 Jun 2025 (v1.0)")</f>
        <v>77242113UCO3001-CZE-DD5-CZ10001-Principal Investigator Financial Disclosure Form-16 Jun 2025 (v1.0)</v>
      </c>
      <c r="B47" s="3" t="s">
        <v>94</v>
      </c>
      <c r="C47" s="3" t="s">
        <v>18</v>
      </c>
      <c r="D47" s="3" t="s">
        <v>57</v>
      </c>
      <c r="E47" s="3" t="s">
        <v>98</v>
      </c>
      <c r="F47" s="3" t="s">
        <v>127</v>
      </c>
      <c r="G47" s="2" t="str">
        <f>HYPERLINK("https://vtmf.veevavault.com/ui/#doc_info/29735859/1/0", "VTMF-23926917")</f>
        <v>VTMF-23926917</v>
      </c>
      <c r="H47" s="3"/>
      <c r="I47" s="3" t="s">
        <v>126</v>
      </c>
      <c r="J47" s="3" t="s">
        <v>94</v>
      </c>
      <c r="K47" s="4">
        <v>45878.768125000002</v>
      </c>
      <c r="L47" s="5">
        <v>45878</v>
      </c>
      <c r="M47" s="3" t="s">
        <v>23</v>
      </c>
      <c r="N47" s="3" t="s">
        <v>100</v>
      </c>
      <c r="O47" s="3" t="s">
        <v>25</v>
      </c>
      <c r="P47" s="3" t="s">
        <v>26</v>
      </c>
      <c r="Q47" s="3" t="s">
        <v>27</v>
      </c>
    </row>
    <row r="48" spans="1:17" x14ac:dyDescent="0.35">
      <c r="A48" s="2" t="str">
        <f>HYPERLINK("https://vtmf.veevavault.com/ui/#doc_info/29717363/1/0", "77242113UCO3001-CZE-DD5-CZ10001-Principal Investigator Curriculum Vitae-14 Jul 2025 (v1.0)")</f>
        <v>77242113UCO3001-CZE-DD5-CZ10001-Principal Investigator Curriculum Vitae-14 Jul 2025 (v1.0)</v>
      </c>
      <c r="B48" s="3" t="s">
        <v>94</v>
      </c>
      <c r="C48" s="3" t="s">
        <v>18</v>
      </c>
      <c r="D48" s="3" t="s">
        <v>57</v>
      </c>
      <c r="E48" s="3" t="s">
        <v>65</v>
      </c>
      <c r="F48" s="3" t="s">
        <v>128</v>
      </c>
      <c r="G48" s="2" t="str">
        <f>HYPERLINK("https://vtmf.veevavault.com/ui/#doc_info/29717363/1/0", "VTMF-23910369")</f>
        <v>VTMF-23910369</v>
      </c>
      <c r="H48" s="3"/>
      <c r="I48" s="3" t="s">
        <v>126</v>
      </c>
      <c r="J48" s="3" t="s">
        <v>94</v>
      </c>
      <c r="K48" s="4">
        <v>45876.279907407406</v>
      </c>
      <c r="L48" s="5">
        <v>45876</v>
      </c>
      <c r="M48" s="3" t="s">
        <v>23</v>
      </c>
      <c r="N48" s="3" t="s">
        <v>67</v>
      </c>
      <c r="O48" s="3" t="s">
        <v>25</v>
      </c>
      <c r="P48" s="3" t="s">
        <v>26</v>
      </c>
      <c r="Q48" s="3" t="s">
        <v>27</v>
      </c>
    </row>
    <row r="49" spans="1:17" x14ac:dyDescent="0.35">
      <c r="A49" s="2" t="str">
        <f>HYPERLINK("https://vtmf.veevavault.com/ui/#doc_info/29699288/1/0", "77242113UCO3001-CZE-DD5-CZ10001-Site/Staff Qualification Supporting Information (v1.0)")</f>
        <v>77242113UCO3001-CZE-DD5-CZ10001-Site/Staff Qualification Supporting Information (v1.0)</v>
      </c>
      <c r="B49" s="3" t="s">
        <v>94</v>
      </c>
      <c r="C49" s="3" t="s">
        <v>18</v>
      </c>
      <c r="D49" s="3" t="s">
        <v>57</v>
      </c>
      <c r="E49" s="3" t="s">
        <v>124</v>
      </c>
      <c r="F49" s="3" t="s">
        <v>129</v>
      </c>
      <c r="G49" s="2" t="str">
        <f>HYPERLINK("https://vtmf.veevavault.com/ui/#doc_info/29699288/1/0", "VTMF-23895216")</f>
        <v>VTMF-23895216</v>
      </c>
      <c r="H49" s="3"/>
      <c r="I49" s="3" t="s">
        <v>22</v>
      </c>
      <c r="J49" s="3" t="s">
        <v>94</v>
      </c>
      <c r="K49" s="4">
        <v>45874.320104166669</v>
      </c>
      <c r="L49" s="5">
        <v>45874</v>
      </c>
      <c r="M49" s="3" t="s">
        <v>23</v>
      </c>
      <c r="N49" s="3" t="s">
        <v>60</v>
      </c>
      <c r="O49" s="3" t="s">
        <v>25</v>
      </c>
      <c r="P49" s="3" t="s">
        <v>26</v>
      </c>
      <c r="Q49" s="3" t="s">
        <v>27</v>
      </c>
    </row>
    <row r="50" spans="1:17" x14ac:dyDescent="0.35">
      <c r="A50" s="2" t="str">
        <f>HYPERLINK("https://vtmf.veevavault.com/ui/#doc_info/29353165/1/0", "77242113UCO3001-CZE-DD5-CZ10001-Feasibility Documentation-13 Jun 2025 (v1.0)")</f>
        <v>77242113UCO3001-CZE-DD5-CZ10001-Feasibility Documentation-13 Jun 2025 (v1.0)</v>
      </c>
      <c r="B50" s="3" t="s">
        <v>130</v>
      </c>
      <c r="C50" s="3" t="s">
        <v>18</v>
      </c>
      <c r="D50" s="3" t="s">
        <v>131</v>
      </c>
      <c r="E50" s="3" t="s">
        <v>132</v>
      </c>
      <c r="F50" s="3" t="s">
        <v>133</v>
      </c>
      <c r="G50" s="2" t="str">
        <f>HYPERLINK("https://vtmf.veevavault.com/ui/#doc_info/29353165/1/0", "VTMF-23596807")</f>
        <v>VTMF-23596807</v>
      </c>
      <c r="H50" s="3"/>
      <c r="I50" s="3" t="s">
        <v>22</v>
      </c>
      <c r="J50" s="3" t="s">
        <v>130</v>
      </c>
      <c r="K50" s="4">
        <v>45821.7737037037</v>
      </c>
      <c r="L50" s="5">
        <v>45821</v>
      </c>
      <c r="M50" s="3" t="s">
        <v>23</v>
      </c>
      <c r="N50" s="3" t="s">
        <v>60</v>
      </c>
      <c r="O50" s="3" t="s">
        <v>81</v>
      </c>
      <c r="P50" s="3" t="s">
        <v>82</v>
      </c>
      <c r="Q50" s="3" t="s">
        <v>83</v>
      </c>
    </row>
    <row r="51" spans="1:17" x14ac:dyDescent="0.35">
      <c r="A51" s="2" t="str">
        <f>HYPERLINK("https://vtmf.veevavault.com/ui/#doc_info/29246636/1/0", "77242113UCO3001-CZE-DD5-CZ10001-Monitoring Visit Follow-up Letter-SQVR_FL-16 May 2025 (v1.0)")</f>
        <v>77242113UCO3001-CZE-DD5-CZ10001-Monitoring Visit Follow-up Letter-SQVR_FL-16 May 2025 (v1.0)</v>
      </c>
      <c r="B51" s="3" t="s">
        <v>38</v>
      </c>
      <c r="C51" s="3" t="s">
        <v>18</v>
      </c>
      <c r="D51" s="3" t="s">
        <v>18</v>
      </c>
      <c r="E51" s="3" t="s">
        <v>39</v>
      </c>
      <c r="F51" s="3"/>
      <c r="G51" s="2" t="str">
        <f>HYPERLINK("https://vtmf.veevavault.com/ui/#doc_info/29246636/1/0", "VTMF-23508335")</f>
        <v>VTMF-23508335</v>
      </c>
      <c r="H51" s="3"/>
      <c r="I51" s="3" t="s">
        <v>40</v>
      </c>
      <c r="J51" s="3" t="s">
        <v>38</v>
      </c>
      <c r="K51" s="4">
        <v>45810.776736111111</v>
      </c>
      <c r="L51" s="5">
        <v>45810</v>
      </c>
      <c r="M51" s="3" t="s">
        <v>23</v>
      </c>
      <c r="N51" s="3" t="s">
        <v>41</v>
      </c>
      <c r="O51" s="3" t="s">
        <v>25</v>
      </c>
      <c r="P51" s="3" t="s">
        <v>26</v>
      </c>
      <c r="Q51" s="3" t="s">
        <v>27</v>
      </c>
    </row>
    <row r="52" spans="1:17" x14ac:dyDescent="0.35">
      <c r="A52" s="2" t="str">
        <f>HYPERLINK("https://vtmf.veevavault.com/ui/#doc_info/29211516/1/0", "77242113UCO3001-CZE-DD5-CZ10001-Pre Trial Monitoring Report-16 May 2025 (v1.0)")</f>
        <v>77242113UCO3001-CZE-DD5-CZ10001-Pre Trial Monitoring Report-16 May 2025 (v1.0)</v>
      </c>
      <c r="B52" s="3" t="s">
        <v>38</v>
      </c>
      <c r="C52" s="3" t="s">
        <v>18</v>
      </c>
      <c r="D52" s="3" t="s">
        <v>131</v>
      </c>
      <c r="E52" s="3" t="s">
        <v>134</v>
      </c>
      <c r="F52" s="3"/>
      <c r="G52" s="2" t="str">
        <f>HYPERLINK("https://vtmf.veevavault.com/ui/#doc_info/29211516/1/0", "VTMF-23479112")</f>
        <v>VTMF-23479112</v>
      </c>
      <c r="H52" s="3"/>
      <c r="I52" s="3" t="s">
        <v>40</v>
      </c>
      <c r="J52" s="3" t="s">
        <v>38</v>
      </c>
      <c r="K52" s="4">
        <v>45805.185057870367</v>
      </c>
      <c r="L52" s="5">
        <v>45804</v>
      </c>
      <c r="M52" s="3" t="s">
        <v>23</v>
      </c>
      <c r="N52" s="3" t="s">
        <v>97</v>
      </c>
      <c r="O52" s="3" t="s">
        <v>25</v>
      </c>
      <c r="P52" s="3" t="s">
        <v>26</v>
      </c>
      <c r="Q52" s="3" t="s">
        <v>27</v>
      </c>
    </row>
    <row r="53" spans="1:17" x14ac:dyDescent="0.35">
      <c r="A53" s="2" t="str">
        <f>HYPERLINK("https://vtmf.veevavault.com/ui/#doc_info/29079630/1/0", "77242113UCO3001-CZE-DD5-CZ10001-Site Confirmation Letter-SQVR_CL-16 May 2025 (v1.0)")</f>
        <v>77242113UCO3001-CZE-DD5-CZ10001-Site Confirmation Letter-SQVR_CL-16 May 2025 (v1.0)</v>
      </c>
      <c r="B53" s="3" t="s">
        <v>38</v>
      </c>
      <c r="C53" s="3" t="s">
        <v>18</v>
      </c>
      <c r="D53" s="3" t="s">
        <v>18</v>
      </c>
      <c r="E53" s="3" t="s">
        <v>47</v>
      </c>
      <c r="F53" s="3"/>
      <c r="G53" s="2" t="str">
        <f>HYPERLINK("https://vtmf.veevavault.com/ui/#doc_info/29079630/1/0", "VTMF-23365745")</f>
        <v>VTMF-23365745</v>
      </c>
      <c r="H53" s="3"/>
      <c r="I53" s="3" t="s">
        <v>40</v>
      </c>
      <c r="J53" s="3" t="s">
        <v>38</v>
      </c>
      <c r="K53" s="4">
        <v>45786.656539351847</v>
      </c>
      <c r="L53" s="5">
        <v>45786</v>
      </c>
      <c r="M53" s="3" t="s">
        <v>23</v>
      </c>
      <c r="N53" s="3" t="s">
        <v>41</v>
      </c>
      <c r="O53" s="3" t="s">
        <v>25</v>
      </c>
      <c r="P53" s="3" t="s">
        <v>26</v>
      </c>
      <c r="Q53" s="3" t="s">
        <v>27</v>
      </c>
    </row>
    <row r="54" spans="1:17" x14ac:dyDescent="0.35">
      <c r="A54" s="2" t="str">
        <f>HYPERLINK("https://vtmf.veevavault.com/ui/#doc_info/31478802/1/0", "77242113UCO3001-CZE-DD5-CZ10001-Monitoring Visit Report-09 Apr 2026 (v1.0)")</f>
        <v>77242113UCO3001-CZE-DD5-CZ10001-Monitoring Visit Report-09 Apr 2026 (v1.0)</v>
      </c>
      <c r="B54" s="3" t="s">
        <v>38</v>
      </c>
      <c r="C54" s="3" t="s">
        <v>18</v>
      </c>
      <c r="D54" s="3" t="s">
        <v>18</v>
      </c>
      <c r="E54" s="3" t="s">
        <v>42</v>
      </c>
      <c r="F54" s="3"/>
      <c r="G54" s="2" t="str">
        <f>HYPERLINK("https://vtmf.veevavault.com/ui/#doc_info/31478802/1/0", "VTMF-25401277")</f>
        <v>VTMF-25401277</v>
      </c>
      <c r="H54" s="3"/>
      <c r="I54" s="3" t="s">
        <v>40</v>
      </c>
      <c r="J54" s="3" t="s">
        <v>38</v>
      </c>
      <c r="K54" s="4">
        <v>46129.605231481481</v>
      </c>
      <c r="L54" s="5"/>
      <c r="M54" s="3" t="s">
        <v>23</v>
      </c>
      <c r="N54" s="3" t="s">
        <v>43</v>
      </c>
      <c r="O54" s="3" t="s">
        <v>25</v>
      </c>
      <c r="P54" s="3" t="s">
        <v>26</v>
      </c>
      <c r="Q54" s="3" t="s">
        <v>27</v>
      </c>
    </row>
    <row r="55" spans="1:17" x14ac:dyDescent="0.35">
      <c r="A55" s="2" t="str">
        <f>HYPERLINK("https://vtmf.veevavault.com/ui/#doc_info/31396414/1/0", "77242113UCO3001-CZE-DD5-CZ10001-Site Confirmation Letter-SMVR_CL-09 Apr 2026 (v1.0)")</f>
        <v>77242113UCO3001-CZE-DD5-CZ10001-Site Confirmation Letter-SMVR_CL-09 Apr 2026 (v1.0)</v>
      </c>
      <c r="B55" s="3" t="s">
        <v>38</v>
      </c>
      <c r="C55" s="3" t="s">
        <v>18</v>
      </c>
      <c r="D55" s="3" t="s">
        <v>18</v>
      </c>
      <c r="E55" s="3" t="s">
        <v>47</v>
      </c>
      <c r="F55" s="3"/>
      <c r="G55" s="2" t="str">
        <f>HYPERLINK("https://vtmf.veevavault.com/ui/#doc_info/31396414/1/0", "VTMF-25330143")</f>
        <v>VTMF-25330143</v>
      </c>
      <c r="H55" s="3"/>
      <c r="I55" s="3" t="s">
        <v>40</v>
      </c>
      <c r="J55" s="3" t="s">
        <v>38</v>
      </c>
      <c r="K55" s="4">
        <v>46119.655381944453</v>
      </c>
      <c r="L55" s="5"/>
      <c r="M55" s="3" t="s">
        <v>23</v>
      </c>
      <c r="N55" s="3" t="s">
        <v>41</v>
      </c>
      <c r="O55" s="3" t="s">
        <v>25</v>
      </c>
      <c r="P55" s="3" t="s">
        <v>26</v>
      </c>
      <c r="Q55" s="3" t="s">
        <v>27</v>
      </c>
    </row>
  </sheetData>
  <autoFilter ref="A1:Q55" xr:uid="{00000000-0009-0000-0000-000000000000}"/>
  <pageMargins left="0.75" right="0.75" top="1" bottom="1" header="0.5" footer="0.5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Q6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HYPERLINK("https://vtmf.veevavault.com/ui/#doc_info/31489192/1/0", "77242113UCO3001-CZE-DD5-CZ10020-Non-IP Shipment Documentation-01 Apr 2026 (v1.0)")</f>
        <v>77242113UCO3001-CZE-DD5-CZ10020-Non-IP Shipment Documentation-01 Apr 2026 (v1.0)</v>
      </c>
      <c r="B2" s="3" t="s">
        <v>17</v>
      </c>
      <c r="C2" s="3" t="s">
        <v>28</v>
      </c>
      <c r="D2" s="3" t="s">
        <v>29</v>
      </c>
      <c r="E2" s="3" t="s">
        <v>30</v>
      </c>
      <c r="F2" s="3" t="s">
        <v>355</v>
      </c>
      <c r="G2" s="2" t="str">
        <f>HYPERLINK("https://vtmf.veevavault.com/ui/#doc_info/31489192/1/0", "VTMF-25410128")</f>
        <v>VTMF-25410128</v>
      </c>
      <c r="H2" s="3"/>
      <c r="I2" s="3" t="s">
        <v>22</v>
      </c>
      <c r="J2" s="3" t="s">
        <v>17</v>
      </c>
      <c r="K2" s="4">
        <v>46132.540254629632</v>
      </c>
      <c r="L2" s="5">
        <v>46132</v>
      </c>
      <c r="M2" s="3" t="s">
        <v>23</v>
      </c>
      <c r="N2" s="3" t="s">
        <v>32</v>
      </c>
      <c r="O2" s="3" t="s">
        <v>25</v>
      </c>
      <c r="P2" s="3" t="s">
        <v>356</v>
      </c>
      <c r="Q2" s="3" t="s">
        <v>27</v>
      </c>
    </row>
    <row r="3" spans="1:17" x14ac:dyDescent="0.35">
      <c r="A3" s="2" t="str">
        <f>HYPERLINK("https://vtmf.veevavault.com/ui/#doc_info/31269887/1/0", "77242113UCO3001-CZE-DD5-CZ10020-IP Site Release Documentation-25 Mar 2026 (v1.0)")</f>
        <v>77242113UCO3001-CZE-DD5-CZ10020-IP Site Release Documentation-25 Mar 2026 (v1.0)</v>
      </c>
      <c r="B3" s="3" t="s">
        <v>94</v>
      </c>
      <c r="C3" s="3" t="s">
        <v>18</v>
      </c>
      <c r="D3" s="3" t="s">
        <v>57</v>
      </c>
      <c r="E3" s="3" t="s">
        <v>95</v>
      </c>
      <c r="F3" s="3" t="s">
        <v>357</v>
      </c>
      <c r="G3" s="2" t="str">
        <f>HYPERLINK("https://vtmf.veevavault.com/ui/#doc_info/31269887/1/0", "VTMF-25218498")</f>
        <v>VTMF-25218498</v>
      </c>
      <c r="H3" s="3"/>
      <c r="I3" s="3" t="s">
        <v>22</v>
      </c>
      <c r="J3" s="3" t="s">
        <v>94</v>
      </c>
      <c r="K3" s="4">
        <v>46106.577870370369</v>
      </c>
      <c r="L3" s="5">
        <v>46106</v>
      </c>
      <c r="M3" s="3" t="s">
        <v>23</v>
      </c>
      <c r="N3" s="3" t="s">
        <v>97</v>
      </c>
      <c r="O3" s="3" t="s">
        <v>25</v>
      </c>
      <c r="P3" s="3" t="s">
        <v>356</v>
      </c>
      <c r="Q3" s="3" t="s">
        <v>27</v>
      </c>
    </row>
    <row r="4" spans="1:17" x14ac:dyDescent="0.35">
      <c r="A4" s="2" t="str">
        <f>HYPERLINK("https://vtmf.veevavault.com/ui/#doc_info/31270111/1/0", "77242113UCO3001-CZE-DD5-CZ10020-IP Site Release Documentation-25 Mar 2026 (v1.0)")</f>
        <v>77242113UCO3001-CZE-DD5-CZ10020-IP Site Release Documentation-25 Mar 2026 (v1.0)</v>
      </c>
      <c r="B4" s="3" t="s">
        <v>22</v>
      </c>
      <c r="C4" s="3" t="s">
        <v>18</v>
      </c>
      <c r="D4" s="3" t="s">
        <v>57</v>
      </c>
      <c r="E4" s="3" t="s">
        <v>95</v>
      </c>
      <c r="F4" s="3" t="s">
        <v>358</v>
      </c>
      <c r="G4" s="2" t="str">
        <f>HYPERLINK("https://vtmf.veevavault.com/ui/#doc_info/31270111/1/0", "VTMF-25218712")</f>
        <v>VTMF-25218712</v>
      </c>
      <c r="H4" s="3"/>
      <c r="I4" s="3" t="s">
        <v>22</v>
      </c>
      <c r="J4" s="3" t="s">
        <v>22</v>
      </c>
      <c r="K4" s="4">
        <v>46106.593368055554</v>
      </c>
      <c r="L4" s="5">
        <v>46106</v>
      </c>
      <c r="M4" s="3" t="s">
        <v>23</v>
      </c>
      <c r="N4" s="3" t="s">
        <v>97</v>
      </c>
      <c r="O4" s="3" t="s">
        <v>25</v>
      </c>
      <c r="P4" s="3" t="s">
        <v>356</v>
      </c>
      <c r="Q4" s="3" t="s">
        <v>27</v>
      </c>
    </row>
    <row r="5" spans="1:17" x14ac:dyDescent="0.35">
      <c r="A5" s="2" t="str">
        <f>HYPERLINK("https://vtmf.veevavault.com/ui/#doc_info/31270112/1/0", "77242113UCO3001-CZE-DD5-CZ10020-Relevant Communications-25 Mar 2026 (v1.0)")</f>
        <v>77242113UCO3001-CZE-DD5-CZ10020-Relevant Communications-25 Mar 2026 (v1.0)</v>
      </c>
      <c r="B5" s="3" t="s">
        <v>22</v>
      </c>
      <c r="C5" s="3" t="s">
        <v>48</v>
      </c>
      <c r="D5" s="3" t="s">
        <v>19</v>
      </c>
      <c r="E5" s="3" t="s">
        <v>20</v>
      </c>
      <c r="F5" s="3" t="s">
        <v>359</v>
      </c>
      <c r="G5" s="2" t="str">
        <f>HYPERLINK("https://vtmf.veevavault.com/ui/#doc_info/31270112/1/0", "VTMF-25218700")</f>
        <v>VTMF-25218700</v>
      </c>
      <c r="H5" s="3"/>
      <c r="I5" s="3" t="s">
        <v>22</v>
      </c>
      <c r="J5" s="3" t="s">
        <v>22</v>
      </c>
      <c r="K5" s="4">
        <v>46106.597916666673</v>
      </c>
      <c r="L5" s="5">
        <v>46106</v>
      </c>
      <c r="M5" s="3" t="s">
        <v>23</v>
      </c>
      <c r="N5" s="3" t="s">
        <v>121</v>
      </c>
      <c r="O5" s="3" t="s">
        <v>25</v>
      </c>
      <c r="P5" s="3" t="s">
        <v>356</v>
      </c>
      <c r="Q5" s="3" t="s">
        <v>27</v>
      </c>
    </row>
    <row r="6" spans="1:17" x14ac:dyDescent="0.35">
      <c r="A6" s="2" t="str">
        <f>HYPERLINK("https://vtmf.veevavault.com/ui/#doc_info/31110037/1/0", "77242113UCO3001-CZE-DD5-CZ10020-Maintenance Logs (Device)-01 Dec 2022 (v1.0)")</f>
        <v>77242113UCO3001-CZE-DD5-CZ10020-Maintenance Logs (Device)-01 Dec 2022 (v1.0)</v>
      </c>
      <c r="B6" s="3" t="s">
        <v>17</v>
      </c>
      <c r="C6" s="3" t="s">
        <v>28</v>
      </c>
      <c r="D6" s="3" t="s">
        <v>77</v>
      </c>
      <c r="E6" s="3" t="s">
        <v>109</v>
      </c>
      <c r="F6" s="3" t="s">
        <v>360</v>
      </c>
      <c r="G6" s="2" t="str">
        <f>HYPERLINK("https://vtmf.veevavault.com/ui/#doc_info/31110037/1/0", "VTMF-25082116")</f>
        <v>VTMF-25082116</v>
      </c>
      <c r="H6" s="3"/>
      <c r="I6" s="3" t="s">
        <v>22</v>
      </c>
      <c r="J6" s="3" t="s">
        <v>17</v>
      </c>
      <c r="K6" s="4">
        <v>46085.459988425922</v>
      </c>
      <c r="L6" s="5">
        <v>46085</v>
      </c>
      <c r="M6" s="3" t="s">
        <v>23</v>
      </c>
      <c r="N6" s="3" t="s">
        <v>111</v>
      </c>
      <c r="O6" s="3" t="s">
        <v>25</v>
      </c>
      <c r="P6" s="3" t="s">
        <v>356</v>
      </c>
      <c r="Q6" s="3" t="s">
        <v>27</v>
      </c>
    </row>
    <row r="7" spans="1:17" x14ac:dyDescent="0.35">
      <c r="A7" s="2" t="str">
        <f>HYPERLINK("https://vtmf.veevavault.com/ui/#doc_info/31110293/1/0", "77242113UCO3001-CZE-DD5-CZ10020-Other Curriculum Vitae-14 May 2025 (v1.0)")</f>
        <v>77242113UCO3001-CZE-DD5-CZ10020-Other Curriculum Vitae-14 May 2025 (v1.0)</v>
      </c>
      <c r="B7" s="3" t="s">
        <v>17</v>
      </c>
      <c r="C7" s="3" t="s">
        <v>18</v>
      </c>
      <c r="D7" s="3" t="s">
        <v>57</v>
      </c>
      <c r="E7" s="3" t="s">
        <v>58</v>
      </c>
      <c r="F7" s="3" t="s">
        <v>361</v>
      </c>
      <c r="G7" s="2" t="str">
        <f>HYPERLINK("https://vtmf.veevavault.com/ui/#doc_info/31110293/1/0", "VTMF-25082241")</f>
        <v>VTMF-25082241</v>
      </c>
      <c r="H7" s="3"/>
      <c r="I7" s="3" t="s">
        <v>22</v>
      </c>
      <c r="J7" s="3" t="s">
        <v>17</v>
      </c>
      <c r="K7" s="4">
        <v>46085.470729166656</v>
      </c>
      <c r="L7" s="5">
        <v>46085</v>
      </c>
      <c r="M7" s="3" t="s">
        <v>23</v>
      </c>
      <c r="N7" s="3" t="s">
        <v>60</v>
      </c>
      <c r="O7" s="3" t="s">
        <v>25</v>
      </c>
      <c r="P7" s="3" t="s">
        <v>356</v>
      </c>
      <c r="Q7" s="3" t="s">
        <v>27</v>
      </c>
    </row>
    <row r="8" spans="1:17" x14ac:dyDescent="0.35">
      <c r="A8" s="2" t="str">
        <f>HYPERLINK("https://vtmf.veevavault.com/ui/#doc_info/31110287/1/0", "77242113UCO3001-CZE-DD5-CZ10020-Other Curriculum Vitae-17 Feb 2026 (v1.0)")</f>
        <v>77242113UCO3001-CZE-DD5-CZ10020-Other Curriculum Vitae-17 Feb 2026 (v1.0)</v>
      </c>
      <c r="B8" s="3" t="s">
        <v>17</v>
      </c>
      <c r="C8" s="3" t="s">
        <v>18</v>
      </c>
      <c r="D8" s="3" t="s">
        <v>57</v>
      </c>
      <c r="E8" s="3" t="s">
        <v>58</v>
      </c>
      <c r="F8" s="3" t="s">
        <v>362</v>
      </c>
      <c r="G8" s="2" t="str">
        <f>HYPERLINK("https://vtmf.veevavault.com/ui/#doc_info/31110287/1/0", "VTMF-25082235")</f>
        <v>VTMF-25082235</v>
      </c>
      <c r="H8" s="3"/>
      <c r="I8" s="3" t="s">
        <v>22</v>
      </c>
      <c r="J8" s="3" t="s">
        <v>17</v>
      </c>
      <c r="K8" s="4">
        <v>46085.470729166656</v>
      </c>
      <c r="L8" s="5">
        <v>46085</v>
      </c>
      <c r="M8" s="3" t="s">
        <v>23</v>
      </c>
      <c r="N8" s="3" t="s">
        <v>60</v>
      </c>
      <c r="O8" s="3" t="s">
        <v>25</v>
      </c>
      <c r="P8" s="3" t="s">
        <v>356</v>
      </c>
      <c r="Q8" s="3" t="s">
        <v>27</v>
      </c>
    </row>
    <row r="9" spans="1:17" x14ac:dyDescent="0.35">
      <c r="A9" s="2" t="str">
        <f>HYPERLINK("https://vtmf.veevavault.com/ui/#doc_info/31110289/1/0", "77242113UCO3001-CZE-DD5-CZ10020-Other Curriculum Vitae-17 Feb 2026 (v1.0)")</f>
        <v>77242113UCO3001-CZE-DD5-CZ10020-Other Curriculum Vitae-17 Feb 2026 (v1.0)</v>
      </c>
      <c r="B9" s="3" t="s">
        <v>17</v>
      </c>
      <c r="C9" s="3" t="s">
        <v>18</v>
      </c>
      <c r="D9" s="3" t="s">
        <v>57</v>
      </c>
      <c r="E9" s="3" t="s">
        <v>58</v>
      </c>
      <c r="F9" s="3" t="s">
        <v>363</v>
      </c>
      <c r="G9" s="2" t="str">
        <f>HYPERLINK("https://vtmf.veevavault.com/ui/#doc_info/31110289/1/0", "VTMF-25082237")</f>
        <v>VTMF-25082237</v>
      </c>
      <c r="H9" s="3"/>
      <c r="I9" s="3" t="s">
        <v>22</v>
      </c>
      <c r="J9" s="3" t="s">
        <v>17</v>
      </c>
      <c r="K9" s="4">
        <v>46085.470729166656</v>
      </c>
      <c r="L9" s="5">
        <v>46085</v>
      </c>
      <c r="M9" s="3" t="s">
        <v>23</v>
      </c>
      <c r="N9" s="3" t="s">
        <v>60</v>
      </c>
      <c r="O9" s="3" t="s">
        <v>25</v>
      </c>
      <c r="P9" s="3" t="s">
        <v>356</v>
      </c>
      <c r="Q9" s="3" t="s">
        <v>27</v>
      </c>
    </row>
    <row r="10" spans="1:17" x14ac:dyDescent="0.35">
      <c r="A10" s="2" t="str">
        <f>HYPERLINK("https://vtmf.veevavault.com/ui/#doc_info/31110290/1/0", "77242113UCO3001-CZE-DD5-CZ10020-Other Curriculum Vitae-17 Feb 2026 (v1.0)")</f>
        <v>77242113UCO3001-CZE-DD5-CZ10020-Other Curriculum Vitae-17 Feb 2026 (v1.0)</v>
      </c>
      <c r="B10" s="3" t="s">
        <v>17</v>
      </c>
      <c r="C10" s="3" t="s">
        <v>18</v>
      </c>
      <c r="D10" s="3" t="s">
        <v>57</v>
      </c>
      <c r="E10" s="3" t="s">
        <v>58</v>
      </c>
      <c r="F10" s="3" t="s">
        <v>364</v>
      </c>
      <c r="G10" s="2" t="str">
        <f>HYPERLINK("https://vtmf.veevavault.com/ui/#doc_info/31110290/1/0", "VTMF-25082238")</f>
        <v>VTMF-25082238</v>
      </c>
      <c r="H10" s="3"/>
      <c r="I10" s="3" t="s">
        <v>22</v>
      </c>
      <c r="J10" s="3" t="s">
        <v>17</v>
      </c>
      <c r="K10" s="4">
        <v>46085.470729166656</v>
      </c>
      <c r="L10" s="5">
        <v>46085</v>
      </c>
      <c r="M10" s="3" t="s">
        <v>23</v>
      </c>
      <c r="N10" s="3" t="s">
        <v>60</v>
      </c>
      <c r="O10" s="3" t="s">
        <v>25</v>
      </c>
      <c r="P10" s="3" t="s">
        <v>356</v>
      </c>
      <c r="Q10" s="3" t="s">
        <v>27</v>
      </c>
    </row>
    <row r="11" spans="1:17" x14ac:dyDescent="0.35">
      <c r="A11" s="2" t="str">
        <f>HYPERLINK("https://vtmf.veevavault.com/ui/#doc_info/31110291/1/0", "77242113UCO3001-CZE-DD5-CZ10020-Other Curriculum Vitae-17 Feb 2026 (v1.0)")</f>
        <v>77242113UCO3001-CZE-DD5-CZ10020-Other Curriculum Vitae-17 Feb 2026 (v1.0)</v>
      </c>
      <c r="B11" s="3" t="s">
        <v>17</v>
      </c>
      <c r="C11" s="3" t="s">
        <v>18</v>
      </c>
      <c r="D11" s="3" t="s">
        <v>57</v>
      </c>
      <c r="E11" s="3" t="s">
        <v>58</v>
      </c>
      <c r="F11" s="3" t="s">
        <v>365</v>
      </c>
      <c r="G11" s="2" t="str">
        <f>HYPERLINK("https://vtmf.veevavault.com/ui/#doc_info/31110291/1/0", "VTMF-25082239")</f>
        <v>VTMF-25082239</v>
      </c>
      <c r="H11" s="3"/>
      <c r="I11" s="3" t="s">
        <v>22</v>
      </c>
      <c r="J11" s="3" t="s">
        <v>17</v>
      </c>
      <c r="K11" s="4">
        <v>46085.470729166656</v>
      </c>
      <c r="L11" s="5">
        <v>46085</v>
      </c>
      <c r="M11" s="3" t="s">
        <v>23</v>
      </c>
      <c r="N11" s="3" t="s">
        <v>60</v>
      </c>
      <c r="O11" s="3" t="s">
        <v>25</v>
      </c>
      <c r="P11" s="3" t="s">
        <v>356</v>
      </c>
      <c r="Q11" s="3" t="s">
        <v>27</v>
      </c>
    </row>
    <row r="12" spans="1:17" x14ac:dyDescent="0.35">
      <c r="A12" s="2" t="str">
        <f>HYPERLINK("https://vtmf.veevavault.com/ui/#doc_info/31110292/1/0", "77242113UCO3001-CZE-DD5-CZ10020-Other Curriculum Vitae-17 Feb 2026 (v1.0)")</f>
        <v>77242113UCO3001-CZE-DD5-CZ10020-Other Curriculum Vitae-17 Feb 2026 (v1.0)</v>
      </c>
      <c r="B12" s="3" t="s">
        <v>17</v>
      </c>
      <c r="C12" s="3" t="s">
        <v>18</v>
      </c>
      <c r="D12" s="3" t="s">
        <v>57</v>
      </c>
      <c r="E12" s="3" t="s">
        <v>58</v>
      </c>
      <c r="F12" s="3" t="s">
        <v>366</v>
      </c>
      <c r="G12" s="2" t="str">
        <f>HYPERLINK("https://vtmf.veevavault.com/ui/#doc_info/31110292/1/0", "VTMF-25082240")</f>
        <v>VTMF-25082240</v>
      </c>
      <c r="H12" s="3"/>
      <c r="I12" s="3" t="s">
        <v>22</v>
      </c>
      <c r="J12" s="3" t="s">
        <v>17</v>
      </c>
      <c r="K12" s="4">
        <v>46085.470729166656</v>
      </c>
      <c r="L12" s="5">
        <v>46085</v>
      </c>
      <c r="M12" s="3" t="s">
        <v>23</v>
      </c>
      <c r="N12" s="3" t="s">
        <v>60</v>
      </c>
      <c r="O12" s="3" t="s">
        <v>25</v>
      </c>
      <c r="P12" s="3" t="s">
        <v>356</v>
      </c>
      <c r="Q12" s="3" t="s">
        <v>27</v>
      </c>
    </row>
    <row r="13" spans="1:17" x14ac:dyDescent="0.35">
      <c r="A13" s="2" t="str">
        <f>HYPERLINK("https://vtmf.veevavault.com/ui/#doc_info/31110288/1/0", "77242113UCO3001-CZE-DD5-CZ10020-Other Curriculum Vitae-19 Jan 2026 (v1.0)")</f>
        <v>77242113UCO3001-CZE-DD5-CZ10020-Other Curriculum Vitae-19 Jan 2026 (v1.0)</v>
      </c>
      <c r="B13" s="3" t="s">
        <v>17</v>
      </c>
      <c r="C13" s="3" t="s">
        <v>18</v>
      </c>
      <c r="D13" s="3" t="s">
        <v>57</v>
      </c>
      <c r="E13" s="3" t="s">
        <v>58</v>
      </c>
      <c r="F13" s="3" t="s">
        <v>367</v>
      </c>
      <c r="G13" s="2" t="str">
        <f>HYPERLINK("https://vtmf.veevavault.com/ui/#doc_info/31110288/1/0", "VTMF-25082236")</f>
        <v>VTMF-25082236</v>
      </c>
      <c r="H13" s="3"/>
      <c r="I13" s="3" t="s">
        <v>22</v>
      </c>
      <c r="J13" s="3" t="s">
        <v>17</v>
      </c>
      <c r="K13" s="4">
        <v>46085.470729166656</v>
      </c>
      <c r="L13" s="5">
        <v>46085</v>
      </c>
      <c r="M13" s="3" t="s">
        <v>23</v>
      </c>
      <c r="N13" s="3" t="s">
        <v>60</v>
      </c>
      <c r="O13" s="3" t="s">
        <v>25</v>
      </c>
      <c r="P13" s="3" t="s">
        <v>356</v>
      </c>
      <c r="Q13" s="3" t="s">
        <v>27</v>
      </c>
    </row>
    <row r="14" spans="1:17" x14ac:dyDescent="0.35">
      <c r="A14" s="2" t="str">
        <f>HYPERLINK("https://vtmf.veevavault.com/ui/#doc_info/31110031/1/0", "77242113UCO3001-CZE-DD5-CZ10020-Site Training Documentation-08 Feb 2024 (v1.0)")</f>
        <v>77242113UCO3001-CZE-DD5-CZ10020-Site Training Documentation-08 Feb 2024 (v1.0)</v>
      </c>
      <c r="B14" s="3" t="s">
        <v>17</v>
      </c>
      <c r="C14" s="3" t="s">
        <v>18</v>
      </c>
      <c r="D14" s="3" t="s">
        <v>68</v>
      </c>
      <c r="E14" s="3" t="s">
        <v>69</v>
      </c>
      <c r="F14" s="3" t="s">
        <v>368</v>
      </c>
      <c r="G14" s="2" t="str">
        <f>HYPERLINK("https://vtmf.veevavault.com/ui/#doc_info/31110031/1/0", "VTMF-25082105")</f>
        <v>VTMF-25082105</v>
      </c>
      <c r="H14" s="3"/>
      <c r="I14" s="3" t="s">
        <v>22</v>
      </c>
      <c r="J14" s="3" t="s">
        <v>17</v>
      </c>
      <c r="K14" s="4">
        <v>46085.458587962959</v>
      </c>
      <c r="L14" s="5">
        <v>46085</v>
      </c>
      <c r="M14" s="3" t="s">
        <v>23</v>
      </c>
      <c r="N14" s="3" t="s">
        <v>60</v>
      </c>
      <c r="O14" s="3" t="s">
        <v>25</v>
      </c>
      <c r="P14" s="3" t="s">
        <v>356</v>
      </c>
      <c r="Q14" s="3" t="s">
        <v>27</v>
      </c>
    </row>
    <row r="15" spans="1:17" x14ac:dyDescent="0.35">
      <c r="A15" s="2" t="str">
        <f>HYPERLINK("https://vtmf.veevavault.com/ui/#doc_info/31110057/1/0", "77242113UCO3001-CZE-DD5-CZ10020-Sub-Investigator Curriculum Vitae-04 Apr 2025 (v1.0)")</f>
        <v>77242113UCO3001-CZE-DD5-CZ10020-Sub-Investigator Curriculum Vitae-04 Apr 2025 (v1.0)</v>
      </c>
      <c r="B15" s="3" t="s">
        <v>17</v>
      </c>
      <c r="C15" s="3" t="s">
        <v>18</v>
      </c>
      <c r="D15" s="3" t="s">
        <v>57</v>
      </c>
      <c r="E15" s="3" t="s">
        <v>75</v>
      </c>
      <c r="F15" s="3" t="s">
        <v>369</v>
      </c>
      <c r="G15" s="2" t="str">
        <f>HYPERLINK("https://vtmf.veevavault.com/ui/#doc_info/31110057/1/0", "VTMF-25082180")</f>
        <v>VTMF-25082180</v>
      </c>
      <c r="H15" s="3"/>
      <c r="I15" s="3" t="s">
        <v>22</v>
      </c>
      <c r="J15" s="3" t="s">
        <v>17</v>
      </c>
      <c r="K15" s="4">
        <v>46085.463587962957</v>
      </c>
      <c r="L15" s="5">
        <v>46085</v>
      </c>
      <c r="M15" s="3" t="s">
        <v>23</v>
      </c>
      <c r="N15" s="3" t="s">
        <v>67</v>
      </c>
      <c r="O15" s="3" t="s">
        <v>25</v>
      </c>
      <c r="P15" s="3" t="s">
        <v>356</v>
      </c>
      <c r="Q15" s="3" t="s">
        <v>27</v>
      </c>
    </row>
    <row r="16" spans="1:17" x14ac:dyDescent="0.35">
      <c r="A16" s="2" t="str">
        <f>HYPERLINK("https://vtmf.veevavault.com/ui/#doc_info/31106822/1/0", "77242113UCO3001-CZE-DD5-CZ10020-Electronic Source Data Compliance Assessment Questionnaire (ESDCAQ)- (v1.0)")</f>
        <v>77242113UCO3001-CZE-DD5-CZ10020-Electronic Source Data Compliance Assessment Questionnaire (ESDCAQ)- (v1.0)</v>
      </c>
      <c r="B16" s="3" t="s">
        <v>114</v>
      </c>
      <c r="C16" s="3" t="s">
        <v>18</v>
      </c>
      <c r="D16" s="3" t="s">
        <v>57</v>
      </c>
      <c r="E16" s="3" t="s">
        <v>115</v>
      </c>
      <c r="F16" s="3" t="s">
        <v>116</v>
      </c>
      <c r="G16" s="2" t="str">
        <f>HYPERLINK("https://vtmf.veevavault.com/ui/#doc_info/31106822/1/0", "VTMF-25079324")</f>
        <v>VTMF-25079324</v>
      </c>
      <c r="H16" s="3"/>
      <c r="I16" s="3" t="s">
        <v>22</v>
      </c>
      <c r="J16" s="3" t="s">
        <v>114</v>
      </c>
      <c r="K16" s="4">
        <v>46085.024571759262</v>
      </c>
      <c r="L16" s="5">
        <v>46084</v>
      </c>
      <c r="M16" s="3" t="s">
        <v>23</v>
      </c>
      <c r="N16" s="3" t="s">
        <v>118</v>
      </c>
      <c r="O16" s="3" t="s">
        <v>25</v>
      </c>
      <c r="P16" s="3" t="s">
        <v>356</v>
      </c>
      <c r="Q16" s="3" t="s">
        <v>27</v>
      </c>
    </row>
    <row r="17" spans="1:17" x14ac:dyDescent="0.35">
      <c r="A17" s="2" t="str">
        <f>HYPERLINK("https://vtmf.veevavault.com/ui/#doc_info/31103001/1/0", "77242113UCO3001-CZE-DD5-CZ10020-Maintenance Logs (Device)-01 Mar 2025 (v1.0)")</f>
        <v>77242113UCO3001-CZE-DD5-CZ10020-Maintenance Logs (Device)-01 Mar 2025 (v1.0)</v>
      </c>
      <c r="B17" s="3" t="s">
        <v>17</v>
      </c>
      <c r="C17" s="3" t="s">
        <v>28</v>
      </c>
      <c r="D17" s="3" t="s">
        <v>77</v>
      </c>
      <c r="E17" s="3" t="s">
        <v>109</v>
      </c>
      <c r="F17" s="3" t="s">
        <v>370</v>
      </c>
      <c r="G17" s="2" t="str">
        <f>HYPERLINK("https://vtmf.veevavault.com/ui/#doc_info/31103001/1/0", "VTMF-25076179")</f>
        <v>VTMF-25076179</v>
      </c>
      <c r="H17" s="3"/>
      <c r="I17" s="3" t="s">
        <v>22</v>
      </c>
      <c r="J17" s="3" t="s">
        <v>17</v>
      </c>
      <c r="K17" s="4">
        <v>46084.538506944453</v>
      </c>
      <c r="L17" s="5">
        <v>46084</v>
      </c>
      <c r="M17" s="3" t="s">
        <v>23</v>
      </c>
      <c r="N17" s="3" t="s">
        <v>111</v>
      </c>
      <c r="O17" s="3" t="s">
        <v>25</v>
      </c>
      <c r="P17" s="3" t="s">
        <v>356</v>
      </c>
      <c r="Q17" s="3" t="s">
        <v>27</v>
      </c>
    </row>
    <row r="18" spans="1:17" x14ac:dyDescent="0.35">
      <c r="A18" s="2" t="str">
        <f>HYPERLINK("https://vtmf.veevavault.com/ui/#doc_info/31102896/1/0", "77242113UCO3001-CZE-DD5-CZ10020-Maintenance Logs (Device)-03 Jun 2025 (v1.0)")</f>
        <v>77242113UCO3001-CZE-DD5-CZ10020-Maintenance Logs (Device)-03 Jun 2025 (v1.0)</v>
      </c>
      <c r="B18" s="3" t="s">
        <v>17</v>
      </c>
      <c r="C18" s="3" t="s">
        <v>28</v>
      </c>
      <c r="D18" s="3" t="s">
        <v>77</v>
      </c>
      <c r="E18" s="3" t="s">
        <v>109</v>
      </c>
      <c r="F18" s="3" t="s">
        <v>371</v>
      </c>
      <c r="G18" s="2" t="str">
        <f>HYPERLINK("https://vtmf.veevavault.com/ui/#doc_info/31102896/1/0", "VTMF-25076174")</f>
        <v>VTMF-25076174</v>
      </c>
      <c r="H18" s="3"/>
      <c r="I18" s="3" t="s">
        <v>22</v>
      </c>
      <c r="J18" s="3" t="s">
        <v>17</v>
      </c>
      <c r="K18" s="4">
        <v>46084.538506944453</v>
      </c>
      <c r="L18" s="5">
        <v>46084</v>
      </c>
      <c r="M18" s="3" t="s">
        <v>23</v>
      </c>
      <c r="N18" s="3" t="s">
        <v>111</v>
      </c>
      <c r="O18" s="3" t="s">
        <v>25</v>
      </c>
      <c r="P18" s="3" t="s">
        <v>356</v>
      </c>
      <c r="Q18" s="3" t="s">
        <v>27</v>
      </c>
    </row>
    <row r="19" spans="1:17" x14ac:dyDescent="0.35">
      <c r="A19" s="2" t="str">
        <f>HYPERLINK("https://vtmf.veevavault.com/ui/#doc_info/31102900/1/0", "77242113UCO3001-CZE-DD5-CZ10020-Maintenance Logs (Device)-03 Jun 2025 (v1.0)")</f>
        <v>77242113UCO3001-CZE-DD5-CZ10020-Maintenance Logs (Device)-03 Jun 2025 (v1.0)</v>
      </c>
      <c r="B19" s="3" t="s">
        <v>17</v>
      </c>
      <c r="C19" s="3" t="s">
        <v>28</v>
      </c>
      <c r="D19" s="3" t="s">
        <v>77</v>
      </c>
      <c r="E19" s="3" t="s">
        <v>109</v>
      </c>
      <c r="F19" s="3" t="s">
        <v>371</v>
      </c>
      <c r="G19" s="2" t="str">
        <f>HYPERLINK("https://vtmf.veevavault.com/ui/#doc_info/31102900/1/0", "VTMF-25076178")</f>
        <v>VTMF-25076178</v>
      </c>
      <c r="H19" s="3"/>
      <c r="I19" s="3" t="s">
        <v>22</v>
      </c>
      <c r="J19" s="3" t="s">
        <v>17</v>
      </c>
      <c r="K19" s="4">
        <v>46084.538506944453</v>
      </c>
      <c r="L19" s="5">
        <v>46084</v>
      </c>
      <c r="M19" s="3" t="s">
        <v>23</v>
      </c>
      <c r="N19" s="3" t="s">
        <v>111</v>
      </c>
      <c r="O19" s="3" t="s">
        <v>25</v>
      </c>
      <c r="P19" s="3" t="s">
        <v>356</v>
      </c>
      <c r="Q19" s="3" t="s">
        <v>27</v>
      </c>
    </row>
    <row r="20" spans="1:17" x14ac:dyDescent="0.35">
      <c r="A20" s="2" t="str">
        <f>HYPERLINK("https://vtmf.veevavault.com/ui/#doc_info/31102895/1/0", "77242113UCO3001-CZE-DD5-CZ10020-Maintenance Logs (Device)-05 Sep 2023 (v1.0)")</f>
        <v>77242113UCO3001-CZE-DD5-CZ10020-Maintenance Logs (Device)-05 Sep 2023 (v1.0)</v>
      </c>
      <c r="B20" s="3" t="s">
        <v>17</v>
      </c>
      <c r="C20" s="3" t="s">
        <v>28</v>
      </c>
      <c r="D20" s="3" t="s">
        <v>77</v>
      </c>
      <c r="E20" s="3" t="s">
        <v>109</v>
      </c>
      <c r="F20" s="3" t="s">
        <v>372</v>
      </c>
      <c r="G20" s="2" t="str">
        <f>HYPERLINK("https://vtmf.veevavault.com/ui/#doc_info/31102895/1/0", "VTMF-25076173")</f>
        <v>VTMF-25076173</v>
      </c>
      <c r="H20" s="3"/>
      <c r="I20" s="3" t="s">
        <v>22</v>
      </c>
      <c r="J20" s="3" t="s">
        <v>17</v>
      </c>
      <c r="K20" s="4">
        <v>46084.538506944453</v>
      </c>
      <c r="L20" s="5">
        <v>46084</v>
      </c>
      <c r="M20" s="3" t="s">
        <v>23</v>
      </c>
      <c r="N20" s="3" t="s">
        <v>111</v>
      </c>
      <c r="O20" s="3" t="s">
        <v>25</v>
      </c>
      <c r="P20" s="3" t="s">
        <v>356</v>
      </c>
      <c r="Q20" s="3" t="s">
        <v>27</v>
      </c>
    </row>
    <row r="21" spans="1:17" x14ac:dyDescent="0.35">
      <c r="A21" s="2" t="str">
        <f>HYPERLINK("https://vtmf.veevavault.com/ui/#doc_info/31103383/1/0", "77242113UCO3001-CZE-DD5-CZ10020-Maintenance Logs (Device)-09 Jan 2025 (v1.0)")</f>
        <v>77242113UCO3001-CZE-DD5-CZ10020-Maintenance Logs (Device)-09 Jan 2025 (v1.0)</v>
      </c>
      <c r="B21" s="3" t="s">
        <v>17</v>
      </c>
      <c r="C21" s="3" t="s">
        <v>28</v>
      </c>
      <c r="D21" s="3" t="s">
        <v>77</v>
      </c>
      <c r="E21" s="3" t="s">
        <v>109</v>
      </c>
      <c r="F21" s="3" t="s">
        <v>373</v>
      </c>
      <c r="G21" s="2" t="str">
        <f>HYPERLINK("https://vtmf.veevavault.com/ui/#doc_info/31103383/1/0", "VTMF-25076542")</f>
        <v>VTMF-25076542</v>
      </c>
      <c r="H21" s="3"/>
      <c r="I21" s="3" t="s">
        <v>22</v>
      </c>
      <c r="J21" s="3" t="s">
        <v>17</v>
      </c>
      <c r="K21" s="4">
        <v>46084.587025462963</v>
      </c>
      <c r="L21" s="5">
        <v>46084</v>
      </c>
      <c r="M21" s="3" t="s">
        <v>23</v>
      </c>
      <c r="N21" s="3" t="s">
        <v>111</v>
      </c>
      <c r="O21" s="3" t="s">
        <v>25</v>
      </c>
      <c r="P21" s="3" t="s">
        <v>356</v>
      </c>
      <c r="Q21" s="3" t="s">
        <v>27</v>
      </c>
    </row>
    <row r="22" spans="1:17" x14ac:dyDescent="0.35">
      <c r="A22" s="2" t="str">
        <f>HYPERLINK("https://vtmf.veevavault.com/ui/#doc_info/31103384/1/0", "77242113UCO3001-CZE-DD5-CZ10020-Maintenance Logs (Device)-14 Jan 2025 (v1.0)")</f>
        <v>77242113UCO3001-CZE-DD5-CZ10020-Maintenance Logs (Device)-14 Jan 2025 (v1.0)</v>
      </c>
      <c r="B22" s="3" t="s">
        <v>17</v>
      </c>
      <c r="C22" s="3" t="s">
        <v>28</v>
      </c>
      <c r="D22" s="3" t="s">
        <v>77</v>
      </c>
      <c r="E22" s="3" t="s">
        <v>109</v>
      </c>
      <c r="F22" s="3" t="s">
        <v>374</v>
      </c>
      <c r="G22" s="2" t="str">
        <f>HYPERLINK("https://vtmf.veevavault.com/ui/#doc_info/31103384/1/0", "VTMF-25076543")</f>
        <v>VTMF-25076543</v>
      </c>
      <c r="H22" s="3"/>
      <c r="I22" s="3" t="s">
        <v>22</v>
      </c>
      <c r="J22" s="3" t="s">
        <v>17</v>
      </c>
      <c r="K22" s="4">
        <v>46084.587025462963</v>
      </c>
      <c r="L22" s="5">
        <v>46084</v>
      </c>
      <c r="M22" s="3" t="s">
        <v>23</v>
      </c>
      <c r="N22" s="3" t="s">
        <v>111</v>
      </c>
      <c r="O22" s="3" t="s">
        <v>25</v>
      </c>
      <c r="P22" s="3" t="s">
        <v>356</v>
      </c>
      <c r="Q22" s="3" t="s">
        <v>27</v>
      </c>
    </row>
    <row r="23" spans="1:17" x14ac:dyDescent="0.35">
      <c r="A23" s="2" t="str">
        <f>HYPERLINK("https://vtmf.veevavault.com/ui/#doc_info/31102898/1/0", "77242113UCO3001-CZE-DD5-CZ10020-Maintenance Logs (Device)-15 Jan 2026 (v1.0)")</f>
        <v>77242113UCO3001-CZE-DD5-CZ10020-Maintenance Logs (Device)-15 Jan 2026 (v1.0)</v>
      </c>
      <c r="B23" s="3" t="s">
        <v>17</v>
      </c>
      <c r="C23" s="3" t="s">
        <v>28</v>
      </c>
      <c r="D23" s="3" t="s">
        <v>77</v>
      </c>
      <c r="E23" s="3" t="s">
        <v>109</v>
      </c>
      <c r="F23" s="3" t="s">
        <v>375</v>
      </c>
      <c r="G23" s="2" t="str">
        <f>HYPERLINK("https://vtmf.veevavault.com/ui/#doc_info/31102898/1/0", "VTMF-25076176")</f>
        <v>VTMF-25076176</v>
      </c>
      <c r="H23" s="3"/>
      <c r="I23" s="3" t="s">
        <v>22</v>
      </c>
      <c r="J23" s="3" t="s">
        <v>17</v>
      </c>
      <c r="K23" s="4">
        <v>46084.538506944453</v>
      </c>
      <c r="L23" s="5">
        <v>46084</v>
      </c>
      <c r="M23" s="3" t="s">
        <v>23</v>
      </c>
      <c r="N23" s="3" t="s">
        <v>111</v>
      </c>
      <c r="O23" s="3" t="s">
        <v>25</v>
      </c>
      <c r="P23" s="3" t="s">
        <v>356</v>
      </c>
      <c r="Q23" s="3" t="s">
        <v>27</v>
      </c>
    </row>
    <row r="24" spans="1:17" x14ac:dyDescent="0.35">
      <c r="A24" s="2" t="str">
        <f>HYPERLINK("https://vtmf.veevavault.com/ui/#doc_info/31103385/1/0", "77242113UCO3001-CZE-DD5-CZ10020-Maintenance Logs (Device)-18 Sep 2025 (v1.0)")</f>
        <v>77242113UCO3001-CZE-DD5-CZ10020-Maintenance Logs (Device)-18 Sep 2025 (v1.0)</v>
      </c>
      <c r="B24" s="3" t="s">
        <v>17</v>
      </c>
      <c r="C24" s="3" t="s">
        <v>28</v>
      </c>
      <c r="D24" s="3" t="s">
        <v>77</v>
      </c>
      <c r="E24" s="3" t="s">
        <v>109</v>
      </c>
      <c r="F24" s="3" t="s">
        <v>374</v>
      </c>
      <c r="G24" s="2" t="str">
        <f>HYPERLINK("https://vtmf.veevavault.com/ui/#doc_info/31103385/1/0", "VTMF-25076544")</f>
        <v>VTMF-25076544</v>
      </c>
      <c r="H24" s="3"/>
      <c r="I24" s="3" t="s">
        <v>22</v>
      </c>
      <c r="J24" s="3" t="s">
        <v>17</v>
      </c>
      <c r="K24" s="4">
        <v>46084.587025462963</v>
      </c>
      <c r="L24" s="5">
        <v>46084</v>
      </c>
      <c r="M24" s="3" t="s">
        <v>23</v>
      </c>
      <c r="N24" s="3" t="s">
        <v>111</v>
      </c>
      <c r="O24" s="3" t="s">
        <v>25</v>
      </c>
      <c r="P24" s="3" t="s">
        <v>356</v>
      </c>
      <c r="Q24" s="3" t="s">
        <v>27</v>
      </c>
    </row>
    <row r="25" spans="1:17" x14ac:dyDescent="0.35">
      <c r="A25" s="2" t="str">
        <f>HYPERLINK("https://vtmf.veevavault.com/ui/#doc_info/31102897/1/0", "77242113UCO3001-CZE-DD5-CZ10020-Maintenance Logs (Device)-24 Feb 2025 (v1.0)")</f>
        <v>77242113UCO3001-CZE-DD5-CZ10020-Maintenance Logs (Device)-24 Feb 2025 (v1.0)</v>
      </c>
      <c r="B25" s="3" t="s">
        <v>17</v>
      </c>
      <c r="C25" s="3" t="s">
        <v>28</v>
      </c>
      <c r="D25" s="3" t="s">
        <v>77</v>
      </c>
      <c r="E25" s="3" t="s">
        <v>109</v>
      </c>
      <c r="F25" s="3" t="s">
        <v>376</v>
      </c>
      <c r="G25" s="2" t="str">
        <f>HYPERLINK("https://vtmf.veevavault.com/ui/#doc_info/31102897/1/0", "VTMF-25076175")</f>
        <v>VTMF-25076175</v>
      </c>
      <c r="H25" s="3"/>
      <c r="I25" s="3" t="s">
        <v>22</v>
      </c>
      <c r="J25" s="3" t="s">
        <v>17</v>
      </c>
      <c r="K25" s="4">
        <v>46084.538506944453</v>
      </c>
      <c r="L25" s="5">
        <v>46084</v>
      </c>
      <c r="M25" s="3" t="s">
        <v>23</v>
      </c>
      <c r="N25" s="3" t="s">
        <v>111</v>
      </c>
      <c r="O25" s="3" t="s">
        <v>25</v>
      </c>
      <c r="P25" s="3" t="s">
        <v>356</v>
      </c>
      <c r="Q25" s="3" t="s">
        <v>27</v>
      </c>
    </row>
    <row r="26" spans="1:17" x14ac:dyDescent="0.35">
      <c r="A26" s="2" t="str">
        <f>HYPERLINK("https://vtmf.veevavault.com/ui/#doc_info/31102899/1/0", "77242113UCO3001-CZE-DD5-CZ10020-Maintenance Logs (Device)-25 Nov 2025 (v1.0)")</f>
        <v>77242113UCO3001-CZE-DD5-CZ10020-Maintenance Logs (Device)-25 Nov 2025 (v1.0)</v>
      </c>
      <c r="B26" s="3" t="s">
        <v>17</v>
      </c>
      <c r="C26" s="3" t="s">
        <v>28</v>
      </c>
      <c r="D26" s="3" t="s">
        <v>77</v>
      </c>
      <c r="E26" s="3" t="s">
        <v>109</v>
      </c>
      <c r="F26" s="3" t="s">
        <v>377</v>
      </c>
      <c r="G26" s="2" t="str">
        <f>HYPERLINK("https://vtmf.veevavault.com/ui/#doc_info/31102899/1/0", "VTMF-25076177")</f>
        <v>VTMF-25076177</v>
      </c>
      <c r="H26" s="3"/>
      <c r="I26" s="3" t="s">
        <v>22</v>
      </c>
      <c r="J26" s="3" t="s">
        <v>17</v>
      </c>
      <c r="K26" s="4">
        <v>46084.538506944453</v>
      </c>
      <c r="L26" s="5">
        <v>46084</v>
      </c>
      <c r="M26" s="3" t="s">
        <v>23</v>
      </c>
      <c r="N26" s="3" t="s">
        <v>111</v>
      </c>
      <c r="O26" s="3" t="s">
        <v>25</v>
      </c>
      <c r="P26" s="3" t="s">
        <v>356</v>
      </c>
      <c r="Q26" s="3" t="s">
        <v>27</v>
      </c>
    </row>
    <row r="27" spans="1:17" x14ac:dyDescent="0.35">
      <c r="A27" s="2" t="str">
        <f>HYPERLINK("https://vtmf.veevavault.com/ui/#doc_info/31103604/1/0", "77242113UCO3001-CZE-DD5-CZ10020-Site Training Documentation-02 Oct 2025 (v1.0)")</f>
        <v>77242113UCO3001-CZE-DD5-CZ10020-Site Training Documentation-02 Oct 2025 (v1.0)</v>
      </c>
      <c r="B27" s="3" t="s">
        <v>17</v>
      </c>
      <c r="C27" s="3" t="s">
        <v>18</v>
      </c>
      <c r="D27" s="3" t="s">
        <v>68</v>
      </c>
      <c r="E27" s="3" t="s">
        <v>69</v>
      </c>
      <c r="F27" s="3" t="s">
        <v>378</v>
      </c>
      <c r="G27" s="2" t="str">
        <f>HYPERLINK("https://vtmf.veevavault.com/ui/#doc_info/31103604/1/0", "VTMF-25076696")</f>
        <v>VTMF-25076696</v>
      </c>
      <c r="H27" s="3"/>
      <c r="I27" s="3" t="s">
        <v>22</v>
      </c>
      <c r="J27" s="3" t="s">
        <v>17</v>
      </c>
      <c r="K27" s="4">
        <v>46084.603807870371</v>
      </c>
      <c r="L27" s="5">
        <v>46084</v>
      </c>
      <c r="M27" s="3" t="s">
        <v>23</v>
      </c>
      <c r="N27" s="3" t="s">
        <v>60</v>
      </c>
      <c r="O27" s="3" t="s">
        <v>25</v>
      </c>
      <c r="P27" s="3" t="s">
        <v>356</v>
      </c>
      <c r="Q27" s="3" t="s">
        <v>27</v>
      </c>
    </row>
    <row r="28" spans="1:17" x14ac:dyDescent="0.35">
      <c r="A28" s="2" t="str">
        <f>HYPERLINK("https://vtmf.veevavault.com/ui/#doc_info/31103607/1/0", "77242113UCO3001-CZE-DD5-CZ10020-Site Training Documentation-07 Jul 2025 (v1.0)")</f>
        <v>77242113UCO3001-CZE-DD5-CZ10020-Site Training Documentation-07 Jul 2025 (v1.0)</v>
      </c>
      <c r="B28" s="3" t="s">
        <v>17</v>
      </c>
      <c r="C28" s="3" t="s">
        <v>18</v>
      </c>
      <c r="D28" s="3" t="s">
        <v>68</v>
      </c>
      <c r="E28" s="3" t="s">
        <v>69</v>
      </c>
      <c r="F28" s="3" t="s">
        <v>379</v>
      </c>
      <c r="G28" s="2" t="str">
        <f>HYPERLINK("https://vtmf.veevavault.com/ui/#doc_info/31103607/1/0", "VTMF-25076699")</f>
        <v>VTMF-25076699</v>
      </c>
      <c r="H28" s="3"/>
      <c r="I28" s="3" t="s">
        <v>22</v>
      </c>
      <c r="J28" s="3" t="s">
        <v>17</v>
      </c>
      <c r="K28" s="4">
        <v>46084.603807870371</v>
      </c>
      <c r="L28" s="5">
        <v>46084</v>
      </c>
      <c r="M28" s="3" t="s">
        <v>23</v>
      </c>
      <c r="N28" s="3" t="s">
        <v>60</v>
      </c>
      <c r="O28" s="3" t="s">
        <v>25</v>
      </c>
      <c r="P28" s="3" t="s">
        <v>356</v>
      </c>
      <c r="Q28" s="3" t="s">
        <v>27</v>
      </c>
    </row>
    <row r="29" spans="1:17" x14ac:dyDescent="0.35">
      <c r="A29" s="2" t="str">
        <f>HYPERLINK("https://vtmf.veevavault.com/ui/#doc_info/31103602/1/0", "77242113UCO3001-CZE-DD5-CZ10020-Site Training Documentation-11 Jul 2025 (v1.0)")</f>
        <v>77242113UCO3001-CZE-DD5-CZ10020-Site Training Documentation-11 Jul 2025 (v1.0)</v>
      </c>
      <c r="B29" s="3" t="s">
        <v>17</v>
      </c>
      <c r="C29" s="3" t="s">
        <v>18</v>
      </c>
      <c r="D29" s="3" t="s">
        <v>68</v>
      </c>
      <c r="E29" s="3" t="s">
        <v>69</v>
      </c>
      <c r="F29" s="3" t="s">
        <v>380</v>
      </c>
      <c r="G29" s="2" t="str">
        <f>HYPERLINK("https://vtmf.veevavault.com/ui/#doc_info/31103602/1/0", "VTMF-25076694")</f>
        <v>VTMF-25076694</v>
      </c>
      <c r="H29" s="3"/>
      <c r="I29" s="3" t="s">
        <v>22</v>
      </c>
      <c r="J29" s="3" t="s">
        <v>17</v>
      </c>
      <c r="K29" s="4">
        <v>46084.603807870371</v>
      </c>
      <c r="L29" s="5">
        <v>46084</v>
      </c>
      <c r="M29" s="3" t="s">
        <v>23</v>
      </c>
      <c r="N29" s="3" t="s">
        <v>60</v>
      </c>
      <c r="O29" s="3" t="s">
        <v>25</v>
      </c>
      <c r="P29" s="3" t="s">
        <v>356</v>
      </c>
      <c r="Q29" s="3" t="s">
        <v>27</v>
      </c>
    </row>
    <row r="30" spans="1:17" x14ac:dyDescent="0.35">
      <c r="A30" s="2" t="str">
        <f>HYPERLINK("https://vtmf.veevavault.com/ui/#doc_info/31103498/1/0", "77242113UCO3001-CZE-DD5-CZ10020-Site Training Documentation-16 Apr 2025 (v1.0)")</f>
        <v>77242113UCO3001-CZE-DD5-CZ10020-Site Training Documentation-16 Apr 2025 (v1.0)</v>
      </c>
      <c r="B30" s="3" t="s">
        <v>17</v>
      </c>
      <c r="C30" s="3" t="s">
        <v>18</v>
      </c>
      <c r="D30" s="3" t="s">
        <v>68</v>
      </c>
      <c r="E30" s="3" t="s">
        <v>69</v>
      </c>
      <c r="F30" s="3" t="s">
        <v>381</v>
      </c>
      <c r="G30" s="2" t="str">
        <f>HYPERLINK("https://vtmf.veevavault.com/ui/#doc_info/31103498/1/0", "VTMF-25076690")</f>
        <v>VTMF-25076690</v>
      </c>
      <c r="H30" s="3"/>
      <c r="I30" s="3" t="s">
        <v>22</v>
      </c>
      <c r="J30" s="3" t="s">
        <v>17</v>
      </c>
      <c r="K30" s="4">
        <v>46084.603807870371</v>
      </c>
      <c r="L30" s="5">
        <v>46084</v>
      </c>
      <c r="M30" s="3" t="s">
        <v>23</v>
      </c>
      <c r="N30" s="3" t="s">
        <v>60</v>
      </c>
      <c r="O30" s="3" t="s">
        <v>25</v>
      </c>
      <c r="P30" s="3" t="s">
        <v>356</v>
      </c>
      <c r="Q30" s="3" t="s">
        <v>27</v>
      </c>
    </row>
    <row r="31" spans="1:17" x14ac:dyDescent="0.35">
      <c r="A31" s="2" t="str">
        <f>HYPERLINK("https://vtmf.veevavault.com/ui/#doc_info/31103499/1/0", "77242113UCO3001-CZE-DD5-CZ10020-Site Training Documentation-16 Apr 2025 (v1.0)")</f>
        <v>77242113UCO3001-CZE-DD5-CZ10020-Site Training Documentation-16 Apr 2025 (v1.0)</v>
      </c>
      <c r="B31" s="3" t="s">
        <v>17</v>
      </c>
      <c r="C31" s="3" t="s">
        <v>18</v>
      </c>
      <c r="D31" s="3" t="s">
        <v>68</v>
      </c>
      <c r="E31" s="3" t="s">
        <v>69</v>
      </c>
      <c r="F31" s="3" t="s">
        <v>382</v>
      </c>
      <c r="G31" s="2" t="str">
        <f>HYPERLINK("https://vtmf.veevavault.com/ui/#doc_info/31103499/1/0", "VTMF-25076691")</f>
        <v>VTMF-25076691</v>
      </c>
      <c r="H31" s="3"/>
      <c r="I31" s="3" t="s">
        <v>22</v>
      </c>
      <c r="J31" s="3" t="s">
        <v>17</v>
      </c>
      <c r="K31" s="4">
        <v>46084.603807870371</v>
      </c>
      <c r="L31" s="5">
        <v>46084</v>
      </c>
      <c r="M31" s="3" t="s">
        <v>23</v>
      </c>
      <c r="N31" s="3" t="s">
        <v>60</v>
      </c>
      <c r="O31" s="3" t="s">
        <v>25</v>
      </c>
      <c r="P31" s="3" t="s">
        <v>356</v>
      </c>
      <c r="Q31" s="3" t="s">
        <v>27</v>
      </c>
    </row>
    <row r="32" spans="1:17" x14ac:dyDescent="0.35">
      <c r="A32" s="2" t="str">
        <f>HYPERLINK("https://vtmf.veevavault.com/ui/#doc_info/31103601/1/0", "77242113UCO3001-CZE-DD5-CZ10020-Site Training Documentation-19 Aug 2025 (v1.0)")</f>
        <v>77242113UCO3001-CZE-DD5-CZ10020-Site Training Documentation-19 Aug 2025 (v1.0)</v>
      </c>
      <c r="B32" s="3" t="s">
        <v>17</v>
      </c>
      <c r="C32" s="3" t="s">
        <v>18</v>
      </c>
      <c r="D32" s="3" t="s">
        <v>68</v>
      </c>
      <c r="E32" s="3" t="s">
        <v>69</v>
      </c>
      <c r="F32" s="3" t="s">
        <v>383</v>
      </c>
      <c r="G32" s="2" t="str">
        <f>HYPERLINK("https://vtmf.veevavault.com/ui/#doc_info/31103601/1/0", "VTMF-25076693")</f>
        <v>VTMF-25076693</v>
      </c>
      <c r="H32" s="3"/>
      <c r="I32" s="3" t="s">
        <v>22</v>
      </c>
      <c r="J32" s="3" t="s">
        <v>17</v>
      </c>
      <c r="K32" s="4">
        <v>46084.603807870371</v>
      </c>
      <c r="L32" s="5">
        <v>46084</v>
      </c>
      <c r="M32" s="3" t="s">
        <v>23</v>
      </c>
      <c r="N32" s="3" t="s">
        <v>60</v>
      </c>
      <c r="O32" s="3" t="s">
        <v>25</v>
      </c>
      <c r="P32" s="3" t="s">
        <v>356</v>
      </c>
      <c r="Q32" s="3" t="s">
        <v>27</v>
      </c>
    </row>
    <row r="33" spans="1:17" x14ac:dyDescent="0.35">
      <c r="A33" s="2" t="str">
        <f>HYPERLINK("https://vtmf.veevavault.com/ui/#doc_info/31103605/1/0", "77242113UCO3001-CZE-DD5-CZ10020-Site Training Documentation-19 Aug 2025 (v1.0)")</f>
        <v>77242113UCO3001-CZE-DD5-CZ10020-Site Training Documentation-19 Aug 2025 (v1.0)</v>
      </c>
      <c r="B33" s="3" t="s">
        <v>17</v>
      </c>
      <c r="C33" s="3" t="s">
        <v>18</v>
      </c>
      <c r="D33" s="3" t="s">
        <v>68</v>
      </c>
      <c r="E33" s="3" t="s">
        <v>69</v>
      </c>
      <c r="F33" s="3" t="s">
        <v>384</v>
      </c>
      <c r="G33" s="2" t="str">
        <f>HYPERLINK("https://vtmf.veevavault.com/ui/#doc_info/31103605/1/0", "VTMF-25076697")</f>
        <v>VTMF-25076697</v>
      </c>
      <c r="H33" s="3"/>
      <c r="I33" s="3" t="s">
        <v>22</v>
      </c>
      <c r="J33" s="3" t="s">
        <v>17</v>
      </c>
      <c r="K33" s="4">
        <v>46084.603807870371</v>
      </c>
      <c r="L33" s="5">
        <v>46084</v>
      </c>
      <c r="M33" s="3" t="s">
        <v>23</v>
      </c>
      <c r="N33" s="3" t="s">
        <v>60</v>
      </c>
      <c r="O33" s="3" t="s">
        <v>25</v>
      </c>
      <c r="P33" s="3" t="s">
        <v>356</v>
      </c>
      <c r="Q33" s="3" t="s">
        <v>27</v>
      </c>
    </row>
    <row r="34" spans="1:17" x14ac:dyDescent="0.35">
      <c r="A34" s="2" t="str">
        <f>HYPERLINK("https://vtmf.veevavault.com/ui/#doc_info/31103606/1/0", "77242113UCO3001-CZE-DD5-CZ10020-Site Training Documentation-19 Aug 2025 (v1.0)")</f>
        <v>77242113UCO3001-CZE-DD5-CZ10020-Site Training Documentation-19 Aug 2025 (v1.0)</v>
      </c>
      <c r="B34" s="3" t="s">
        <v>17</v>
      </c>
      <c r="C34" s="3" t="s">
        <v>18</v>
      </c>
      <c r="D34" s="3" t="s">
        <v>68</v>
      </c>
      <c r="E34" s="3" t="s">
        <v>69</v>
      </c>
      <c r="F34" s="3" t="s">
        <v>385</v>
      </c>
      <c r="G34" s="2" t="str">
        <f>HYPERLINK("https://vtmf.veevavault.com/ui/#doc_info/31103606/1/0", "VTMF-25076698")</f>
        <v>VTMF-25076698</v>
      </c>
      <c r="H34" s="3"/>
      <c r="I34" s="3" t="s">
        <v>22</v>
      </c>
      <c r="J34" s="3" t="s">
        <v>17</v>
      </c>
      <c r="K34" s="4">
        <v>46084.603807870371</v>
      </c>
      <c r="L34" s="5">
        <v>46084</v>
      </c>
      <c r="M34" s="3" t="s">
        <v>23</v>
      </c>
      <c r="N34" s="3" t="s">
        <v>60</v>
      </c>
      <c r="O34" s="3" t="s">
        <v>25</v>
      </c>
      <c r="P34" s="3" t="s">
        <v>356</v>
      </c>
      <c r="Q34" s="3" t="s">
        <v>27</v>
      </c>
    </row>
    <row r="35" spans="1:17" x14ac:dyDescent="0.35">
      <c r="A35" s="2" t="str">
        <f>HYPERLINK("https://vtmf.veevavault.com/ui/#doc_info/31103603/1/0", "77242113UCO3001-CZE-DD5-CZ10020-Site Training Documentation-20 Oct 2025 (v1.0)")</f>
        <v>77242113UCO3001-CZE-DD5-CZ10020-Site Training Documentation-20 Oct 2025 (v1.0)</v>
      </c>
      <c r="B35" s="3" t="s">
        <v>17</v>
      </c>
      <c r="C35" s="3" t="s">
        <v>18</v>
      </c>
      <c r="D35" s="3" t="s">
        <v>68</v>
      </c>
      <c r="E35" s="3" t="s">
        <v>69</v>
      </c>
      <c r="F35" s="3" t="s">
        <v>386</v>
      </c>
      <c r="G35" s="2" t="str">
        <f>HYPERLINK("https://vtmf.veevavault.com/ui/#doc_info/31103603/1/0", "VTMF-25076695")</f>
        <v>VTMF-25076695</v>
      </c>
      <c r="H35" s="3"/>
      <c r="I35" s="3" t="s">
        <v>22</v>
      </c>
      <c r="J35" s="3" t="s">
        <v>17</v>
      </c>
      <c r="K35" s="4">
        <v>46084.603807870371</v>
      </c>
      <c r="L35" s="5">
        <v>46084</v>
      </c>
      <c r="M35" s="3" t="s">
        <v>23</v>
      </c>
      <c r="N35" s="3" t="s">
        <v>60</v>
      </c>
      <c r="O35" s="3" t="s">
        <v>25</v>
      </c>
      <c r="P35" s="3" t="s">
        <v>356</v>
      </c>
      <c r="Q35" s="3" t="s">
        <v>27</v>
      </c>
    </row>
    <row r="36" spans="1:17" x14ac:dyDescent="0.35">
      <c r="A36" s="2" t="str">
        <f>HYPERLINK("https://vtmf.veevavault.com/ui/#doc_info/31103500/1/0", "77242113UCO3001-CZE-DD5-CZ10020-Site Training Documentation-27 May 2024 (v1.0)")</f>
        <v>77242113UCO3001-CZE-DD5-CZ10020-Site Training Documentation-27 May 2024 (v1.0)</v>
      </c>
      <c r="B36" s="3" t="s">
        <v>17</v>
      </c>
      <c r="C36" s="3" t="s">
        <v>18</v>
      </c>
      <c r="D36" s="3" t="s">
        <v>68</v>
      </c>
      <c r="E36" s="3" t="s">
        <v>69</v>
      </c>
      <c r="F36" s="3" t="s">
        <v>387</v>
      </c>
      <c r="G36" s="2" t="str">
        <f>HYPERLINK("https://vtmf.veevavault.com/ui/#doc_info/31103500/1/0", "VTMF-25076692")</f>
        <v>VTMF-25076692</v>
      </c>
      <c r="H36" s="3"/>
      <c r="I36" s="3" t="s">
        <v>17</v>
      </c>
      <c r="J36" s="3" t="s">
        <v>17</v>
      </c>
      <c r="K36" s="4">
        <v>46084.603807870371</v>
      </c>
      <c r="L36" s="5">
        <v>46084</v>
      </c>
      <c r="M36" s="3" t="s">
        <v>23</v>
      </c>
      <c r="N36" s="3" t="s">
        <v>60</v>
      </c>
      <c r="O36" s="3" t="s">
        <v>25</v>
      </c>
      <c r="P36" s="3" t="s">
        <v>356</v>
      </c>
      <c r="Q36" s="3" t="s">
        <v>27</v>
      </c>
    </row>
    <row r="37" spans="1:17" x14ac:dyDescent="0.35">
      <c r="A37" s="2" t="str">
        <f>HYPERLINK("https://vtmf.veevavault.com/ui/#doc_info/31103608/1/0", "77242113UCO3001-CZE-DD5-CZ10020-Site Training Documentation-30 Jul 2025 (v1.0)")</f>
        <v>77242113UCO3001-CZE-DD5-CZ10020-Site Training Documentation-30 Jul 2025 (v1.0)</v>
      </c>
      <c r="B37" s="3" t="s">
        <v>17</v>
      </c>
      <c r="C37" s="3" t="s">
        <v>18</v>
      </c>
      <c r="D37" s="3" t="s">
        <v>68</v>
      </c>
      <c r="E37" s="3" t="s">
        <v>69</v>
      </c>
      <c r="F37" s="3" t="s">
        <v>388</v>
      </c>
      <c r="G37" s="2" t="str">
        <f>HYPERLINK("https://vtmf.veevavault.com/ui/#doc_info/31103608/1/0", "VTMF-25076700")</f>
        <v>VTMF-25076700</v>
      </c>
      <c r="H37" s="3"/>
      <c r="I37" s="3" t="s">
        <v>22</v>
      </c>
      <c r="J37" s="3" t="s">
        <v>17</v>
      </c>
      <c r="K37" s="4">
        <v>46084.603807870371</v>
      </c>
      <c r="L37" s="5">
        <v>46084</v>
      </c>
      <c r="M37" s="3" t="s">
        <v>23</v>
      </c>
      <c r="N37" s="3" t="s">
        <v>60</v>
      </c>
      <c r="O37" s="3" t="s">
        <v>25</v>
      </c>
      <c r="P37" s="3" t="s">
        <v>356</v>
      </c>
      <c r="Q37" s="3" t="s">
        <v>27</v>
      </c>
    </row>
    <row r="38" spans="1:17" x14ac:dyDescent="0.35">
      <c r="A38" s="2" t="str">
        <f>HYPERLINK("https://vtmf.veevavault.com/ui/#doc_info/31061172/1/0", "77242113UCO3001-CZE-DD5-CZ10020-Certification of Electronic Signature-17 Feb 2026 (v1.0)")</f>
        <v>77242113UCO3001-CZE-DD5-CZ10020-Certification of Electronic Signature-17 Feb 2026 (v1.0)</v>
      </c>
      <c r="B38" s="3" t="s">
        <v>17</v>
      </c>
      <c r="C38" s="3" t="s">
        <v>84</v>
      </c>
      <c r="D38" s="3" t="s">
        <v>85</v>
      </c>
      <c r="E38" s="3" t="s">
        <v>86</v>
      </c>
      <c r="F38" s="3" t="s">
        <v>389</v>
      </c>
      <c r="G38" s="2" t="str">
        <f>HYPERLINK("https://vtmf.veevavault.com/ui/#doc_info/31061172/1/0", "VTMF-25040787")</f>
        <v>VTMF-25040787</v>
      </c>
      <c r="H38" s="3"/>
      <c r="I38" s="3" t="s">
        <v>22</v>
      </c>
      <c r="J38" s="3" t="s">
        <v>17</v>
      </c>
      <c r="K38" s="4">
        <v>46078.620057870372</v>
      </c>
      <c r="L38" s="5">
        <v>46078</v>
      </c>
      <c r="M38" s="3" t="s">
        <v>23</v>
      </c>
      <c r="N38" s="3" t="s">
        <v>60</v>
      </c>
      <c r="O38" s="3" t="s">
        <v>25</v>
      </c>
      <c r="P38" s="3" t="s">
        <v>356</v>
      </c>
      <c r="Q38" s="3" t="s">
        <v>27</v>
      </c>
    </row>
    <row r="39" spans="1:17" x14ac:dyDescent="0.35">
      <c r="A39" s="2" t="str">
        <f>HYPERLINK("https://vtmf.veevavault.com/ui/#doc_info/31061199/1/0", "77242113UCO3001-CZE-DD5-CZ10020-Disposal of Records Form-17 Feb 2026 (v1.0)")</f>
        <v>77242113UCO3001-CZE-DD5-CZ10020-Disposal of Records Form-17 Feb 2026 (v1.0)</v>
      </c>
      <c r="B39" s="3" t="s">
        <v>17</v>
      </c>
      <c r="C39" s="3" t="s">
        <v>18</v>
      </c>
      <c r="D39" s="3" t="s">
        <v>19</v>
      </c>
      <c r="E39" s="3" t="s">
        <v>390</v>
      </c>
      <c r="F39" s="3" t="s">
        <v>391</v>
      </c>
      <c r="G39" s="2" t="str">
        <f>HYPERLINK("https://vtmf.veevavault.com/ui/#doc_info/31061199/1/0", "VTMF-25040817")</f>
        <v>VTMF-25040817</v>
      </c>
      <c r="H39" s="3"/>
      <c r="I39" s="3" t="s">
        <v>22</v>
      </c>
      <c r="J39" s="3" t="s">
        <v>17</v>
      </c>
      <c r="K39" s="4">
        <v>46078.623333333337</v>
      </c>
      <c r="L39" s="5">
        <v>46078</v>
      </c>
      <c r="M39" s="3" t="s">
        <v>23</v>
      </c>
      <c r="N39" s="3" t="s">
        <v>392</v>
      </c>
      <c r="O39" s="3" t="s">
        <v>25</v>
      </c>
      <c r="P39" s="3" t="s">
        <v>356</v>
      </c>
      <c r="Q39" s="3" t="s">
        <v>27</v>
      </c>
    </row>
    <row r="40" spans="1:17" x14ac:dyDescent="0.35">
      <c r="A40" s="2" t="str">
        <f>HYPERLINK("https://vtmf.veevavault.com/ui/#doc_info/31052788/1/0", "77242113UCO3001-CZE-DD5-CZ10020-Source Data-24 Feb 2026 (v1.0)")</f>
        <v>77242113UCO3001-CZE-DD5-CZ10020-Source Data-24 Feb 2026 (v1.0)</v>
      </c>
      <c r="B40" s="3" t="s">
        <v>107</v>
      </c>
      <c r="C40" s="3" t="s">
        <v>18</v>
      </c>
      <c r="D40" s="3" t="s">
        <v>18</v>
      </c>
      <c r="E40" s="3" t="s">
        <v>88</v>
      </c>
      <c r="F40" s="3" t="s">
        <v>108</v>
      </c>
      <c r="G40" s="2" t="str">
        <f>HYPERLINK("https://vtmf.veevavault.com/ui/#doc_info/31052788/1/0", "VTMF-25034027")</f>
        <v>VTMF-25034027</v>
      </c>
      <c r="H40" s="3"/>
      <c r="I40" s="3" t="s">
        <v>22</v>
      </c>
      <c r="J40" s="3" t="s">
        <v>107</v>
      </c>
      <c r="K40" s="4">
        <v>46077.723298611112</v>
      </c>
      <c r="L40" s="5">
        <v>46078</v>
      </c>
      <c r="M40" s="3" t="s">
        <v>23</v>
      </c>
      <c r="N40" s="3" t="s">
        <v>60</v>
      </c>
      <c r="O40" s="3" t="s">
        <v>25</v>
      </c>
      <c r="P40" s="3" t="s">
        <v>356</v>
      </c>
      <c r="Q40" s="3" t="s">
        <v>27</v>
      </c>
    </row>
    <row r="41" spans="1:17" x14ac:dyDescent="0.35">
      <c r="A41" s="2" t="str">
        <f>HYPERLINK("https://vtmf.veevavault.com/ui/#doc_info/31051846/1/0", "77242113UCO3001-CZE-DD5-CZ10020-Acceptance of Investigator Brochure-17 Feb 2026 (v1.0)")</f>
        <v>77242113UCO3001-CZE-DD5-CZ10020-Acceptance of Investigator Brochure-17 Feb 2026 (v1.0)</v>
      </c>
      <c r="B41" s="3" t="s">
        <v>17</v>
      </c>
      <c r="C41" s="3" t="s">
        <v>18</v>
      </c>
      <c r="D41" s="3" t="s">
        <v>57</v>
      </c>
      <c r="E41" s="3" t="s">
        <v>92</v>
      </c>
      <c r="F41" s="3" t="s">
        <v>237</v>
      </c>
      <c r="G41" s="2" t="str">
        <f>HYPERLINK("https://vtmf.veevavault.com/ui/#doc_info/31051846/1/0", "VTMF-25033195")</f>
        <v>VTMF-25033195</v>
      </c>
      <c r="H41" s="3"/>
      <c r="I41" s="3" t="s">
        <v>22</v>
      </c>
      <c r="J41" s="3" t="s">
        <v>17</v>
      </c>
      <c r="K41" s="4">
        <v>46077.645995370367</v>
      </c>
      <c r="L41" s="5">
        <v>46077</v>
      </c>
      <c r="M41" s="3" t="s">
        <v>23</v>
      </c>
      <c r="N41" s="3" t="s">
        <v>67</v>
      </c>
      <c r="O41" s="3" t="s">
        <v>25</v>
      </c>
      <c r="P41" s="3" t="s">
        <v>356</v>
      </c>
      <c r="Q41" s="3" t="s">
        <v>27</v>
      </c>
    </row>
    <row r="42" spans="1:17" x14ac:dyDescent="0.35">
      <c r="A42" s="2" t="str">
        <f>HYPERLINK("https://vtmf.veevavault.com/ui/#doc_info/31051953/1/0", "77242113UCO3001-CZE-DD5-CZ10020-Non-IP Shipment Documentation-17 Feb 2026 (v1.0)")</f>
        <v>77242113UCO3001-CZE-DD5-CZ10020-Non-IP Shipment Documentation-17 Feb 2026 (v1.0)</v>
      </c>
      <c r="B42" s="3" t="s">
        <v>17</v>
      </c>
      <c r="C42" s="3" t="s">
        <v>28</v>
      </c>
      <c r="D42" s="3" t="s">
        <v>29</v>
      </c>
      <c r="E42" s="3" t="s">
        <v>30</v>
      </c>
      <c r="F42" s="3" t="s">
        <v>393</v>
      </c>
      <c r="G42" s="2" t="str">
        <f>HYPERLINK("https://vtmf.veevavault.com/ui/#doc_info/31051953/1/0", "VTMF-25033326")</f>
        <v>VTMF-25033326</v>
      </c>
      <c r="H42" s="3"/>
      <c r="I42" s="3" t="s">
        <v>22</v>
      </c>
      <c r="J42" s="3" t="s">
        <v>17</v>
      </c>
      <c r="K42" s="4">
        <v>46077.657650462963</v>
      </c>
      <c r="L42" s="5">
        <v>46077</v>
      </c>
      <c r="M42" s="3" t="s">
        <v>23</v>
      </c>
      <c r="N42" s="3" t="s">
        <v>32</v>
      </c>
      <c r="O42" s="3" t="s">
        <v>25</v>
      </c>
      <c r="P42" s="3" t="s">
        <v>356</v>
      </c>
      <c r="Q42" s="3" t="s">
        <v>27</v>
      </c>
    </row>
    <row r="43" spans="1:17" x14ac:dyDescent="0.35">
      <c r="A43" s="2" t="str">
        <f>HYPERLINK("https://vtmf.veevavault.com/ui/#doc_info/31051954/1/0", "77242113UCO3001-CZE-DD5-CZ10020-Non-IP Shipment Documentation-17 Feb 2026 (v1.0)")</f>
        <v>77242113UCO3001-CZE-DD5-CZ10020-Non-IP Shipment Documentation-17 Feb 2026 (v1.0)</v>
      </c>
      <c r="B43" s="3" t="s">
        <v>17</v>
      </c>
      <c r="C43" s="3" t="s">
        <v>28</v>
      </c>
      <c r="D43" s="3" t="s">
        <v>29</v>
      </c>
      <c r="E43" s="3" t="s">
        <v>30</v>
      </c>
      <c r="F43" s="3" t="s">
        <v>394</v>
      </c>
      <c r="G43" s="2" t="str">
        <f>HYPERLINK("https://vtmf.veevavault.com/ui/#doc_info/31051954/1/0", "VTMF-25033327")</f>
        <v>VTMF-25033327</v>
      </c>
      <c r="H43" s="3"/>
      <c r="I43" s="3" t="s">
        <v>22</v>
      </c>
      <c r="J43" s="3" t="s">
        <v>17</v>
      </c>
      <c r="K43" s="4">
        <v>46077.657650462963</v>
      </c>
      <c r="L43" s="5">
        <v>46077</v>
      </c>
      <c r="M43" s="3" t="s">
        <v>23</v>
      </c>
      <c r="N43" s="3" t="s">
        <v>32</v>
      </c>
      <c r="O43" s="3" t="s">
        <v>25</v>
      </c>
      <c r="P43" s="3" t="s">
        <v>356</v>
      </c>
      <c r="Q43" s="3" t="s">
        <v>27</v>
      </c>
    </row>
    <row r="44" spans="1:17" x14ac:dyDescent="0.35">
      <c r="A44" s="2" t="str">
        <f>HYPERLINK("https://vtmf.veevavault.com/ui/#doc_info/31051955/1/0", "77242113UCO3001-CZE-DD5-CZ10020-Non-IP Shipment Documentation-17 Feb 2026 (v1.0)")</f>
        <v>77242113UCO3001-CZE-DD5-CZ10020-Non-IP Shipment Documentation-17 Feb 2026 (v1.0)</v>
      </c>
      <c r="B44" s="3" t="s">
        <v>17</v>
      </c>
      <c r="C44" s="3" t="s">
        <v>28</v>
      </c>
      <c r="D44" s="3" t="s">
        <v>29</v>
      </c>
      <c r="E44" s="3" t="s">
        <v>30</v>
      </c>
      <c r="F44" s="3" t="s">
        <v>395</v>
      </c>
      <c r="G44" s="2" t="str">
        <f>HYPERLINK("https://vtmf.veevavault.com/ui/#doc_info/31051955/1/0", "VTMF-25033328")</f>
        <v>VTMF-25033328</v>
      </c>
      <c r="H44" s="3"/>
      <c r="I44" s="3" t="s">
        <v>22</v>
      </c>
      <c r="J44" s="3" t="s">
        <v>17</v>
      </c>
      <c r="K44" s="4">
        <v>46077.657650462963</v>
      </c>
      <c r="L44" s="5">
        <v>46077</v>
      </c>
      <c r="M44" s="3" t="s">
        <v>23</v>
      </c>
      <c r="N44" s="3" t="s">
        <v>32</v>
      </c>
      <c r="O44" s="3" t="s">
        <v>25</v>
      </c>
      <c r="P44" s="3" t="s">
        <v>356</v>
      </c>
      <c r="Q44" s="3" t="s">
        <v>27</v>
      </c>
    </row>
    <row r="45" spans="1:17" x14ac:dyDescent="0.35">
      <c r="A45" s="2" t="str">
        <f>HYPERLINK("https://vtmf.veevavault.com/ui/#doc_info/31051956/1/0", "77242113UCO3001-CZE-DD5-CZ10020-Non-IP Shipment Documentation-17 Feb 2026 (v1.0)")</f>
        <v>77242113UCO3001-CZE-DD5-CZ10020-Non-IP Shipment Documentation-17 Feb 2026 (v1.0)</v>
      </c>
      <c r="B45" s="3" t="s">
        <v>17</v>
      </c>
      <c r="C45" s="3" t="s">
        <v>28</v>
      </c>
      <c r="D45" s="3" t="s">
        <v>29</v>
      </c>
      <c r="E45" s="3" t="s">
        <v>30</v>
      </c>
      <c r="F45" s="3" t="s">
        <v>396</v>
      </c>
      <c r="G45" s="2" t="str">
        <f>HYPERLINK("https://vtmf.veevavault.com/ui/#doc_info/31051956/1/0", "VTMF-25033329")</f>
        <v>VTMF-25033329</v>
      </c>
      <c r="H45" s="3"/>
      <c r="I45" s="3" t="s">
        <v>22</v>
      </c>
      <c r="J45" s="3" t="s">
        <v>17</v>
      </c>
      <c r="K45" s="4">
        <v>46077.657650462963</v>
      </c>
      <c r="L45" s="5">
        <v>46077</v>
      </c>
      <c r="M45" s="3" t="s">
        <v>23</v>
      </c>
      <c r="N45" s="3" t="s">
        <v>32</v>
      </c>
      <c r="O45" s="3" t="s">
        <v>25</v>
      </c>
      <c r="P45" s="3" t="s">
        <v>356</v>
      </c>
      <c r="Q45" s="3" t="s">
        <v>27</v>
      </c>
    </row>
    <row r="46" spans="1:17" x14ac:dyDescent="0.35">
      <c r="A46" s="2" t="str">
        <f>HYPERLINK("https://vtmf.veevavault.com/ui/#doc_info/31051957/1/0", "77242113UCO3001-CZE-DD5-CZ10020-Non-IP Shipment Documentation-17 Feb 2026 (v1.0)")</f>
        <v>77242113UCO3001-CZE-DD5-CZ10020-Non-IP Shipment Documentation-17 Feb 2026 (v1.0)</v>
      </c>
      <c r="B46" s="3" t="s">
        <v>17</v>
      </c>
      <c r="C46" s="3" t="s">
        <v>28</v>
      </c>
      <c r="D46" s="3" t="s">
        <v>29</v>
      </c>
      <c r="E46" s="3" t="s">
        <v>30</v>
      </c>
      <c r="F46" s="3" t="s">
        <v>397</v>
      </c>
      <c r="G46" s="2" t="str">
        <f>HYPERLINK("https://vtmf.veevavault.com/ui/#doc_info/31051957/1/0", "VTMF-25033330")</f>
        <v>VTMF-25033330</v>
      </c>
      <c r="H46" s="3"/>
      <c r="I46" s="3" t="s">
        <v>22</v>
      </c>
      <c r="J46" s="3" t="s">
        <v>17</v>
      </c>
      <c r="K46" s="4">
        <v>46077.657650462963</v>
      </c>
      <c r="L46" s="5">
        <v>46077</v>
      </c>
      <c r="M46" s="3" t="s">
        <v>23</v>
      </c>
      <c r="N46" s="3" t="s">
        <v>32</v>
      </c>
      <c r="O46" s="3" t="s">
        <v>25</v>
      </c>
      <c r="P46" s="3" t="s">
        <v>356</v>
      </c>
      <c r="Q46" s="3" t="s">
        <v>27</v>
      </c>
    </row>
    <row r="47" spans="1:17" x14ac:dyDescent="0.35">
      <c r="A47" s="2" t="str">
        <f>HYPERLINK("https://vtmf.veevavault.com/ui/#doc_info/31051416/1/0", "77242113UCO3001-CZE-DD5-CZ10020-Principal Investigator Financial Disclosure Form-17 Feb 2026 (v1.0)")</f>
        <v>77242113UCO3001-CZE-DD5-CZ10020-Principal Investigator Financial Disclosure Form-17 Feb 2026 (v1.0)</v>
      </c>
      <c r="B47" s="3" t="s">
        <v>214</v>
      </c>
      <c r="C47" s="3" t="s">
        <v>18</v>
      </c>
      <c r="D47" s="3" t="s">
        <v>57</v>
      </c>
      <c r="E47" s="3" t="s">
        <v>98</v>
      </c>
      <c r="F47" s="3" t="s">
        <v>398</v>
      </c>
      <c r="G47" s="2" t="str">
        <f>HYPERLINK("https://vtmf.veevavault.com/ui/#doc_info/31051416/1/0", "VTMF-25032857")</f>
        <v>VTMF-25032857</v>
      </c>
      <c r="H47" s="3"/>
      <c r="I47" s="3" t="s">
        <v>22</v>
      </c>
      <c r="J47" s="3" t="s">
        <v>214</v>
      </c>
      <c r="K47" s="4">
        <v>46077.612118055556</v>
      </c>
      <c r="L47" s="5">
        <v>46077</v>
      </c>
      <c r="M47" s="3" t="s">
        <v>23</v>
      </c>
      <c r="N47" s="3" t="s">
        <v>100</v>
      </c>
      <c r="O47" s="3" t="s">
        <v>25</v>
      </c>
      <c r="P47" s="3" t="s">
        <v>356</v>
      </c>
      <c r="Q47" s="3" t="s">
        <v>27</v>
      </c>
    </row>
    <row r="48" spans="1:17" x14ac:dyDescent="0.35">
      <c r="A48" s="2" t="str">
        <f>HYPERLINK("https://vtmf.veevavault.com/ui/#doc_info/31051428/1/0", "77242113UCO3001-CZE-DD5-CZ10020-Protocol Signature Page-17 Feb 2026 (v1.0)")</f>
        <v>77242113UCO3001-CZE-DD5-CZ10020-Protocol Signature Page-17 Feb 2026 (v1.0)</v>
      </c>
      <c r="B48" s="3" t="s">
        <v>214</v>
      </c>
      <c r="C48" s="3" t="s">
        <v>18</v>
      </c>
      <c r="D48" s="3" t="s">
        <v>57</v>
      </c>
      <c r="E48" s="3" t="s">
        <v>101</v>
      </c>
      <c r="F48" s="3" t="s">
        <v>399</v>
      </c>
      <c r="G48" s="2" t="str">
        <f>HYPERLINK("https://vtmf.veevavault.com/ui/#doc_info/31051428/1/0", "VTMF-25032885")</f>
        <v>VTMF-25032885</v>
      </c>
      <c r="H48" s="3"/>
      <c r="I48" s="3" t="s">
        <v>22</v>
      </c>
      <c r="J48" s="3" t="s">
        <v>214</v>
      </c>
      <c r="K48" s="4">
        <v>46077.614710648151</v>
      </c>
      <c r="L48" s="5">
        <v>46077</v>
      </c>
      <c r="M48" s="3" t="s">
        <v>23</v>
      </c>
      <c r="N48" s="3" t="s">
        <v>103</v>
      </c>
      <c r="O48" s="3" t="s">
        <v>25</v>
      </c>
      <c r="P48" s="3" t="s">
        <v>356</v>
      </c>
      <c r="Q48" s="3" t="s">
        <v>27</v>
      </c>
    </row>
    <row r="49" spans="1:17" x14ac:dyDescent="0.35">
      <c r="A49" s="2" t="str">
        <f>HYPERLINK("https://vtmf.veevavault.com/ui/#doc_info/30988525/1/0", "77242113UCO3001-CZE-DD5-CZ10020-Site Confirmation Letter-SIVR_CL-17 Feb 2026 (v1.0)")</f>
        <v>77242113UCO3001-CZE-DD5-CZ10020-Site Confirmation Letter-SIVR_CL-17 Feb 2026 (v1.0)</v>
      </c>
      <c r="B49" s="3" t="s">
        <v>38</v>
      </c>
      <c r="C49" s="3" t="s">
        <v>18</v>
      </c>
      <c r="D49" s="3" t="s">
        <v>18</v>
      </c>
      <c r="E49" s="3" t="s">
        <v>47</v>
      </c>
      <c r="F49" s="3"/>
      <c r="G49" s="2" t="str">
        <f>HYPERLINK("https://vtmf.veevavault.com/ui/#doc_info/30988525/1/0", "VTMF-24979051")</f>
        <v>VTMF-24979051</v>
      </c>
      <c r="H49" s="3"/>
      <c r="I49" s="3" t="s">
        <v>40</v>
      </c>
      <c r="J49" s="3" t="s">
        <v>38</v>
      </c>
      <c r="K49" s="4">
        <v>46066.645578703698</v>
      </c>
      <c r="L49" s="5">
        <v>46066</v>
      </c>
      <c r="M49" s="3" t="s">
        <v>23</v>
      </c>
      <c r="N49" s="3" t="s">
        <v>41</v>
      </c>
      <c r="O49" s="3" t="s">
        <v>25</v>
      </c>
      <c r="P49" s="3" t="s">
        <v>356</v>
      </c>
      <c r="Q49" s="3" t="s">
        <v>27</v>
      </c>
    </row>
    <row r="50" spans="1:17" x14ac:dyDescent="0.35">
      <c r="A50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50" s="3" t="s">
        <v>35</v>
      </c>
      <c r="C50" s="3" t="s">
        <v>18</v>
      </c>
      <c r="D50" s="3" t="s">
        <v>19</v>
      </c>
      <c r="E50" s="3" t="s">
        <v>20</v>
      </c>
      <c r="F50" s="3" t="s">
        <v>44</v>
      </c>
      <c r="G50" s="2" t="str">
        <f>HYPERLINK("https://vtmf.veevavault.com/ui/#doc_info/30957580/1/0", "VTMF-24952860")</f>
        <v>VTMF-24952860</v>
      </c>
      <c r="H50" s="3"/>
      <c r="I50" s="3" t="s">
        <v>35</v>
      </c>
      <c r="J50" s="3" t="s">
        <v>35</v>
      </c>
      <c r="K50" s="4">
        <v>46063.445960648147</v>
      </c>
      <c r="L50" s="5">
        <v>46063</v>
      </c>
      <c r="M50" s="3" t="s">
        <v>23</v>
      </c>
      <c r="N50" s="3" t="s">
        <v>24</v>
      </c>
      <c r="O50" s="3" t="s">
        <v>25</v>
      </c>
      <c r="P50" s="3" t="s">
        <v>45</v>
      </c>
      <c r="Q50" s="3" t="s">
        <v>27</v>
      </c>
    </row>
    <row r="51" spans="1:17" x14ac:dyDescent="0.35">
      <c r="A51" s="2" t="str">
        <f>HYPERLINK("https://vtmf.veevavault.com/ui/#doc_info/30659801/1/0", "77242113UCO3001-CZE-DD5-CZ10020-Relevant Communications-22 Dec 2025 (v1.0)")</f>
        <v>77242113UCO3001-CZE-DD5-CZ10020-Relevant Communications-22 Dec 2025 (v1.0)</v>
      </c>
      <c r="B51" s="3" t="s">
        <v>22</v>
      </c>
      <c r="C51" s="3" t="s">
        <v>18</v>
      </c>
      <c r="D51" s="3" t="s">
        <v>19</v>
      </c>
      <c r="E51" s="3" t="s">
        <v>20</v>
      </c>
      <c r="F51" s="3" t="s">
        <v>239</v>
      </c>
      <c r="G51" s="2" t="str">
        <f>HYPERLINK("https://vtmf.veevavault.com/ui/#doc_info/30659801/1/0", "VTMF-24705820")</f>
        <v>VTMF-24705820</v>
      </c>
      <c r="H51" s="3"/>
      <c r="I51" s="3" t="s">
        <v>22</v>
      </c>
      <c r="J51" s="3" t="s">
        <v>22</v>
      </c>
      <c r="K51" s="4">
        <v>46013.494097222218</v>
      </c>
      <c r="L51" s="5">
        <v>46013</v>
      </c>
      <c r="M51" s="3" t="s">
        <v>23</v>
      </c>
      <c r="N51" s="3" t="s">
        <v>24</v>
      </c>
      <c r="O51" s="3" t="s">
        <v>25</v>
      </c>
      <c r="P51" s="3" t="s">
        <v>356</v>
      </c>
      <c r="Q51" s="3" t="s">
        <v>27</v>
      </c>
    </row>
    <row r="52" spans="1:17" x14ac:dyDescent="0.35">
      <c r="A52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52" s="3" t="s">
        <v>119</v>
      </c>
      <c r="C52" s="3" t="s">
        <v>48</v>
      </c>
      <c r="D52" s="3" t="s">
        <v>19</v>
      </c>
      <c r="E52" s="3" t="s">
        <v>20</v>
      </c>
      <c r="F52" s="3" t="s">
        <v>120</v>
      </c>
      <c r="G52" s="2" t="str">
        <f>HYPERLINK("https://vtmf.veevavault.com/ui/#doc_info/29980647/1/0", "VTMF-24136357")</f>
        <v>VTMF-24136357</v>
      </c>
      <c r="H52" s="3"/>
      <c r="I52" s="3" t="s">
        <v>22</v>
      </c>
      <c r="J52" s="3" t="s">
        <v>119</v>
      </c>
      <c r="K52" s="4">
        <v>45918.85465277778</v>
      </c>
      <c r="L52" s="5">
        <v>45919</v>
      </c>
      <c r="M52" s="3" t="s">
        <v>23</v>
      </c>
      <c r="N52" s="3" t="s">
        <v>121</v>
      </c>
      <c r="O52" s="3" t="s">
        <v>122</v>
      </c>
      <c r="P52" s="3" t="s">
        <v>123</v>
      </c>
      <c r="Q52" s="3" t="s">
        <v>27</v>
      </c>
    </row>
    <row r="53" spans="1:17" x14ac:dyDescent="0.35">
      <c r="A53" s="2" t="str">
        <f>HYPERLINK("https://vtmf.veevavault.com/ui/#doc_info/29959668/1/0", "77242113UCO3001-CZE-DD5-CZ10020-Site Training Documentation-12 Aug 2025 (v1.0)")</f>
        <v>77242113UCO3001-CZE-DD5-CZ10020-Site Training Documentation-12 Aug 2025 (v1.0)</v>
      </c>
      <c r="B53" s="3" t="s">
        <v>94</v>
      </c>
      <c r="C53" s="3" t="s">
        <v>18</v>
      </c>
      <c r="D53" s="3" t="s">
        <v>68</v>
      </c>
      <c r="E53" s="3" t="s">
        <v>69</v>
      </c>
      <c r="F53" s="3" t="s">
        <v>400</v>
      </c>
      <c r="G53" s="2" t="str">
        <f>HYPERLINK("https://vtmf.veevavault.com/ui/#doc_info/29959668/1/0", "VTMF-24118677")</f>
        <v>VTMF-24118677</v>
      </c>
      <c r="H53" s="3"/>
      <c r="I53" s="3" t="s">
        <v>22</v>
      </c>
      <c r="J53" s="3" t="s">
        <v>94</v>
      </c>
      <c r="K53" s="4">
        <v>45916.509513888886</v>
      </c>
      <c r="L53" s="5">
        <v>45916</v>
      </c>
      <c r="M53" s="3" t="s">
        <v>23</v>
      </c>
      <c r="N53" s="3" t="s">
        <v>60</v>
      </c>
      <c r="O53" s="3" t="s">
        <v>25</v>
      </c>
      <c r="P53" s="3" t="s">
        <v>356</v>
      </c>
      <c r="Q53" s="3" t="s">
        <v>27</v>
      </c>
    </row>
    <row r="54" spans="1:17" x14ac:dyDescent="0.35">
      <c r="A54" s="2" t="str">
        <f>HYPERLINK("https://vtmf.veevavault.com/ui/#doc_info/29746986/1/0", "77242113UCO3001-CZE-DD5-CZ10020-Principal Investigator Curriculum Vitae-14 Jul 2025 (v1.0)")</f>
        <v>77242113UCO3001-CZE-DD5-CZ10020-Principal Investigator Curriculum Vitae-14 Jul 2025 (v1.0)</v>
      </c>
      <c r="B54" s="3" t="s">
        <v>94</v>
      </c>
      <c r="C54" s="3" t="s">
        <v>18</v>
      </c>
      <c r="D54" s="3" t="s">
        <v>57</v>
      </c>
      <c r="E54" s="3" t="s">
        <v>65</v>
      </c>
      <c r="F54" s="3" t="s">
        <v>401</v>
      </c>
      <c r="G54" s="2" t="str">
        <f>HYPERLINK("https://vtmf.veevavault.com/ui/#doc_info/29746986/1/0", "VTMF-23936592")</f>
        <v>VTMF-23936592</v>
      </c>
      <c r="H54" s="3"/>
      <c r="I54" s="3" t="s">
        <v>402</v>
      </c>
      <c r="J54" s="3" t="s">
        <v>94</v>
      </c>
      <c r="K54" s="4">
        <v>45881.455810185187</v>
      </c>
      <c r="L54" s="5">
        <v>45881</v>
      </c>
      <c r="M54" s="3" t="s">
        <v>23</v>
      </c>
      <c r="N54" s="3" t="s">
        <v>67</v>
      </c>
      <c r="O54" s="3" t="s">
        <v>25</v>
      </c>
      <c r="P54" s="3" t="s">
        <v>356</v>
      </c>
      <c r="Q54" s="3" t="s">
        <v>27</v>
      </c>
    </row>
    <row r="55" spans="1:17" x14ac:dyDescent="0.35">
      <c r="A55" s="2" t="str">
        <f>HYPERLINK("https://vtmf.veevavault.com/ui/#doc_info/29747204/1/0", "77242113UCO3001-CZE-DD5-CZ10020-Site/Staff Qualification Supporting Information (v1.0)")</f>
        <v>77242113UCO3001-CZE-DD5-CZ10020-Site/Staff Qualification Supporting Information (v1.0)</v>
      </c>
      <c r="B55" s="3" t="s">
        <v>94</v>
      </c>
      <c r="C55" s="3" t="s">
        <v>18</v>
      </c>
      <c r="D55" s="3" t="s">
        <v>57</v>
      </c>
      <c r="E55" s="3" t="s">
        <v>124</v>
      </c>
      <c r="F55" s="3" t="s">
        <v>403</v>
      </c>
      <c r="G55" s="2" t="str">
        <f>HYPERLINK("https://vtmf.veevavault.com/ui/#doc_info/29747204/1/0", "VTMF-23936624")</f>
        <v>VTMF-23936624</v>
      </c>
      <c r="H55" s="3"/>
      <c r="I55" s="3" t="s">
        <v>402</v>
      </c>
      <c r="J55" s="3" t="s">
        <v>94</v>
      </c>
      <c r="K55" s="4">
        <v>45881.460312499999</v>
      </c>
      <c r="L55" s="5">
        <v>45881</v>
      </c>
      <c r="M55" s="3" t="s">
        <v>23</v>
      </c>
      <c r="N55" s="3" t="s">
        <v>60</v>
      </c>
      <c r="O55" s="3" t="s">
        <v>25</v>
      </c>
      <c r="P55" s="3" t="s">
        <v>356</v>
      </c>
      <c r="Q55" s="3" t="s">
        <v>27</v>
      </c>
    </row>
    <row r="56" spans="1:17" x14ac:dyDescent="0.35">
      <c r="A56" s="2" t="str">
        <f>HYPERLINK("https://vtmf.veevavault.com/ui/#doc_info/29708122/1/0", "77242113UCO3001-CZE-DD5-CZ10020-Principal Investigator Financial Disclosure Form-24 Jul 2025 (v1.0)")</f>
        <v>77242113UCO3001-CZE-DD5-CZ10020-Principal Investigator Financial Disclosure Form-24 Jul 2025 (v1.0)</v>
      </c>
      <c r="B56" s="3" t="s">
        <v>94</v>
      </c>
      <c r="C56" s="3" t="s">
        <v>18</v>
      </c>
      <c r="D56" s="3" t="s">
        <v>57</v>
      </c>
      <c r="E56" s="3" t="s">
        <v>98</v>
      </c>
      <c r="F56" s="3" t="s">
        <v>404</v>
      </c>
      <c r="G56" s="2" t="str">
        <f>HYPERLINK("https://vtmf.veevavault.com/ui/#doc_info/29708122/1/0", "VTMF-23902749")</f>
        <v>VTMF-23902749</v>
      </c>
      <c r="H56" s="3"/>
      <c r="I56" s="3" t="s">
        <v>126</v>
      </c>
      <c r="J56" s="3" t="s">
        <v>94</v>
      </c>
      <c r="K56" s="4">
        <v>45875.28329861111</v>
      </c>
      <c r="L56" s="5">
        <v>45875</v>
      </c>
      <c r="M56" s="3" t="s">
        <v>23</v>
      </c>
      <c r="N56" s="3" t="s">
        <v>100</v>
      </c>
      <c r="O56" s="3" t="s">
        <v>25</v>
      </c>
      <c r="P56" s="3" t="s">
        <v>356</v>
      </c>
      <c r="Q56" s="3" t="s">
        <v>27</v>
      </c>
    </row>
    <row r="57" spans="1:17" x14ac:dyDescent="0.35">
      <c r="A57" s="2" t="str">
        <f>HYPERLINK("https://vtmf.veevavault.com/ui/#doc_info/29387841/1/0", "77242113UCO3001-CZE-DD5-CZ10020-Feasibility Documentation-19 Jun 2025 (v1.0)")</f>
        <v>77242113UCO3001-CZE-DD5-CZ10020-Feasibility Documentation-19 Jun 2025 (v1.0)</v>
      </c>
      <c r="B57" s="3" t="s">
        <v>94</v>
      </c>
      <c r="C57" s="3" t="s">
        <v>18</v>
      </c>
      <c r="D57" s="3" t="s">
        <v>131</v>
      </c>
      <c r="E57" s="3" t="s">
        <v>132</v>
      </c>
      <c r="F57" s="3" t="s">
        <v>405</v>
      </c>
      <c r="G57" s="2" t="str">
        <f>HYPERLINK("https://vtmf.veevavault.com/ui/#doc_info/29387841/1/0", "VTMF-23627153")</f>
        <v>VTMF-23627153</v>
      </c>
      <c r="H57" s="3"/>
      <c r="I57" s="3" t="s">
        <v>22</v>
      </c>
      <c r="J57" s="3" t="s">
        <v>94</v>
      </c>
      <c r="K57" s="4">
        <v>45827.481319444443</v>
      </c>
      <c r="L57" s="5">
        <v>45827</v>
      </c>
      <c r="M57" s="3" t="s">
        <v>23</v>
      </c>
      <c r="N57" s="3" t="s">
        <v>60</v>
      </c>
      <c r="O57" s="3" t="s">
        <v>25</v>
      </c>
      <c r="P57" s="3" t="s">
        <v>356</v>
      </c>
      <c r="Q57" s="3" t="s">
        <v>27</v>
      </c>
    </row>
    <row r="58" spans="1:17" x14ac:dyDescent="0.35">
      <c r="A58" s="2" t="str">
        <f>HYPERLINK("https://vtmf.veevavault.com/ui/#doc_info/29264245/1/0", "77242113UCO3001-CZE-DD5-CZ10020-Pre Trial Monitoring Report-28 May 2025 (v1.0)")</f>
        <v>77242113UCO3001-CZE-DD5-CZ10020-Pre Trial Monitoring Report-28 May 2025 (v1.0)</v>
      </c>
      <c r="B58" s="3" t="s">
        <v>38</v>
      </c>
      <c r="C58" s="3" t="s">
        <v>18</v>
      </c>
      <c r="D58" s="3" t="s">
        <v>131</v>
      </c>
      <c r="E58" s="3" t="s">
        <v>134</v>
      </c>
      <c r="F58" s="3"/>
      <c r="G58" s="2" t="str">
        <f>HYPERLINK("https://vtmf.veevavault.com/ui/#doc_info/29264245/1/0", "VTMF-23521364")</f>
        <v>VTMF-23521364</v>
      </c>
      <c r="H58" s="3"/>
      <c r="I58" s="3" t="s">
        <v>40</v>
      </c>
      <c r="J58" s="3" t="s">
        <v>38</v>
      </c>
      <c r="K58" s="4">
        <v>45812.501817129632</v>
      </c>
      <c r="L58" s="5">
        <v>45812</v>
      </c>
      <c r="M58" s="3" t="s">
        <v>23</v>
      </c>
      <c r="N58" s="3" t="s">
        <v>97</v>
      </c>
      <c r="O58" s="3" t="s">
        <v>25</v>
      </c>
      <c r="P58" s="3" t="s">
        <v>356</v>
      </c>
      <c r="Q58" s="3" t="s">
        <v>27</v>
      </c>
    </row>
    <row r="59" spans="1:17" x14ac:dyDescent="0.35">
      <c r="A59" s="2" t="str">
        <f>HYPERLINK("https://vtmf.veevavault.com/ui/#doc_info/29254441/1/0", "77242113UCO3001-CZE-DD5-CZ10020-Non-IP Shipment Documentation-28 May 2025 (v1.0)")</f>
        <v>77242113UCO3001-CZE-DD5-CZ10020-Non-IP Shipment Documentation-28 May 2025 (v1.0)</v>
      </c>
      <c r="B59" s="3" t="s">
        <v>268</v>
      </c>
      <c r="C59" s="3" t="s">
        <v>28</v>
      </c>
      <c r="D59" s="3" t="s">
        <v>29</v>
      </c>
      <c r="E59" s="3" t="s">
        <v>30</v>
      </c>
      <c r="F59" s="3" t="s">
        <v>406</v>
      </c>
      <c r="G59" s="2" t="str">
        <f>HYPERLINK("https://vtmf.veevavault.com/ui/#doc_info/29254441/1/0", "VTMF-23514420")</f>
        <v>VTMF-23514420</v>
      </c>
      <c r="H59" s="3"/>
      <c r="I59" s="3" t="s">
        <v>22</v>
      </c>
      <c r="J59" s="3" t="s">
        <v>268</v>
      </c>
      <c r="K59" s="4">
        <v>45811.679178240738</v>
      </c>
      <c r="L59" s="5">
        <v>45811</v>
      </c>
      <c r="M59" s="3" t="s">
        <v>23</v>
      </c>
      <c r="N59" s="3" t="s">
        <v>32</v>
      </c>
      <c r="O59" s="3" t="s">
        <v>25</v>
      </c>
      <c r="P59" s="3" t="s">
        <v>356</v>
      </c>
      <c r="Q59" s="3" t="s">
        <v>27</v>
      </c>
    </row>
    <row r="60" spans="1:17" x14ac:dyDescent="0.35">
      <c r="A60" s="2" t="str">
        <f>HYPERLINK("https://vtmf.veevavault.com/ui/#doc_info/29246642/1/0", "77242113UCO3001-CZE-DD5-CZ10020-Monitoring Visit Follow-up Letter-SQVR_FL-28 May 2025 (v1.0)")</f>
        <v>77242113UCO3001-CZE-DD5-CZ10020-Monitoring Visit Follow-up Letter-SQVR_FL-28 May 2025 (v1.0)</v>
      </c>
      <c r="B60" s="3" t="s">
        <v>38</v>
      </c>
      <c r="C60" s="3" t="s">
        <v>18</v>
      </c>
      <c r="D60" s="3" t="s">
        <v>18</v>
      </c>
      <c r="E60" s="3" t="s">
        <v>39</v>
      </c>
      <c r="F60" s="3"/>
      <c r="G60" s="2" t="str">
        <f>HYPERLINK("https://vtmf.veevavault.com/ui/#doc_info/29246642/1/0", "VTMF-23508343")</f>
        <v>VTMF-23508343</v>
      </c>
      <c r="H60" s="3"/>
      <c r="I60" s="3" t="s">
        <v>40</v>
      </c>
      <c r="J60" s="3" t="s">
        <v>38</v>
      </c>
      <c r="K60" s="4">
        <v>45810.778043981481</v>
      </c>
      <c r="L60" s="5">
        <v>45810</v>
      </c>
      <c r="M60" s="3" t="s">
        <v>23</v>
      </c>
      <c r="N60" s="3" t="s">
        <v>41</v>
      </c>
      <c r="O60" s="3" t="s">
        <v>25</v>
      </c>
      <c r="P60" s="3" t="s">
        <v>356</v>
      </c>
      <c r="Q60" s="3" t="s">
        <v>27</v>
      </c>
    </row>
    <row r="61" spans="1:17" x14ac:dyDescent="0.35">
      <c r="A61" s="2" t="str">
        <f>HYPERLINK("https://vtmf.veevavault.com/ui/#doc_info/29174004/1/0", "77242113UCO3001-CZE-DD5-CZ10020-Site Confirmation Letter-SQVR_CL-28 May 2025 (v1.0)")</f>
        <v>77242113UCO3001-CZE-DD5-CZ10020-Site Confirmation Letter-SQVR_CL-28 May 2025 (v1.0)</v>
      </c>
      <c r="B61" s="3" t="s">
        <v>38</v>
      </c>
      <c r="C61" s="3" t="s">
        <v>18</v>
      </c>
      <c r="D61" s="3" t="s">
        <v>18</v>
      </c>
      <c r="E61" s="3" t="s">
        <v>47</v>
      </c>
      <c r="F61" s="3"/>
      <c r="G61" s="2" t="str">
        <f>HYPERLINK("https://vtmf.veevavault.com/ui/#doc_info/29174004/1/0", "VTMF-23448269")</f>
        <v>VTMF-23448269</v>
      </c>
      <c r="H61" s="3"/>
      <c r="I61" s="3" t="s">
        <v>40</v>
      </c>
      <c r="J61" s="3" t="s">
        <v>38</v>
      </c>
      <c r="K61" s="4">
        <v>45798.974965277783</v>
      </c>
      <c r="L61" s="5">
        <v>45798</v>
      </c>
      <c r="M61" s="3" t="s">
        <v>23</v>
      </c>
      <c r="N61" s="3" t="s">
        <v>41</v>
      </c>
      <c r="O61" s="3" t="s">
        <v>25</v>
      </c>
      <c r="P61" s="3" t="s">
        <v>356</v>
      </c>
      <c r="Q61" s="3" t="s">
        <v>27</v>
      </c>
    </row>
    <row r="62" spans="1:17" x14ac:dyDescent="0.35">
      <c r="A62" s="2" t="str">
        <f>HYPERLINK("https://vtmf.veevavault.com/ui/#doc_info/26525562/1/0", "61186372COR3001-CZE-CN9-CZ10007-Confidentiality Agreement-30 Oct 2023 (v1.0)")</f>
        <v>61186372COR3001-CZE-CN9-CZ10007-Confidentiality Agreement-30 Oct 2023 (v1.0)</v>
      </c>
      <c r="B62" s="3" t="s">
        <v>407</v>
      </c>
      <c r="C62" s="3" t="s">
        <v>18</v>
      </c>
      <c r="D62" s="3" t="s">
        <v>131</v>
      </c>
      <c r="E62" s="3" t="s">
        <v>269</v>
      </c>
      <c r="F62" s="3" t="s">
        <v>408</v>
      </c>
      <c r="G62" s="2" t="str">
        <f>HYPERLINK("https://vtmf.veevavault.com/ui/#doc_info/26525562/1/0", "VTMF-21240047")</f>
        <v>VTMF-21240047</v>
      </c>
      <c r="H62" s="3"/>
      <c r="I62" s="3" t="s">
        <v>409</v>
      </c>
      <c r="J62" s="3" t="s">
        <v>407</v>
      </c>
      <c r="K62" s="4">
        <v>45457.74359953704</v>
      </c>
      <c r="L62" s="5">
        <v>45797</v>
      </c>
      <c r="M62" s="3" t="s">
        <v>23</v>
      </c>
      <c r="N62" s="3" t="s">
        <v>97</v>
      </c>
      <c r="O62" s="3" t="s">
        <v>410</v>
      </c>
      <c r="P62" s="3" t="s">
        <v>411</v>
      </c>
      <c r="Q62" s="3" t="s">
        <v>412</v>
      </c>
    </row>
    <row r="63" spans="1:17" x14ac:dyDescent="0.35">
      <c r="A63" s="2" t="str">
        <f>HYPERLINK("https://vtmf.veevavault.com/ui/#doc_info/31411625/1/0", "77242113UCO3001-CZE-DD5-CZ10020-Monitoring Visit Follow-up Letter-SIVR_FL-25 Mar 2026 (v1.0)")</f>
        <v>77242113UCO3001-CZE-DD5-CZ10020-Monitoring Visit Follow-up Letter-SIVR_FL-25 Mar 2026 (v1.0)</v>
      </c>
      <c r="B63" s="3" t="s">
        <v>38</v>
      </c>
      <c r="C63" s="3" t="s">
        <v>18</v>
      </c>
      <c r="D63" s="3" t="s">
        <v>18</v>
      </c>
      <c r="E63" s="3" t="s">
        <v>39</v>
      </c>
      <c r="F63" s="3"/>
      <c r="G63" s="2" t="str">
        <f>HYPERLINK("https://vtmf.veevavault.com/ui/#doc_info/31411625/1/0", "VTMF-25344346")</f>
        <v>VTMF-25344346</v>
      </c>
      <c r="H63" s="3"/>
      <c r="I63" s="3" t="s">
        <v>40</v>
      </c>
      <c r="J63" s="3" t="s">
        <v>38</v>
      </c>
      <c r="K63" s="4">
        <v>46120.522847222222</v>
      </c>
      <c r="L63" s="5"/>
      <c r="M63" s="3" t="s">
        <v>23</v>
      </c>
      <c r="N63" s="3" t="s">
        <v>41</v>
      </c>
      <c r="O63" s="3" t="s">
        <v>25</v>
      </c>
      <c r="P63" s="3" t="s">
        <v>356</v>
      </c>
      <c r="Q63" s="3" t="s">
        <v>27</v>
      </c>
    </row>
    <row r="64" spans="1:17" x14ac:dyDescent="0.35">
      <c r="A64" s="2" t="str">
        <f>HYPERLINK("https://vtmf.veevavault.com/ui/#doc_info/31277814/0/1", "77242113UCO3001-CZE-DD5-CZ10020-Relevant Communications-25 Mar 2026 (v0.1)")</f>
        <v>77242113UCO3001-CZE-DD5-CZ10020-Relevant Communications-25 Mar 2026 (v0.1)</v>
      </c>
      <c r="B64" s="3" t="s">
        <v>214</v>
      </c>
      <c r="C64" s="3" t="s">
        <v>18</v>
      </c>
      <c r="D64" s="3" t="s">
        <v>19</v>
      </c>
      <c r="E64" s="3" t="s">
        <v>20</v>
      </c>
      <c r="F64" s="3" t="s">
        <v>246</v>
      </c>
      <c r="G64" s="2" t="str">
        <f>HYPERLINK("https://vtmf.veevavault.com/ui/#doc_info/31277814/0/1", "VTMF-25225109")</f>
        <v>VTMF-25225109</v>
      </c>
      <c r="H64" s="3"/>
      <c r="I64" s="3" t="s">
        <v>214</v>
      </c>
      <c r="J64" s="3" t="s">
        <v>214</v>
      </c>
      <c r="K64" s="4">
        <v>46107.486770833333</v>
      </c>
      <c r="L64" s="5"/>
      <c r="M64" s="3" t="s">
        <v>234</v>
      </c>
      <c r="N64" s="3" t="s">
        <v>24</v>
      </c>
      <c r="O64" s="3" t="s">
        <v>25</v>
      </c>
      <c r="P64" s="3" t="s">
        <v>356</v>
      </c>
      <c r="Q64" s="3" t="s">
        <v>27</v>
      </c>
    </row>
    <row r="65" spans="1:17" x14ac:dyDescent="0.35">
      <c r="A65" s="2" t="str">
        <f>HYPERLINK("https://vtmf.veevavault.com/ui/#doc_info/31393348/1/0", "77242113UCO3001-CZE-DD5-CZ10020-Trial Initiation Monitoring Report-25 Mar 2026 (v1.0)")</f>
        <v>77242113UCO3001-CZE-DD5-CZ10020-Trial Initiation Monitoring Report-25 Mar 2026 (v1.0)</v>
      </c>
      <c r="B65" s="3" t="s">
        <v>38</v>
      </c>
      <c r="C65" s="3" t="s">
        <v>18</v>
      </c>
      <c r="D65" s="3" t="s">
        <v>68</v>
      </c>
      <c r="E65" s="3" t="s">
        <v>90</v>
      </c>
      <c r="F65" s="3"/>
      <c r="G65" s="2" t="str">
        <f>HYPERLINK("https://vtmf.veevavault.com/ui/#doc_info/31393348/1/0", "VTMF-25327730")</f>
        <v>VTMF-25327730</v>
      </c>
      <c r="H65" s="3"/>
      <c r="I65" s="3" t="s">
        <v>40</v>
      </c>
      <c r="J65" s="3" t="s">
        <v>38</v>
      </c>
      <c r="K65" s="4">
        <v>46119.396203703713</v>
      </c>
      <c r="L65" s="5"/>
      <c r="M65" s="3" t="s">
        <v>23</v>
      </c>
      <c r="N65" s="3" t="s">
        <v>91</v>
      </c>
      <c r="O65" s="3" t="s">
        <v>25</v>
      </c>
      <c r="P65" s="3" t="s">
        <v>356</v>
      </c>
      <c r="Q65" s="3" t="s">
        <v>27</v>
      </c>
    </row>
  </sheetData>
  <autoFilter ref="A1:Q65" xr:uid="{00000000-0009-0000-0000-000009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Q51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HYPERLINK("https://vtmf.veevavault.com/ui/#doc_info/31420944/1/0", "77242113UCO3001-CZE-DD5-CZ10021-Relevant Communications-03 Mar 2026 (v1.0)")</f>
        <v>77242113UCO3001-CZE-DD5-CZ10021-Relevant Communications-03 Mar 2026 (v1.0)</v>
      </c>
      <c r="B2" s="3" t="s">
        <v>316</v>
      </c>
      <c r="C2" s="3" t="s">
        <v>18</v>
      </c>
      <c r="D2" s="3" t="s">
        <v>19</v>
      </c>
      <c r="E2" s="3" t="s">
        <v>20</v>
      </c>
      <c r="F2" s="3" t="s">
        <v>413</v>
      </c>
      <c r="G2" s="2" t="str">
        <f>HYPERLINK("https://vtmf.veevavault.com/ui/#doc_info/31420944/1/0", "VTMF-25352510")</f>
        <v>VTMF-25352510</v>
      </c>
      <c r="H2" s="3"/>
      <c r="I2" s="3" t="s">
        <v>22</v>
      </c>
      <c r="J2" s="3" t="s">
        <v>316</v>
      </c>
      <c r="K2" s="4">
        <v>46121.584004629629</v>
      </c>
      <c r="L2" s="5">
        <v>46121</v>
      </c>
      <c r="M2" s="3" t="s">
        <v>23</v>
      </c>
      <c r="N2" s="3" t="s">
        <v>24</v>
      </c>
      <c r="O2" s="3" t="s">
        <v>25</v>
      </c>
      <c r="P2" s="3" t="s">
        <v>414</v>
      </c>
      <c r="Q2" s="3" t="s">
        <v>27</v>
      </c>
    </row>
    <row r="3" spans="1:17" x14ac:dyDescent="0.35">
      <c r="A3" s="2" t="str">
        <f>HYPERLINK("https://vtmf.veevavault.com/ui/#doc_info/31395623/1/0", "77242113UCO3001-CZE-DD5-CZ10021-Relevant Communications-24 Mar 2026 (v1.0)")</f>
        <v>77242113UCO3001-CZE-DD5-CZ10021-Relevant Communications-24 Mar 2026 (v1.0)</v>
      </c>
      <c r="B3" s="3" t="s">
        <v>35</v>
      </c>
      <c r="C3" s="3" t="s">
        <v>18</v>
      </c>
      <c r="D3" s="3" t="s">
        <v>19</v>
      </c>
      <c r="E3" s="3" t="s">
        <v>20</v>
      </c>
      <c r="F3" s="3" t="s">
        <v>415</v>
      </c>
      <c r="G3" s="2" t="str">
        <f>HYPERLINK("https://vtmf.veevavault.com/ui/#doc_info/31395623/1/0", "VTMF-25329500")</f>
        <v>VTMF-25329500</v>
      </c>
      <c r="H3" s="3"/>
      <c r="I3" s="3" t="s">
        <v>22</v>
      </c>
      <c r="J3" s="3" t="s">
        <v>35</v>
      </c>
      <c r="K3" s="4">
        <v>46119.60361111111</v>
      </c>
      <c r="L3" s="5">
        <v>46119</v>
      </c>
      <c r="M3" s="3" t="s">
        <v>23</v>
      </c>
      <c r="N3" s="3" t="s">
        <v>24</v>
      </c>
      <c r="O3" s="3" t="s">
        <v>25</v>
      </c>
      <c r="P3" s="3" t="s">
        <v>414</v>
      </c>
      <c r="Q3" s="3" t="s">
        <v>27</v>
      </c>
    </row>
    <row r="4" spans="1:17" x14ac:dyDescent="0.35">
      <c r="A4" s="2" t="str">
        <f>HYPERLINK("https://vtmf.veevavault.com/ui/#doc_info/31288449/1/0", "77242113UCO3001-CZE-DD5-CZ10021-Monitoring Visit Follow-up Letter-SMVR_FL-17 Mar 2026 (v1.0)")</f>
        <v>77242113UCO3001-CZE-DD5-CZ10021-Monitoring Visit Follow-up Letter-SMVR_FL-17 Mar 2026 (v1.0)</v>
      </c>
      <c r="B4" s="3" t="s">
        <v>38</v>
      </c>
      <c r="C4" s="3" t="s">
        <v>18</v>
      </c>
      <c r="D4" s="3" t="s">
        <v>18</v>
      </c>
      <c r="E4" s="3" t="s">
        <v>39</v>
      </c>
      <c r="F4" s="3"/>
      <c r="G4" s="2" t="str">
        <f>HYPERLINK("https://vtmf.veevavault.com/ui/#doc_info/31288449/1/0", "VTMF-25234106")</f>
        <v>VTMF-25234106</v>
      </c>
      <c r="H4" s="3"/>
      <c r="I4" s="3" t="s">
        <v>40</v>
      </c>
      <c r="J4" s="3" t="s">
        <v>38</v>
      </c>
      <c r="K4" s="4">
        <v>46108.613009259258</v>
      </c>
      <c r="L4" s="5">
        <v>46108</v>
      </c>
      <c r="M4" s="3" t="s">
        <v>23</v>
      </c>
      <c r="N4" s="3" t="s">
        <v>41</v>
      </c>
      <c r="O4" s="3" t="s">
        <v>25</v>
      </c>
      <c r="P4" s="3" t="s">
        <v>414</v>
      </c>
      <c r="Q4" s="3" t="s">
        <v>27</v>
      </c>
    </row>
    <row r="5" spans="1:17" x14ac:dyDescent="0.35">
      <c r="A5" s="2" t="str">
        <f>HYPERLINK("https://vtmf.veevavault.com/ui/#doc_info/31277583/1/0", "77242113UCO3001-CZE-DD5-CZ10021-Monitoring Visit Report-17 Mar 2026 (v1.0)")</f>
        <v>77242113UCO3001-CZE-DD5-CZ10021-Monitoring Visit Report-17 Mar 2026 (v1.0)</v>
      </c>
      <c r="B5" s="3" t="s">
        <v>38</v>
      </c>
      <c r="C5" s="3" t="s">
        <v>18</v>
      </c>
      <c r="D5" s="3" t="s">
        <v>18</v>
      </c>
      <c r="E5" s="3" t="s">
        <v>42</v>
      </c>
      <c r="F5" s="3"/>
      <c r="G5" s="2" t="str">
        <f>HYPERLINK("https://vtmf.veevavault.com/ui/#doc_info/31277583/1/0", "VTMF-25225053")</f>
        <v>VTMF-25225053</v>
      </c>
      <c r="H5" s="3"/>
      <c r="I5" s="3" t="s">
        <v>40</v>
      </c>
      <c r="J5" s="3" t="s">
        <v>38</v>
      </c>
      <c r="K5" s="4">
        <v>46107.481041666673</v>
      </c>
      <c r="L5" s="5">
        <v>46107</v>
      </c>
      <c r="M5" s="3" t="s">
        <v>23</v>
      </c>
      <c r="N5" s="3" t="s">
        <v>43</v>
      </c>
      <c r="O5" s="3" t="s">
        <v>25</v>
      </c>
      <c r="P5" s="3" t="s">
        <v>414</v>
      </c>
      <c r="Q5" s="3" t="s">
        <v>27</v>
      </c>
    </row>
    <row r="6" spans="1:17" x14ac:dyDescent="0.35">
      <c r="A6" s="2" t="str">
        <f>HYPERLINK("https://vtmf.veevavault.com/ui/#doc_info/31188507/1/0", "77242113UCO3001-CZE-DD5-CZ10021-Site Confirmation Letter-SMVR_CL-17 Mar 2026 (v1.0)")</f>
        <v>77242113UCO3001-CZE-DD5-CZ10021-Site Confirmation Letter-SMVR_CL-17 Mar 2026 (v1.0)</v>
      </c>
      <c r="B6" s="3" t="s">
        <v>38</v>
      </c>
      <c r="C6" s="3" t="s">
        <v>18</v>
      </c>
      <c r="D6" s="3" t="s">
        <v>18</v>
      </c>
      <c r="E6" s="3" t="s">
        <v>47</v>
      </c>
      <c r="F6" s="3"/>
      <c r="G6" s="2" t="str">
        <f>HYPERLINK("https://vtmf.veevavault.com/ui/#doc_info/31188507/1/0", "VTMF-25148323")</f>
        <v>VTMF-25148323</v>
      </c>
      <c r="H6" s="3"/>
      <c r="I6" s="3" t="s">
        <v>40</v>
      </c>
      <c r="J6" s="3" t="s">
        <v>38</v>
      </c>
      <c r="K6" s="4">
        <v>46097.564328703702</v>
      </c>
      <c r="L6" s="5">
        <v>46097</v>
      </c>
      <c r="M6" s="3" t="s">
        <v>23</v>
      </c>
      <c r="N6" s="3" t="s">
        <v>41</v>
      </c>
      <c r="O6" s="3" t="s">
        <v>25</v>
      </c>
      <c r="P6" s="3" t="s">
        <v>414</v>
      </c>
      <c r="Q6" s="3" t="s">
        <v>27</v>
      </c>
    </row>
    <row r="7" spans="1:17" x14ac:dyDescent="0.35">
      <c r="A7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7" s="3" t="s">
        <v>35</v>
      </c>
      <c r="C7" s="3" t="s">
        <v>18</v>
      </c>
      <c r="D7" s="3" t="s">
        <v>19</v>
      </c>
      <c r="E7" s="3" t="s">
        <v>20</v>
      </c>
      <c r="F7" s="3" t="s">
        <v>44</v>
      </c>
      <c r="G7" s="2" t="str">
        <f>HYPERLINK("https://vtmf.veevavault.com/ui/#doc_info/30957580/1/0", "VTMF-24952860")</f>
        <v>VTMF-24952860</v>
      </c>
      <c r="H7" s="3"/>
      <c r="I7" s="3" t="s">
        <v>35</v>
      </c>
      <c r="J7" s="3" t="s">
        <v>35</v>
      </c>
      <c r="K7" s="4">
        <v>46063.445960648147</v>
      </c>
      <c r="L7" s="5">
        <v>46063</v>
      </c>
      <c r="M7" s="3" t="s">
        <v>23</v>
      </c>
      <c r="N7" s="3" t="s">
        <v>24</v>
      </c>
      <c r="O7" s="3" t="s">
        <v>25</v>
      </c>
      <c r="P7" s="3" t="s">
        <v>45</v>
      </c>
      <c r="Q7" s="3" t="s">
        <v>27</v>
      </c>
    </row>
    <row r="8" spans="1:17" x14ac:dyDescent="0.35">
      <c r="A8" s="2" t="str">
        <f>HYPERLINK("https://vtmf.veevavault.com/ui/#doc_info/30948662/1/0", "77242113UCO3001-CZE-DD5-CZ10021-Non-IP Shipment Documentation-14 Jan 2026 (v1.0)")</f>
        <v>77242113UCO3001-CZE-DD5-CZ10021-Non-IP Shipment Documentation-14 Jan 2026 (v1.0)</v>
      </c>
      <c r="B8" s="3" t="s">
        <v>17</v>
      </c>
      <c r="C8" s="3" t="s">
        <v>28</v>
      </c>
      <c r="D8" s="3" t="s">
        <v>29</v>
      </c>
      <c r="E8" s="3" t="s">
        <v>30</v>
      </c>
      <c r="F8" s="3" t="s">
        <v>416</v>
      </c>
      <c r="G8" s="2" t="str">
        <f>HYPERLINK("https://vtmf.veevavault.com/ui/#doc_info/30948662/1/0", "VTMF-24945095")</f>
        <v>VTMF-24945095</v>
      </c>
      <c r="H8" s="3"/>
      <c r="I8" s="3" t="s">
        <v>22</v>
      </c>
      <c r="J8" s="3" t="s">
        <v>17</v>
      </c>
      <c r="K8" s="4">
        <v>46062.463171296287</v>
      </c>
      <c r="L8" s="5">
        <v>46062</v>
      </c>
      <c r="M8" s="3" t="s">
        <v>23</v>
      </c>
      <c r="N8" s="3" t="s">
        <v>32</v>
      </c>
      <c r="O8" s="3" t="s">
        <v>25</v>
      </c>
      <c r="P8" s="3" t="s">
        <v>414</v>
      </c>
      <c r="Q8" s="3" t="s">
        <v>27</v>
      </c>
    </row>
    <row r="9" spans="1:17" x14ac:dyDescent="0.35">
      <c r="A9" s="2" t="str">
        <f>HYPERLINK("https://vtmf.veevavault.com/ui/#doc_info/30948663/1/0", "77242113UCO3001-CZE-DD5-CZ10021-Non-IP Shipment Documentation-14 Jan 2026 (v1.0)")</f>
        <v>77242113UCO3001-CZE-DD5-CZ10021-Non-IP Shipment Documentation-14 Jan 2026 (v1.0)</v>
      </c>
      <c r="B9" s="3" t="s">
        <v>17</v>
      </c>
      <c r="C9" s="3" t="s">
        <v>28</v>
      </c>
      <c r="D9" s="3" t="s">
        <v>29</v>
      </c>
      <c r="E9" s="3" t="s">
        <v>30</v>
      </c>
      <c r="F9" s="3" t="s">
        <v>417</v>
      </c>
      <c r="G9" s="2" t="str">
        <f>HYPERLINK("https://vtmf.veevavault.com/ui/#doc_info/30948663/1/0", "VTMF-24945096")</f>
        <v>VTMF-24945096</v>
      </c>
      <c r="H9" s="3"/>
      <c r="I9" s="3" t="s">
        <v>22</v>
      </c>
      <c r="J9" s="3" t="s">
        <v>17</v>
      </c>
      <c r="K9" s="4">
        <v>46062.463171296287</v>
      </c>
      <c r="L9" s="5">
        <v>46062</v>
      </c>
      <c r="M9" s="3" t="s">
        <v>23</v>
      </c>
      <c r="N9" s="3" t="s">
        <v>32</v>
      </c>
      <c r="O9" s="3" t="s">
        <v>25</v>
      </c>
      <c r="P9" s="3" t="s">
        <v>414</v>
      </c>
      <c r="Q9" s="3" t="s">
        <v>27</v>
      </c>
    </row>
    <row r="10" spans="1:17" x14ac:dyDescent="0.35">
      <c r="A10" s="2" t="str">
        <f>HYPERLINK("https://vtmf.veevavault.com/ui/#doc_info/30948664/1/0", "77242113UCO3001-CZE-DD5-CZ10021-Non-IP Shipment Documentation-14 Jan 2026 (v1.0)")</f>
        <v>77242113UCO3001-CZE-DD5-CZ10021-Non-IP Shipment Documentation-14 Jan 2026 (v1.0)</v>
      </c>
      <c r="B10" s="3" t="s">
        <v>17</v>
      </c>
      <c r="C10" s="3" t="s">
        <v>28</v>
      </c>
      <c r="D10" s="3" t="s">
        <v>29</v>
      </c>
      <c r="E10" s="3" t="s">
        <v>30</v>
      </c>
      <c r="F10" s="3" t="s">
        <v>418</v>
      </c>
      <c r="G10" s="2" t="str">
        <f>HYPERLINK("https://vtmf.veevavault.com/ui/#doc_info/30948664/1/0", "VTMF-24945097")</f>
        <v>VTMF-24945097</v>
      </c>
      <c r="H10" s="3"/>
      <c r="I10" s="3" t="s">
        <v>22</v>
      </c>
      <c r="J10" s="3" t="s">
        <v>17</v>
      </c>
      <c r="K10" s="4">
        <v>46062.463171296287</v>
      </c>
      <c r="L10" s="5">
        <v>46062</v>
      </c>
      <c r="M10" s="3" t="s">
        <v>23</v>
      </c>
      <c r="N10" s="3" t="s">
        <v>32</v>
      </c>
      <c r="O10" s="3" t="s">
        <v>25</v>
      </c>
      <c r="P10" s="3" t="s">
        <v>414</v>
      </c>
      <c r="Q10" s="3" t="s">
        <v>27</v>
      </c>
    </row>
    <row r="11" spans="1:17" x14ac:dyDescent="0.35">
      <c r="A11" s="2" t="str">
        <f>HYPERLINK("https://vtmf.veevavault.com/ui/#doc_info/30948665/1/0", "77242113UCO3001-CZE-DD5-CZ10021-Non-IP Shipment Documentation-14 Jan 2026 (v1.0)")</f>
        <v>77242113UCO3001-CZE-DD5-CZ10021-Non-IP Shipment Documentation-14 Jan 2026 (v1.0)</v>
      </c>
      <c r="B11" s="3" t="s">
        <v>17</v>
      </c>
      <c r="C11" s="3" t="s">
        <v>28</v>
      </c>
      <c r="D11" s="3" t="s">
        <v>29</v>
      </c>
      <c r="E11" s="3" t="s">
        <v>30</v>
      </c>
      <c r="F11" s="3" t="s">
        <v>419</v>
      </c>
      <c r="G11" s="2" t="str">
        <f>HYPERLINK("https://vtmf.veevavault.com/ui/#doc_info/30948665/1/0", "VTMF-24945098")</f>
        <v>VTMF-24945098</v>
      </c>
      <c r="H11" s="3"/>
      <c r="I11" s="3" t="s">
        <v>22</v>
      </c>
      <c r="J11" s="3" t="s">
        <v>17</v>
      </c>
      <c r="K11" s="4">
        <v>46062.463171296287</v>
      </c>
      <c r="L11" s="5">
        <v>46062</v>
      </c>
      <c r="M11" s="3" t="s">
        <v>23</v>
      </c>
      <c r="N11" s="3" t="s">
        <v>32</v>
      </c>
      <c r="O11" s="3" t="s">
        <v>25</v>
      </c>
      <c r="P11" s="3" t="s">
        <v>414</v>
      </c>
      <c r="Q11" s="3" t="s">
        <v>27</v>
      </c>
    </row>
    <row r="12" spans="1:17" x14ac:dyDescent="0.35">
      <c r="A12" s="2" t="str">
        <f>HYPERLINK("https://vtmf.veevavault.com/ui/#doc_info/30948666/1/0", "77242113UCO3001-CZE-DD5-CZ10021-Non-IP Shipment Documentation-14 Jan 2026 (v1.0)")</f>
        <v>77242113UCO3001-CZE-DD5-CZ10021-Non-IP Shipment Documentation-14 Jan 2026 (v1.0)</v>
      </c>
      <c r="B12" s="3" t="s">
        <v>17</v>
      </c>
      <c r="C12" s="3" t="s">
        <v>28</v>
      </c>
      <c r="D12" s="3" t="s">
        <v>29</v>
      </c>
      <c r="E12" s="3" t="s">
        <v>30</v>
      </c>
      <c r="F12" s="3" t="s">
        <v>420</v>
      </c>
      <c r="G12" s="2" t="str">
        <f>HYPERLINK("https://vtmf.veevavault.com/ui/#doc_info/30948666/1/0", "VTMF-24945099")</f>
        <v>VTMF-24945099</v>
      </c>
      <c r="H12" s="3"/>
      <c r="I12" s="3" t="s">
        <v>22</v>
      </c>
      <c r="J12" s="3" t="s">
        <v>17</v>
      </c>
      <c r="K12" s="4">
        <v>46062.463171296287</v>
      </c>
      <c r="L12" s="5">
        <v>46062</v>
      </c>
      <c r="M12" s="3" t="s">
        <v>23</v>
      </c>
      <c r="N12" s="3" t="s">
        <v>32</v>
      </c>
      <c r="O12" s="3" t="s">
        <v>25</v>
      </c>
      <c r="P12" s="3" t="s">
        <v>414</v>
      </c>
      <c r="Q12" s="3" t="s">
        <v>27</v>
      </c>
    </row>
    <row r="13" spans="1:17" x14ac:dyDescent="0.35">
      <c r="A13" s="2" t="str">
        <f>HYPERLINK("https://vtmf.veevavault.com/ui/#doc_info/30948717/1/0", "77242113UCO3001-CZE-DD5-CZ10021-Other Curriculum Vitae-14 Nov 2025 (v1.0)")</f>
        <v>77242113UCO3001-CZE-DD5-CZ10021-Other Curriculum Vitae-14 Nov 2025 (v1.0)</v>
      </c>
      <c r="B13" s="3" t="s">
        <v>56</v>
      </c>
      <c r="C13" s="3" t="s">
        <v>18</v>
      </c>
      <c r="D13" s="3" t="s">
        <v>57</v>
      </c>
      <c r="E13" s="3" t="s">
        <v>58</v>
      </c>
      <c r="F13" s="3" t="s">
        <v>421</v>
      </c>
      <c r="G13" s="2" t="str">
        <f>HYPERLINK("https://vtmf.veevavault.com/ui/#doc_info/30948717/1/0", "VTMF-24945083")</f>
        <v>VTMF-24945083</v>
      </c>
      <c r="H13" s="3"/>
      <c r="I13" s="3" t="s">
        <v>22</v>
      </c>
      <c r="J13" s="3" t="s">
        <v>56</v>
      </c>
      <c r="K13" s="4">
        <v>46062.461736111109</v>
      </c>
      <c r="L13" s="5">
        <v>46062</v>
      </c>
      <c r="M13" s="3" t="s">
        <v>23</v>
      </c>
      <c r="N13" s="3" t="s">
        <v>60</v>
      </c>
      <c r="O13" s="3" t="s">
        <v>25</v>
      </c>
      <c r="P13" s="3" t="s">
        <v>414</v>
      </c>
      <c r="Q13" s="3" t="s">
        <v>27</v>
      </c>
    </row>
    <row r="14" spans="1:17" x14ac:dyDescent="0.35">
      <c r="A14" s="2" t="str">
        <f>HYPERLINK("https://vtmf.veevavault.com/ui/#doc_info/30948725/1/0", "77242113UCO3001-CZE-DD5-CZ10021-Other Curriculum Vitae-14 Nov 2025 (v1.0)")</f>
        <v>77242113UCO3001-CZE-DD5-CZ10021-Other Curriculum Vitae-14 Nov 2025 (v1.0)</v>
      </c>
      <c r="B14" s="3" t="s">
        <v>56</v>
      </c>
      <c r="C14" s="3" t="s">
        <v>18</v>
      </c>
      <c r="D14" s="3" t="s">
        <v>57</v>
      </c>
      <c r="E14" s="3" t="s">
        <v>58</v>
      </c>
      <c r="F14" s="3" t="s">
        <v>422</v>
      </c>
      <c r="G14" s="2" t="str">
        <f>HYPERLINK("https://vtmf.veevavault.com/ui/#doc_info/30948725/1/0", "VTMF-24945103")</f>
        <v>VTMF-24945103</v>
      </c>
      <c r="H14" s="3"/>
      <c r="I14" s="3" t="s">
        <v>22</v>
      </c>
      <c r="J14" s="3" t="s">
        <v>56</v>
      </c>
      <c r="K14" s="4">
        <v>46062.463460648149</v>
      </c>
      <c r="L14" s="5">
        <v>46062</v>
      </c>
      <c r="M14" s="3" t="s">
        <v>23</v>
      </c>
      <c r="N14" s="3" t="s">
        <v>60</v>
      </c>
      <c r="O14" s="3" t="s">
        <v>25</v>
      </c>
      <c r="P14" s="3" t="s">
        <v>414</v>
      </c>
      <c r="Q14" s="3" t="s">
        <v>27</v>
      </c>
    </row>
    <row r="15" spans="1:17" x14ac:dyDescent="0.35">
      <c r="A15" s="2" t="str">
        <f>HYPERLINK("https://vtmf.veevavault.com/ui/#doc_info/30948644/1/0", "77242113UCO3001-CZE-DD5-CZ10021-Other Curriculum Vitae-15 Oct 2025 (v1.0)")</f>
        <v>77242113UCO3001-CZE-DD5-CZ10021-Other Curriculum Vitae-15 Oct 2025 (v1.0)</v>
      </c>
      <c r="B15" s="3" t="s">
        <v>56</v>
      </c>
      <c r="C15" s="3" t="s">
        <v>18</v>
      </c>
      <c r="D15" s="3" t="s">
        <v>57</v>
      </c>
      <c r="E15" s="3" t="s">
        <v>58</v>
      </c>
      <c r="F15" s="3" t="s">
        <v>423</v>
      </c>
      <c r="G15" s="2" t="str">
        <f>HYPERLINK("https://vtmf.veevavault.com/ui/#doc_info/30948644/1/0", "VTMF-24945066")</f>
        <v>VTMF-24945066</v>
      </c>
      <c r="H15" s="3"/>
      <c r="I15" s="3" t="s">
        <v>22</v>
      </c>
      <c r="J15" s="3" t="s">
        <v>56</v>
      </c>
      <c r="K15" s="4">
        <v>46062.459826388891</v>
      </c>
      <c r="L15" s="5">
        <v>46062</v>
      </c>
      <c r="M15" s="3" t="s">
        <v>23</v>
      </c>
      <c r="N15" s="3" t="s">
        <v>60</v>
      </c>
      <c r="O15" s="3" t="s">
        <v>25</v>
      </c>
      <c r="P15" s="3" t="s">
        <v>414</v>
      </c>
      <c r="Q15" s="3" t="s">
        <v>27</v>
      </c>
    </row>
    <row r="16" spans="1:17" x14ac:dyDescent="0.35">
      <c r="A16" s="2" t="str">
        <f>HYPERLINK("https://vtmf.veevavault.com/ui/#doc_info/30948750/1/0", "77242113UCO3001-CZE-DD5-CZ10021-Other Curriculum Vitae-19 Jan 2026 (v1.0)")</f>
        <v>77242113UCO3001-CZE-DD5-CZ10021-Other Curriculum Vitae-19 Jan 2026 (v1.0)</v>
      </c>
      <c r="B16" s="3" t="s">
        <v>56</v>
      </c>
      <c r="C16" s="3" t="s">
        <v>18</v>
      </c>
      <c r="D16" s="3" t="s">
        <v>57</v>
      </c>
      <c r="E16" s="3" t="s">
        <v>58</v>
      </c>
      <c r="F16" s="3" t="s">
        <v>424</v>
      </c>
      <c r="G16" s="2" t="str">
        <f>HYPERLINK("https://vtmf.veevavault.com/ui/#doc_info/30948750/1/0", "VTMF-24945148")</f>
        <v>VTMF-24945148</v>
      </c>
      <c r="H16" s="3"/>
      <c r="I16" s="3" t="s">
        <v>22</v>
      </c>
      <c r="J16" s="3" t="s">
        <v>56</v>
      </c>
      <c r="K16" s="4">
        <v>46062.469236111108</v>
      </c>
      <c r="L16" s="5">
        <v>46062</v>
      </c>
      <c r="M16" s="3" t="s">
        <v>23</v>
      </c>
      <c r="N16" s="3" t="s">
        <v>60</v>
      </c>
      <c r="O16" s="3" t="s">
        <v>25</v>
      </c>
      <c r="P16" s="3" t="s">
        <v>414</v>
      </c>
      <c r="Q16" s="3" t="s">
        <v>27</v>
      </c>
    </row>
    <row r="17" spans="1:17" x14ac:dyDescent="0.35">
      <c r="A17" s="2" t="str">
        <f>HYPERLINK("https://vtmf.veevavault.com/ui/#doc_info/30949083/1/0", "77242113UCO3001-CZE-DD5-CZ10021-Other Curriculum Vitae-19 Jan 2026 (v1.0)")</f>
        <v>77242113UCO3001-CZE-DD5-CZ10021-Other Curriculum Vitae-19 Jan 2026 (v1.0)</v>
      </c>
      <c r="B17" s="3" t="s">
        <v>56</v>
      </c>
      <c r="C17" s="3" t="s">
        <v>18</v>
      </c>
      <c r="D17" s="3" t="s">
        <v>57</v>
      </c>
      <c r="E17" s="3" t="s">
        <v>58</v>
      </c>
      <c r="F17" s="3" t="s">
        <v>425</v>
      </c>
      <c r="G17" s="2" t="str">
        <f>HYPERLINK("https://vtmf.veevavault.com/ui/#doc_info/30949083/1/0", "VTMF-24945453")</f>
        <v>VTMF-24945453</v>
      </c>
      <c r="H17" s="3"/>
      <c r="I17" s="3" t="s">
        <v>22</v>
      </c>
      <c r="J17" s="3" t="s">
        <v>56</v>
      </c>
      <c r="K17" s="4">
        <v>46062.513009259259</v>
      </c>
      <c r="L17" s="5">
        <v>46062</v>
      </c>
      <c r="M17" s="3" t="s">
        <v>23</v>
      </c>
      <c r="N17" s="3" t="s">
        <v>60</v>
      </c>
      <c r="O17" s="3" t="s">
        <v>25</v>
      </c>
      <c r="P17" s="3" t="s">
        <v>414</v>
      </c>
      <c r="Q17" s="3" t="s">
        <v>27</v>
      </c>
    </row>
    <row r="18" spans="1:17" x14ac:dyDescent="0.35">
      <c r="A18" s="2" t="str">
        <f>HYPERLINK("https://vtmf.veevavault.com/ui/#doc_info/30948587/1/0", "77242113UCO3001-CZE-DD5-CZ10021-Other Curriculum Vitae-20 Nov 2025 (v1.0)")</f>
        <v>77242113UCO3001-CZE-DD5-CZ10021-Other Curriculum Vitae-20 Nov 2025 (v1.0)</v>
      </c>
      <c r="B18" s="3" t="s">
        <v>56</v>
      </c>
      <c r="C18" s="3" t="s">
        <v>18</v>
      </c>
      <c r="D18" s="3" t="s">
        <v>57</v>
      </c>
      <c r="E18" s="3" t="s">
        <v>58</v>
      </c>
      <c r="F18" s="3" t="s">
        <v>426</v>
      </c>
      <c r="G18" s="2" t="str">
        <f>HYPERLINK("https://vtmf.veevavault.com/ui/#doc_info/30948587/1/0", "VTMF-24945022")</f>
        <v>VTMF-24945022</v>
      </c>
      <c r="H18" s="3"/>
      <c r="I18" s="3" t="s">
        <v>22</v>
      </c>
      <c r="J18" s="3" t="s">
        <v>56</v>
      </c>
      <c r="K18" s="4">
        <v>46062.452222222222</v>
      </c>
      <c r="L18" s="5">
        <v>46062</v>
      </c>
      <c r="M18" s="3" t="s">
        <v>23</v>
      </c>
      <c r="N18" s="3" t="s">
        <v>60</v>
      </c>
      <c r="O18" s="3" t="s">
        <v>25</v>
      </c>
      <c r="P18" s="3" t="s">
        <v>414</v>
      </c>
      <c r="Q18" s="3" t="s">
        <v>27</v>
      </c>
    </row>
    <row r="19" spans="1:17" x14ac:dyDescent="0.35">
      <c r="A19" s="2" t="str">
        <f>HYPERLINK("https://vtmf.veevavault.com/ui/#doc_info/29735876/2/0", "77242113UCO3001-CZE-DD5-CZ10021-Principal Investigator Curriculum Vitae-12 Aug 2025 (v2.0)")</f>
        <v>77242113UCO3001-CZE-DD5-CZ10021-Principal Investigator Curriculum Vitae-12 Aug 2025 (v2.0)</v>
      </c>
      <c r="B19" s="3" t="s">
        <v>94</v>
      </c>
      <c r="C19" s="3" t="s">
        <v>18</v>
      </c>
      <c r="D19" s="3" t="s">
        <v>57</v>
      </c>
      <c r="E19" s="3" t="s">
        <v>65</v>
      </c>
      <c r="F19" s="3" t="s">
        <v>427</v>
      </c>
      <c r="G19" s="2" t="str">
        <f>HYPERLINK("https://vtmf.veevavault.com/ui/#doc_info/29735876/2/0", "VTMF-23926960")</f>
        <v>VTMF-23926960</v>
      </c>
      <c r="H19" s="3"/>
      <c r="I19" s="3" t="s">
        <v>22</v>
      </c>
      <c r="J19" s="3" t="s">
        <v>56</v>
      </c>
      <c r="K19" s="4">
        <v>46062.455081018517</v>
      </c>
      <c r="L19" s="5">
        <v>46062</v>
      </c>
      <c r="M19" s="3" t="s">
        <v>23</v>
      </c>
      <c r="N19" s="3" t="s">
        <v>67</v>
      </c>
      <c r="O19" s="3" t="s">
        <v>25</v>
      </c>
      <c r="P19" s="3" t="s">
        <v>414</v>
      </c>
      <c r="Q19" s="3" t="s">
        <v>27</v>
      </c>
    </row>
    <row r="20" spans="1:17" x14ac:dyDescent="0.35">
      <c r="A20" s="2" t="str">
        <f>HYPERLINK("https://vtmf.veevavault.com/ui/#doc_info/30951446/1/0", "77242113UCO3001-CZE-DD5-CZ10021-Recruitment Plan-09 Feb 2026 (v1.0)")</f>
        <v>77242113UCO3001-CZE-DD5-CZ10021-Recruitment Plan-09 Feb 2026 (v1.0)</v>
      </c>
      <c r="B20" s="3" t="s">
        <v>35</v>
      </c>
      <c r="C20" s="3" t="s">
        <v>48</v>
      </c>
      <c r="D20" s="3" t="s">
        <v>49</v>
      </c>
      <c r="E20" s="3" t="s">
        <v>50</v>
      </c>
      <c r="F20" s="3" t="s">
        <v>428</v>
      </c>
      <c r="G20" s="2" t="str">
        <f>HYPERLINK("https://vtmf.veevavault.com/ui/#doc_info/30951446/1/0", "VTMF-24947296")</f>
        <v>VTMF-24947296</v>
      </c>
      <c r="H20" s="3"/>
      <c r="I20" s="3" t="s">
        <v>35</v>
      </c>
      <c r="J20" s="3" t="s">
        <v>35</v>
      </c>
      <c r="K20" s="4">
        <v>46062.683252314811</v>
      </c>
      <c r="L20" s="5">
        <v>46062</v>
      </c>
      <c r="M20" s="3" t="s">
        <v>23</v>
      </c>
      <c r="N20" s="3" t="s">
        <v>52</v>
      </c>
      <c r="O20" s="3" t="s">
        <v>25</v>
      </c>
      <c r="P20" s="3" t="s">
        <v>414</v>
      </c>
      <c r="Q20" s="3" t="s">
        <v>27</v>
      </c>
    </row>
    <row r="21" spans="1:17" x14ac:dyDescent="0.35">
      <c r="A21" s="2" t="str">
        <f>HYPERLINK("https://vtmf.veevavault.com/ui/#doc_info/30948758/1/0", "77242113UCO3001-CZE-DD5-CZ10021-Sub-Investigator Curriculum Vitae-01 Dec 2025 (v1.0)")</f>
        <v>77242113UCO3001-CZE-DD5-CZ10021-Sub-Investigator Curriculum Vitae-01 Dec 2025 (v1.0)</v>
      </c>
      <c r="B21" s="3" t="s">
        <v>56</v>
      </c>
      <c r="C21" s="3" t="s">
        <v>18</v>
      </c>
      <c r="D21" s="3" t="s">
        <v>57</v>
      </c>
      <c r="E21" s="3" t="s">
        <v>75</v>
      </c>
      <c r="F21" s="3" t="s">
        <v>429</v>
      </c>
      <c r="G21" s="2" t="str">
        <f>HYPERLINK("https://vtmf.veevavault.com/ui/#doc_info/30948758/1/0", "VTMF-24945175")</f>
        <v>VTMF-24945175</v>
      </c>
      <c r="H21" s="3"/>
      <c r="I21" s="3" t="s">
        <v>22</v>
      </c>
      <c r="J21" s="3" t="s">
        <v>56</v>
      </c>
      <c r="K21" s="4">
        <v>46062.472233796303</v>
      </c>
      <c r="L21" s="5">
        <v>46062</v>
      </c>
      <c r="M21" s="3" t="s">
        <v>23</v>
      </c>
      <c r="N21" s="3" t="s">
        <v>67</v>
      </c>
      <c r="O21" s="3" t="s">
        <v>25</v>
      </c>
      <c r="P21" s="3" t="s">
        <v>414</v>
      </c>
      <c r="Q21" s="3" t="s">
        <v>27</v>
      </c>
    </row>
    <row r="22" spans="1:17" x14ac:dyDescent="0.35">
      <c r="A22" s="2" t="str">
        <f>HYPERLINK("https://vtmf.veevavault.com/ui/#doc_info/30948575/1/0", "77242113UCO3001-CZE-DD5-CZ10021-Sub-Investigator Curriculum Vitae-02 Dec 2025 (v1.0)")</f>
        <v>77242113UCO3001-CZE-DD5-CZ10021-Sub-Investigator Curriculum Vitae-02 Dec 2025 (v1.0)</v>
      </c>
      <c r="B22" s="3" t="s">
        <v>56</v>
      </c>
      <c r="C22" s="3" t="s">
        <v>18</v>
      </c>
      <c r="D22" s="3" t="s">
        <v>57</v>
      </c>
      <c r="E22" s="3" t="s">
        <v>75</v>
      </c>
      <c r="F22" s="3" t="s">
        <v>430</v>
      </c>
      <c r="G22" s="2" t="str">
        <f>HYPERLINK("https://vtmf.veevavault.com/ui/#doc_info/30948575/1/0", "VTMF-24945000")</f>
        <v>VTMF-24945000</v>
      </c>
      <c r="H22" s="3"/>
      <c r="I22" s="3" t="s">
        <v>22</v>
      </c>
      <c r="J22" s="3" t="s">
        <v>56</v>
      </c>
      <c r="K22" s="4">
        <v>46062.447905092587</v>
      </c>
      <c r="L22" s="5">
        <v>46062</v>
      </c>
      <c r="M22" s="3" t="s">
        <v>23</v>
      </c>
      <c r="N22" s="3" t="s">
        <v>67</v>
      </c>
      <c r="O22" s="3" t="s">
        <v>25</v>
      </c>
      <c r="P22" s="3" t="s">
        <v>414</v>
      </c>
      <c r="Q22" s="3" t="s">
        <v>27</v>
      </c>
    </row>
    <row r="23" spans="1:17" x14ac:dyDescent="0.35">
      <c r="A23" s="2" t="str">
        <f>HYPERLINK("https://vtmf.veevavault.com/ui/#doc_info/30948735/1/0", "77242113UCO3001-CZE-DD5-CZ10021-Sub-Investigator Curriculum Vitae-17 Nov 2025 (v1.0)")</f>
        <v>77242113UCO3001-CZE-DD5-CZ10021-Sub-Investigator Curriculum Vitae-17 Nov 2025 (v1.0)</v>
      </c>
      <c r="B23" s="3" t="s">
        <v>56</v>
      </c>
      <c r="C23" s="3" t="s">
        <v>18</v>
      </c>
      <c r="D23" s="3" t="s">
        <v>57</v>
      </c>
      <c r="E23" s="3" t="s">
        <v>75</v>
      </c>
      <c r="F23" s="3" t="s">
        <v>431</v>
      </c>
      <c r="G23" s="2" t="str">
        <f>HYPERLINK("https://vtmf.veevavault.com/ui/#doc_info/30948735/1/0", "VTMF-24945122")</f>
        <v>VTMF-24945122</v>
      </c>
      <c r="H23" s="3"/>
      <c r="I23" s="3" t="s">
        <v>22</v>
      </c>
      <c r="J23" s="3" t="s">
        <v>56</v>
      </c>
      <c r="K23" s="4">
        <v>46062.465694444443</v>
      </c>
      <c r="L23" s="5">
        <v>46062</v>
      </c>
      <c r="M23" s="3" t="s">
        <v>23</v>
      </c>
      <c r="N23" s="3" t="s">
        <v>67</v>
      </c>
      <c r="O23" s="3" t="s">
        <v>25</v>
      </c>
      <c r="P23" s="3" t="s">
        <v>414</v>
      </c>
      <c r="Q23" s="3" t="s">
        <v>27</v>
      </c>
    </row>
    <row r="24" spans="1:17" x14ac:dyDescent="0.35">
      <c r="A24" s="2" t="str">
        <f>HYPERLINK("https://vtmf.veevavault.com/ui/#doc_info/30946343/1/0", "77242113UCO3001-CZE-DD5-CZ10021-Other Curriculum Vitae-20 Nov 2025 (v1.0)")</f>
        <v>77242113UCO3001-CZE-DD5-CZ10021-Other Curriculum Vitae-20 Nov 2025 (v1.0)</v>
      </c>
      <c r="B24" s="3" t="s">
        <v>56</v>
      </c>
      <c r="C24" s="3" t="s">
        <v>18</v>
      </c>
      <c r="D24" s="3" t="s">
        <v>57</v>
      </c>
      <c r="E24" s="3" t="s">
        <v>58</v>
      </c>
      <c r="F24" s="3" t="s">
        <v>432</v>
      </c>
      <c r="G24" s="2" t="str">
        <f>HYPERLINK("https://vtmf.veevavault.com/ui/#doc_info/30946343/1/0", "VTMF-24943207")</f>
        <v>VTMF-24943207</v>
      </c>
      <c r="H24" s="3"/>
      <c r="I24" s="3" t="s">
        <v>22</v>
      </c>
      <c r="J24" s="3" t="s">
        <v>56</v>
      </c>
      <c r="K24" s="4">
        <v>46061.847997685189</v>
      </c>
      <c r="L24" s="5">
        <v>46061</v>
      </c>
      <c r="M24" s="3" t="s">
        <v>23</v>
      </c>
      <c r="N24" s="3" t="s">
        <v>60</v>
      </c>
      <c r="O24" s="3" t="s">
        <v>25</v>
      </c>
      <c r="P24" s="3" t="s">
        <v>414</v>
      </c>
      <c r="Q24" s="3" t="s">
        <v>27</v>
      </c>
    </row>
    <row r="25" spans="1:17" x14ac:dyDescent="0.35">
      <c r="A25" s="2" t="str">
        <f>HYPERLINK("https://vtmf.veevavault.com/ui/#doc_info/30906650/1/0", "77242113UCO3001-CZE-DD5-CZ10021-Clinical Trial Agreement-20 Jan 2026 (v1.0)")</f>
        <v>77242113UCO3001-CZE-DD5-CZ10021-Clinical Trial Agreement-20 Jan 2026 (v1.0)</v>
      </c>
      <c r="B25" s="3" t="s">
        <v>35</v>
      </c>
      <c r="C25" s="3" t="s">
        <v>18</v>
      </c>
      <c r="D25" s="3" t="s">
        <v>57</v>
      </c>
      <c r="E25" s="3" t="s">
        <v>158</v>
      </c>
      <c r="F25" s="3" t="s">
        <v>433</v>
      </c>
      <c r="G25" s="2" t="str">
        <f>HYPERLINK("https://vtmf.veevavault.com/ui/#doc_info/30906650/1/0", "VTMF-24910580")</f>
        <v>VTMF-24910580</v>
      </c>
      <c r="H25" s="3"/>
      <c r="I25" s="3" t="s">
        <v>22</v>
      </c>
      <c r="J25" s="3" t="s">
        <v>35</v>
      </c>
      <c r="K25" s="4">
        <v>46056.550243055557</v>
      </c>
      <c r="L25" s="5">
        <v>46056</v>
      </c>
      <c r="M25" s="3" t="s">
        <v>23</v>
      </c>
      <c r="N25" s="3" t="s">
        <v>97</v>
      </c>
      <c r="O25" s="3" t="s">
        <v>25</v>
      </c>
      <c r="P25" s="3" t="s">
        <v>414</v>
      </c>
      <c r="Q25" s="3" t="s">
        <v>27</v>
      </c>
    </row>
    <row r="26" spans="1:17" x14ac:dyDescent="0.35">
      <c r="A26" s="2" t="str">
        <f>HYPERLINK("https://vtmf.veevavault.com/ui/#doc_info/30909451/1/0", "77242113UCO3001-CZE-DD5-CZ10021-IP Site Release Documentation-03 Feb 2026 (v1.0)")</f>
        <v>77242113UCO3001-CZE-DD5-CZ10021-IP Site Release Documentation-03 Feb 2026 (v1.0)</v>
      </c>
      <c r="B26" s="3" t="s">
        <v>94</v>
      </c>
      <c r="C26" s="3" t="s">
        <v>18</v>
      </c>
      <c r="D26" s="3" t="s">
        <v>57</v>
      </c>
      <c r="E26" s="3" t="s">
        <v>95</v>
      </c>
      <c r="F26" s="3" t="s">
        <v>434</v>
      </c>
      <c r="G26" s="2" t="str">
        <f>HYPERLINK("https://vtmf.veevavault.com/ui/#doc_info/30909451/1/0", "VTMF-24912738")</f>
        <v>VTMF-24912738</v>
      </c>
      <c r="H26" s="3"/>
      <c r="I26" s="3" t="s">
        <v>22</v>
      </c>
      <c r="J26" s="3" t="s">
        <v>94</v>
      </c>
      <c r="K26" s="4">
        <v>46056.772870370369</v>
      </c>
      <c r="L26" s="5">
        <v>46056</v>
      </c>
      <c r="M26" s="3" t="s">
        <v>23</v>
      </c>
      <c r="N26" s="3" t="s">
        <v>97</v>
      </c>
      <c r="O26" s="3" t="s">
        <v>25</v>
      </c>
      <c r="P26" s="3" t="s">
        <v>414</v>
      </c>
      <c r="Q26" s="3" t="s">
        <v>27</v>
      </c>
    </row>
    <row r="27" spans="1:17" x14ac:dyDescent="0.35">
      <c r="A27" s="2" t="str">
        <f>HYPERLINK("https://vtmf.veevavault.com/ui/#doc_info/30845849/1/0", "77242113UCO3001-CZE-DD5-CZ10021-Trial Initiation Monitoring Report-20 Jan 2026 (v1.0)")</f>
        <v>77242113UCO3001-CZE-DD5-CZ10021-Trial Initiation Monitoring Report-20 Jan 2026 (v1.0)</v>
      </c>
      <c r="B27" s="3" t="s">
        <v>38</v>
      </c>
      <c r="C27" s="3" t="s">
        <v>18</v>
      </c>
      <c r="D27" s="3" t="s">
        <v>68</v>
      </c>
      <c r="E27" s="3" t="s">
        <v>90</v>
      </c>
      <c r="F27" s="3"/>
      <c r="G27" s="2" t="str">
        <f>HYPERLINK("https://vtmf.veevavault.com/ui/#doc_info/30845849/1/0", "VTMF-24858608")</f>
        <v>VTMF-24858608</v>
      </c>
      <c r="H27" s="3"/>
      <c r="I27" s="3" t="s">
        <v>40</v>
      </c>
      <c r="J27" s="3" t="s">
        <v>38</v>
      </c>
      <c r="K27" s="4">
        <v>46048.438784722217</v>
      </c>
      <c r="L27" s="5">
        <v>46048</v>
      </c>
      <c r="M27" s="3" t="s">
        <v>23</v>
      </c>
      <c r="N27" s="3" t="s">
        <v>91</v>
      </c>
      <c r="O27" s="3" t="s">
        <v>25</v>
      </c>
      <c r="P27" s="3" t="s">
        <v>414</v>
      </c>
      <c r="Q27" s="3" t="s">
        <v>27</v>
      </c>
    </row>
    <row r="28" spans="1:17" x14ac:dyDescent="0.35">
      <c r="A28" s="2" t="str">
        <f>HYPERLINK("https://vtmf.veevavault.com/ui/#doc_info/30837039/1/0", "77242113UCO3001-CZE-DD5-CZ10021-Monitoring Visit Follow-up Letter-SIVR_FL-20 Jan 2026 (v1.0)")</f>
        <v>77242113UCO3001-CZE-DD5-CZ10021-Monitoring Visit Follow-up Letter-SIVR_FL-20 Jan 2026 (v1.0)</v>
      </c>
      <c r="B28" s="3" t="s">
        <v>38</v>
      </c>
      <c r="C28" s="3" t="s">
        <v>18</v>
      </c>
      <c r="D28" s="3" t="s">
        <v>18</v>
      </c>
      <c r="E28" s="3" t="s">
        <v>39</v>
      </c>
      <c r="F28" s="3"/>
      <c r="G28" s="2" t="str">
        <f>HYPERLINK("https://vtmf.veevavault.com/ui/#doc_info/30837039/1/0", "VTMF-24850811")</f>
        <v>VTMF-24850811</v>
      </c>
      <c r="H28" s="3"/>
      <c r="I28" s="3" t="s">
        <v>40</v>
      </c>
      <c r="J28" s="3" t="s">
        <v>38</v>
      </c>
      <c r="K28" s="4">
        <v>46045.606990740736</v>
      </c>
      <c r="L28" s="5">
        <v>46045</v>
      </c>
      <c r="M28" s="3" t="s">
        <v>23</v>
      </c>
      <c r="N28" s="3" t="s">
        <v>41</v>
      </c>
      <c r="O28" s="3" t="s">
        <v>25</v>
      </c>
      <c r="P28" s="3" t="s">
        <v>414</v>
      </c>
      <c r="Q28" s="3" t="s">
        <v>27</v>
      </c>
    </row>
    <row r="29" spans="1:17" x14ac:dyDescent="0.35">
      <c r="A29" s="2" t="str">
        <f>HYPERLINK("https://vtmf.veevavault.com/ui/#doc_info/30831637/1/0", "77242113UCO3001-CZE-DD5-CZ10021-Acceptance of Investigator Brochure-20 Jan 2026 (v1.0)")</f>
        <v>77242113UCO3001-CZE-DD5-CZ10021-Acceptance of Investigator Brochure-20 Jan 2026 (v1.0)</v>
      </c>
      <c r="B29" s="3" t="s">
        <v>35</v>
      </c>
      <c r="C29" s="3" t="s">
        <v>18</v>
      </c>
      <c r="D29" s="3" t="s">
        <v>57</v>
      </c>
      <c r="E29" s="3" t="s">
        <v>92</v>
      </c>
      <c r="F29" s="3" t="s">
        <v>435</v>
      </c>
      <c r="G29" s="2" t="str">
        <f>HYPERLINK("https://vtmf.veevavault.com/ui/#doc_info/30831637/1/0", "VTMF-24846183")</f>
        <v>VTMF-24846183</v>
      </c>
      <c r="H29" s="3"/>
      <c r="I29" s="3" t="s">
        <v>22</v>
      </c>
      <c r="J29" s="3" t="s">
        <v>35</v>
      </c>
      <c r="K29" s="4">
        <v>46044.891250000001</v>
      </c>
      <c r="L29" s="5">
        <v>46044</v>
      </c>
      <c r="M29" s="3" t="s">
        <v>23</v>
      </c>
      <c r="N29" s="3" t="s">
        <v>67</v>
      </c>
      <c r="O29" s="3" t="s">
        <v>25</v>
      </c>
      <c r="P29" s="3" t="s">
        <v>414</v>
      </c>
      <c r="Q29" s="3" t="s">
        <v>27</v>
      </c>
    </row>
    <row r="30" spans="1:17" x14ac:dyDescent="0.35">
      <c r="A30" s="2" t="str">
        <f>HYPERLINK("https://vtmf.veevavault.com/ui/#doc_info/30831624/1/0", "77242113UCO3001-CZE-DD5-CZ10021-Certification of Electronic Signature-20 Jan 2026 (v1.0)")</f>
        <v>77242113UCO3001-CZE-DD5-CZ10021-Certification of Electronic Signature-20 Jan 2026 (v1.0)</v>
      </c>
      <c r="B30" s="3" t="s">
        <v>35</v>
      </c>
      <c r="C30" s="3" t="s">
        <v>84</v>
      </c>
      <c r="D30" s="3" t="s">
        <v>85</v>
      </c>
      <c r="E30" s="3" t="s">
        <v>86</v>
      </c>
      <c r="F30" s="3" t="s">
        <v>436</v>
      </c>
      <c r="G30" s="2" t="str">
        <f>HYPERLINK("https://vtmf.veevavault.com/ui/#doc_info/30831624/1/0", "VTMF-24846160")</f>
        <v>VTMF-24846160</v>
      </c>
      <c r="H30" s="3"/>
      <c r="I30" s="3" t="s">
        <v>22</v>
      </c>
      <c r="J30" s="3" t="s">
        <v>35</v>
      </c>
      <c r="K30" s="4">
        <v>46044.887418981481</v>
      </c>
      <c r="L30" s="5">
        <v>46044</v>
      </c>
      <c r="M30" s="3" t="s">
        <v>23</v>
      </c>
      <c r="N30" s="3" t="s">
        <v>60</v>
      </c>
      <c r="O30" s="3" t="s">
        <v>25</v>
      </c>
      <c r="P30" s="3" t="s">
        <v>414</v>
      </c>
      <c r="Q30" s="3" t="s">
        <v>27</v>
      </c>
    </row>
    <row r="31" spans="1:17" x14ac:dyDescent="0.35">
      <c r="A31" s="2" t="str">
        <f>HYPERLINK("https://vtmf.veevavault.com/ui/#doc_info/30828561/1/0", "77242113UCO3001-CZE-DD5-CZ10021-Principal Investigator Financial Disclosure Form-20 Jan 2026 (v1.0)")</f>
        <v>77242113UCO3001-CZE-DD5-CZ10021-Principal Investigator Financial Disclosure Form-20 Jan 2026 (v1.0)</v>
      </c>
      <c r="B31" s="3" t="s">
        <v>35</v>
      </c>
      <c r="C31" s="3" t="s">
        <v>18</v>
      </c>
      <c r="D31" s="3" t="s">
        <v>57</v>
      </c>
      <c r="E31" s="3" t="s">
        <v>98</v>
      </c>
      <c r="F31" s="3" t="s">
        <v>437</v>
      </c>
      <c r="G31" s="2" t="str">
        <f>HYPERLINK("https://vtmf.veevavault.com/ui/#doc_info/30828561/1/0", "VTMF-24843665")</f>
        <v>VTMF-24843665</v>
      </c>
      <c r="H31" s="3"/>
      <c r="I31" s="3" t="s">
        <v>22</v>
      </c>
      <c r="J31" s="3" t="s">
        <v>35</v>
      </c>
      <c r="K31" s="4">
        <v>46044.605104166672</v>
      </c>
      <c r="L31" s="5">
        <v>46044</v>
      </c>
      <c r="M31" s="3" t="s">
        <v>23</v>
      </c>
      <c r="N31" s="3" t="s">
        <v>100</v>
      </c>
      <c r="O31" s="3" t="s">
        <v>25</v>
      </c>
      <c r="P31" s="3" t="s">
        <v>414</v>
      </c>
      <c r="Q31" s="3" t="s">
        <v>27</v>
      </c>
    </row>
    <row r="32" spans="1:17" x14ac:dyDescent="0.35">
      <c r="A32" s="2" t="str">
        <f>HYPERLINK("https://vtmf.veevavault.com/ui/#doc_info/30831630/1/0", "77242113UCO3001-CZE-DD5-CZ10021-Protocol Signature Page-20 Jan 2026 (v1.0)")</f>
        <v>77242113UCO3001-CZE-DD5-CZ10021-Protocol Signature Page-20 Jan 2026 (v1.0)</v>
      </c>
      <c r="B32" s="3" t="s">
        <v>35</v>
      </c>
      <c r="C32" s="3" t="s">
        <v>18</v>
      </c>
      <c r="D32" s="3" t="s">
        <v>57</v>
      </c>
      <c r="E32" s="3" t="s">
        <v>101</v>
      </c>
      <c r="F32" s="3" t="s">
        <v>438</v>
      </c>
      <c r="G32" s="2" t="str">
        <f>HYPERLINK("https://vtmf.veevavault.com/ui/#doc_info/30831630/1/0", "VTMF-24846170")</f>
        <v>VTMF-24846170</v>
      </c>
      <c r="H32" s="3"/>
      <c r="I32" s="3" t="s">
        <v>22</v>
      </c>
      <c r="J32" s="3" t="s">
        <v>35</v>
      </c>
      <c r="K32" s="4">
        <v>46044.889305555553</v>
      </c>
      <c r="L32" s="5">
        <v>46044</v>
      </c>
      <c r="M32" s="3" t="s">
        <v>23</v>
      </c>
      <c r="N32" s="3" t="s">
        <v>103</v>
      </c>
      <c r="O32" s="3" t="s">
        <v>25</v>
      </c>
      <c r="P32" s="3" t="s">
        <v>414</v>
      </c>
      <c r="Q32" s="3" t="s">
        <v>27</v>
      </c>
    </row>
    <row r="33" spans="1:17" x14ac:dyDescent="0.35">
      <c r="A33" s="2" t="str">
        <f>HYPERLINK("https://vtmf.veevavault.com/ui/#doc_info/30827700/1/0", "77242113UCO3001-CZE-DD5-CZ10021-Site Signature Sheet-20 Jan 2026 (v1.0)")</f>
        <v>77242113UCO3001-CZE-DD5-CZ10021-Site Signature Sheet-20 Jan 2026 (v1.0)</v>
      </c>
      <c r="B33" s="3" t="s">
        <v>35</v>
      </c>
      <c r="C33" s="3" t="s">
        <v>18</v>
      </c>
      <c r="D33" s="3" t="s">
        <v>57</v>
      </c>
      <c r="E33" s="3" t="s">
        <v>104</v>
      </c>
      <c r="F33" s="3" t="s">
        <v>439</v>
      </c>
      <c r="G33" s="2" t="str">
        <f>HYPERLINK("https://vtmf.veevavault.com/ui/#doc_info/30827700/1/0", "VTMF-24843174")</f>
        <v>VTMF-24843174</v>
      </c>
      <c r="H33" s="3"/>
      <c r="I33" s="3" t="s">
        <v>22</v>
      </c>
      <c r="J33" s="3" t="s">
        <v>35</v>
      </c>
      <c r="K33" s="4">
        <v>46044.540729166663</v>
      </c>
      <c r="L33" s="5">
        <v>46044</v>
      </c>
      <c r="M33" s="3" t="s">
        <v>23</v>
      </c>
      <c r="N33" s="3" t="s">
        <v>106</v>
      </c>
      <c r="O33" s="3" t="s">
        <v>25</v>
      </c>
      <c r="P33" s="3" t="s">
        <v>414</v>
      </c>
      <c r="Q33" s="3" t="s">
        <v>27</v>
      </c>
    </row>
    <row r="34" spans="1:17" x14ac:dyDescent="0.35">
      <c r="A34" s="2" t="str">
        <f>HYPERLINK("https://vtmf.veevavault.com/ui/#doc_info/30831642/1/0", "77242113UCO3001-CZE-DD5-CZ10021-Source Data-20 Jan 2026 (v1.0)")</f>
        <v>77242113UCO3001-CZE-DD5-CZ10021-Source Data-20 Jan 2026 (v1.0)</v>
      </c>
      <c r="B34" s="3" t="s">
        <v>35</v>
      </c>
      <c r="C34" s="3" t="s">
        <v>18</v>
      </c>
      <c r="D34" s="3" t="s">
        <v>18</v>
      </c>
      <c r="E34" s="3" t="s">
        <v>88</v>
      </c>
      <c r="F34" s="3" t="s">
        <v>440</v>
      </c>
      <c r="G34" s="2" t="str">
        <f>HYPERLINK("https://vtmf.veevavault.com/ui/#doc_info/30831642/1/0", "VTMF-24846193")</f>
        <v>VTMF-24846193</v>
      </c>
      <c r="H34" s="3"/>
      <c r="I34" s="3" t="s">
        <v>22</v>
      </c>
      <c r="J34" s="3" t="s">
        <v>35</v>
      </c>
      <c r="K34" s="4">
        <v>46044.893310185187</v>
      </c>
      <c r="L34" s="5">
        <v>46044</v>
      </c>
      <c r="M34" s="3" t="s">
        <v>23</v>
      </c>
      <c r="N34" s="3" t="s">
        <v>60</v>
      </c>
      <c r="O34" s="3" t="s">
        <v>25</v>
      </c>
      <c r="P34" s="3" t="s">
        <v>414</v>
      </c>
      <c r="Q34" s="3" t="s">
        <v>27</v>
      </c>
    </row>
    <row r="35" spans="1:17" x14ac:dyDescent="0.35">
      <c r="A35" s="2" t="str">
        <f>HYPERLINK("https://vtmf.veevavault.com/ui/#doc_info/30773986/1/0", "77242113UCO3001-CZE-DD5-CZ10021-Source Data-14 Jan 2026 (v1.0)")</f>
        <v>77242113UCO3001-CZE-DD5-CZ10021-Source Data-14 Jan 2026 (v1.0)</v>
      </c>
      <c r="B35" s="3" t="s">
        <v>107</v>
      </c>
      <c r="C35" s="3" t="s">
        <v>18</v>
      </c>
      <c r="D35" s="3" t="s">
        <v>18</v>
      </c>
      <c r="E35" s="3" t="s">
        <v>88</v>
      </c>
      <c r="F35" s="3" t="s">
        <v>108</v>
      </c>
      <c r="G35" s="2" t="str">
        <f>HYPERLINK("https://vtmf.veevavault.com/ui/#doc_info/30773986/1/0", "VTMF-24798967")</f>
        <v>VTMF-24798967</v>
      </c>
      <c r="H35" s="3"/>
      <c r="I35" s="3" t="s">
        <v>22</v>
      </c>
      <c r="J35" s="3" t="s">
        <v>107</v>
      </c>
      <c r="K35" s="4">
        <v>46036.356446759259</v>
      </c>
      <c r="L35" s="5">
        <v>46037</v>
      </c>
      <c r="M35" s="3" t="s">
        <v>23</v>
      </c>
      <c r="N35" s="3" t="s">
        <v>60</v>
      </c>
      <c r="O35" s="3" t="s">
        <v>25</v>
      </c>
      <c r="P35" s="3" t="s">
        <v>414</v>
      </c>
      <c r="Q35" s="3" t="s">
        <v>27</v>
      </c>
    </row>
    <row r="36" spans="1:17" x14ac:dyDescent="0.35">
      <c r="A36" s="2" t="str">
        <f>HYPERLINK("https://vtmf.veevavault.com/ui/#doc_info/30767435/1/0", "77242113UCO3001-CZE-DD5-CZ10021-Electronic Source Data Compliance Assessment Questionnaire (ESDCAQ)- (v1.0)")</f>
        <v>77242113UCO3001-CZE-DD5-CZ10021-Electronic Source Data Compliance Assessment Questionnaire (ESDCAQ)- (v1.0)</v>
      </c>
      <c r="B36" s="3" t="s">
        <v>114</v>
      </c>
      <c r="C36" s="3" t="s">
        <v>18</v>
      </c>
      <c r="D36" s="3" t="s">
        <v>57</v>
      </c>
      <c r="E36" s="3" t="s">
        <v>115</v>
      </c>
      <c r="F36" s="3" t="s">
        <v>116</v>
      </c>
      <c r="G36" s="2" t="str">
        <f>HYPERLINK("https://vtmf.veevavault.com/ui/#doc_info/30767435/1/0", "VTMF-24792871")</f>
        <v>VTMF-24792871</v>
      </c>
      <c r="H36" s="3"/>
      <c r="I36" s="3" t="s">
        <v>22</v>
      </c>
      <c r="J36" s="3" t="s">
        <v>114</v>
      </c>
      <c r="K36" s="4">
        <v>46035.472939814812</v>
      </c>
      <c r="L36" s="5">
        <v>46035</v>
      </c>
      <c r="M36" s="3" t="s">
        <v>23</v>
      </c>
      <c r="N36" s="3" t="s">
        <v>118</v>
      </c>
      <c r="O36" s="3" t="s">
        <v>25</v>
      </c>
      <c r="P36" s="3" t="s">
        <v>414</v>
      </c>
      <c r="Q36" s="3" t="s">
        <v>27</v>
      </c>
    </row>
    <row r="37" spans="1:17" x14ac:dyDescent="0.35">
      <c r="A37" s="2" t="str">
        <f>HYPERLINK("https://vtmf.veevavault.com/ui/#doc_info/30748591/1/0", "77242113UCO3001-CZE-DD5-CZ10021-Site Confirmation Letter-SIVR_CL-14 Jan 2026 (v1.0)")</f>
        <v>77242113UCO3001-CZE-DD5-CZ10021-Site Confirmation Letter-SIVR_CL-14 Jan 2026 (v1.0)</v>
      </c>
      <c r="B37" s="3" t="s">
        <v>38</v>
      </c>
      <c r="C37" s="3" t="s">
        <v>18</v>
      </c>
      <c r="D37" s="3" t="s">
        <v>18</v>
      </c>
      <c r="E37" s="3" t="s">
        <v>47</v>
      </c>
      <c r="F37" s="3"/>
      <c r="G37" s="2" t="str">
        <f>HYPERLINK("https://vtmf.veevavault.com/ui/#doc_info/30748591/1/0", "VTMF-24776793")</f>
        <v>VTMF-24776793</v>
      </c>
      <c r="H37" s="3"/>
      <c r="I37" s="3" t="s">
        <v>40</v>
      </c>
      <c r="J37" s="3" t="s">
        <v>38</v>
      </c>
      <c r="K37" s="4">
        <v>46031.563287037039</v>
      </c>
      <c r="L37" s="5">
        <v>46031</v>
      </c>
      <c r="M37" s="3" t="s">
        <v>23</v>
      </c>
      <c r="N37" s="3" t="s">
        <v>41</v>
      </c>
      <c r="O37" s="3" t="s">
        <v>25</v>
      </c>
      <c r="P37" s="3" t="s">
        <v>414</v>
      </c>
      <c r="Q37" s="3" t="s">
        <v>27</v>
      </c>
    </row>
    <row r="38" spans="1:17" x14ac:dyDescent="0.35">
      <c r="A38" s="2" t="str">
        <f>HYPERLINK("https://vtmf.veevavault.com/ui/#doc_info/30747374/1/0", "77242113UCO3001-CZE-DD5-CZ10021-Site Training Documentation-09 Jun 2025 (v1.0)")</f>
        <v>77242113UCO3001-CZE-DD5-CZ10021-Site Training Documentation-09 Jun 2025 (v1.0)</v>
      </c>
      <c r="B38" s="3" t="s">
        <v>56</v>
      </c>
      <c r="C38" s="3" t="s">
        <v>18</v>
      </c>
      <c r="D38" s="3" t="s">
        <v>68</v>
      </c>
      <c r="E38" s="3" t="s">
        <v>69</v>
      </c>
      <c r="F38" s="3" t="s">
        <v>441</v>
      </c>
      <c r="G38" s="2" t="str">
        <f>HYPERLINK("https://vtmf.veevavault.com/ui/#doc_info/30747374/1/0", "VTMF-24775706")</f>
        <v>VTMF-24775706</v>
      </c>
      <c r="H38" s="3"/>
      <c r="I38" s="3" t="s">
        <v>22</v>
      </c>
      <c r="J38" s="3" t="s">
        <v>56</v>
      </c>
      <c r="K38" s="4">
        <v>46031.417002314818</v>
      </c>
      <c r="L38" s="5">
        <v>46031</v>
      </c>
      <c r="M38" s="3" t="s">
        <v>23</v>
      </c>
      <c r="N38" s="3" t="s">
        <v>60</v>
      </c>
      <c r="O38" s="3" t="s">
        <v>25</v>
      </c>
      <c r="P38" s="3" t="s">
        <v>414</v>
      </c>
      <c r="Q38" s="3" t="s">
        <v>27</v>
      </c>
    </row>
    <row r="39" spans="1:17" x14ac:dyDescent="0.35">
      <c r="A39" s="2" t="str">
        <f>HYPERLINK("https://vtmf.veevavault.com/ui/#doc_info/30747334/1/0", "77242113UCO3001-CZE-DD5-CZ10021-Site Training Documentation-26 Nov 2025 (v1.0)")</f>
        <v>77242113UCO3001-CZE-DD5-CZ10021-Site Training Documentation-26 Nov 2025 (v1.0)</v>
      </c>
      <c r="B39" s="3" t="s">
        <v>56</v>
      </c>
      <c r="C39" s="3" t="s">
        <v>18</v>
      </c>
      <c r="D39" s="3" t="s">
        <v>68</v>
      </c>
      <c r="E39" s="3" t="s">
        <v>69</v>
      </c>
      <c r="F39" s="3" t="s">
        <v>442</v>
      </c>
      <c r="G39" s="2" t="str">
        <f>HYPERLINK("https://vtmf.veevavault.com/ui/#doc_info/30747334/1/0", "VTMF-24775651")</f>
        <v>VTMF-24775651</v>
      </c>
      <c r="H39" s="3"/>
      <c r="I39" s="3" t="s">
        <v>22</v>
      </c>
      <c r="J39" s="3" t="s">
        <v>56</v>
      </c>
      <c r="K39" s="4">
        <v>46031.409722222219</v>
      </c>
      <c r="L39" s="5">
        <v>46031</v>
      </c>
      <c r="M39" s="3" t="s">
        <v>23</v>
      </c>
      <c r="N39" s="3" t="s">
        <v>60</v>
      </c>
      <c r="O39" s="3" t="s">
        <v>25</v>
      </c>
      <c r="P39" s="3" t="s">
        <v>414</v>
      </c>
      <c r="Q39" s="3" t="s">
        <v>27</v>
      </c>
    </row>
    <row r="40" spans="1:17" x14ac:dyDescent="0.35">
      <c r="A40" s="2" t="str">
        <f>HYPERLINK("https://vtmf.veevavault.com/ui/#doc_info/30747344/1/0", "77242113UCO3001-CZE-DD5-CZ10021-Site Training Documentation-26 Nov 2025 (v1.0)")</f>
        <v>77242113UCO3001-CZE-DD5-CZ10021-Site Training Documentation-26 Nov 2025 (v1.0)</v>
      </c>
      <c r="B40" s="3" t="s">
        <v>56</v>
      </c>
      <c r="C40" s="3" t="s">
        <v>18</v>
      </c>
      <c r="D40" s="3" t="s">
        <v>68</v>
      </c>
      <c r="E40" s="3" t="s">
        <v>69</v>
      </c>
      <c r="F40" s="3" t="s">
        <v>443</v>
      </c>
      <c r="G40" s="2" t="str">
        <f>HYPERLINK("https://vtmf.veevavault.com/ui/#doc_info/30747344/1/0", "VTMF-24775663")</f>
        <v>VTMF-24775663</v>
      </c>
      <c r="H40" s="3"/>
      <c r="I40" s="3" t="s">
        <v>22</v>
      </c>
      <c r="J40" s="3" t="s">
        <v>56</v>
      </c>
      <c r="K40" s="4">
        <v>46031.411354166667</v>
      </c>
      <c r="L40" s="5">
        <v>46031</v>
      </c>
      <c r="M40" s="3" t="s">
        <v>23</v>
      </c>
      <c r="N40" s="3" t="s">
        <v>60</v>
      </c>
      <c r="O40" s="3" t="s">
        <v>25</v>
      </c>
      <c r="P40" s="3" t="s">
        <v>414</v>
      </c>
      <c r="Q40" s="3" t="s">
        <v>27</v>
      </c>
    </row>
    <row r="41" spans="1:17" x14ac:dyDescent="0.35">
      <c r="A41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41" s="3" t="s">
        <v>119</v>
      </c>
      <c r="C41" s="3" t="s">
        <v>48</v>
      </c>
      <c r="D41" s="3" t="s">
        <v>19</v>
      </c>
      <c r="E41" s="3" t="s">
        <v>20</v>
      </c>
      <c r="F41" s="3" t="s">
        <v>120</v>
      </c>
      <c r="G41" s="2" t="str">
        <f>HYPERLINK("https://vtmf.veevavault.com/ui/#doc_info/29980647/1/0", "VTMF-24136357")</f>
        <v>VTMF-24136357</v>
      </c>
      <c r="H41" s="3"/>
      <c r="I41" s="3" t="s">
        <v>22</v>
      </c>
      <c r="J41" s="3" t="s">
        <v>119</v>
      </c>
      <c r="K41" s="4">
        <v>45918.85465277778</v>
      </c>
      <c r="L41" s="5">
        <v>45919</v>
      </c>
      <c r="M41" s="3" t="s">
        <v>23</v>
      </c>
      <c r="N41" s="3" t="s">
        <v>121</v>
      </c>
      <c r="O41" s="3" t="s">
        <v>122</v>
      </c>
      <c r="P41" s="3" t="s">
        <v>123</v>
      </c>
      <c r="Q41" s="3" t="s">
        <v>27</v>
      </c>
    </row>
    <row r="42" spans="1:17" x14ac:dyDescent="0.35">
      <c r="A42" s="2" t="str">
        <f>HYPERLINK("https://vtmf.veevavault.com/ui/#doc_info/29959826/1/0", "77242113UCO3001-CZE-DD5-CZ10021-Site Training Documentation-15 Sep 2025 (v1.0)")</f>
        <v>77242113UCO3001-CZE-DD5-CZ10021-Site Training Documentation-15 Sep 2025 (v1.0)</v>
      </c>
      <c r="B42" s="3" t="s">
        <v>94</v>
      </c>
      <c r="C42" s="3" t="s">
        <v>18</v>
      </c>
      <c r="D42" s="3" t="s">
        <v>68</v>
      </c>
      <c r="E42" s="3" t="s">
        <v>69</v>
      </c>
      <c r="F42" s="3" t="s">
        <v>444</v>
      </c>
      <c r="G42" s="2" t="str">
        <f>HYPERLINK("https://vtmf.veevavault.com/ui/#doc_info/29959826/1/0", "VTMF-24118767")</f>
        <v>VTMF-24118767</v>
      </c>
      <c r="H42" s="3"/>
      <c r="I42" s="3" t="s">
        <v>22</v>
      </c>
      <c r="J42" s="3" t="s">
        <v>94</v>
      </c>
      <c r="K42" s="4">
        <v>45916.527604166673</v>
      </c>
      <c r="L42" s="5">
        <v>45916</v>
      </c>
      <c r="M42" s="3" t="s">
        <v>23</v>
      </c>
      <c r="N42" s="3" t="s">
        <v>60</v>
      </c>
      <c r="O42" s="3" t="s">
        <v>25</v>
      </c>
      <c r="P42" s="3" t="s">
        <v>414</v>
      </c>
      <c r="Q42" s="3" t="s">
        <v>27</v>
      </c>
    </row>
    <row r="43" spans="1:17" x14ac:dyDescent="0.35">
      <c r="A43" s="2" t="str">
        <f>HYPERLINK("https://vtmf.veevavault.com/ui/#doc_info/29737065/2/0", "77242113UCO3001-CZE-DD5-CZ10021-Site/Staff Qualification Supporting Information (v2.0)")</f>
        <v>77242113UCO3001-CZE-DD5-CZ10021-Site/Staff Qualification Supporting Information (v2.0)</v>
      </c>
      <c r="B43" s="3" t="s">
        <v>94</v>
      </c>
      <c r="C43" s="3" t="s">
        <v>18</v>
      </c>
      <c r="D43" s="3" t="s">
        <v>57</v>
      </c>
      <c r="E43" s="3" t="s">
        <v>124</v>
      </c>
      <c r="F43" s="3" t="s">
        <v>445</v>
      </c>
      <c r="G43" s="2" t="str">
        <f>HYPERLINK("https://vtmf.veevavault.com/ui/#doc_info/29737065/2/0", "VTMF-23927986")</f>
        <v>VTMF-23927986</v>
      </c>
      <c r="H43" s="3"/>
      <c r="I43" s="3" t="s">
        <v>126</v>
      </c>
      <c r="J43" s="3" t="s">
        <v>94</v>
      </c>
      <c r="K43" s="4">
        <v>45880.397245370368</v>
      </c>
      <c r="L43" s="5">
        <v>45880</v>
      </c>
      <c r="M43" s="3" t="s">
        <v>23</v>
      </c>
      <c r="N43" s="3" t="s">
        <v>60</v>
      </c>
      <c r="O43" s="3" t="s">
        <v>25</v>
      </c>
      <c r="P43" s="3" t="s">
        <v>414</v>
      </c>
      <c r="Q43" s="3" t="s">
        <v>27</v>
      </c>
    </row>
    <row r="44" spans="1:17" x14ac:dyDescent="0.35">
      <c r="A44" s="2" t="str">
        <f>HYPERLINK("https://vtmf.veevavault.com/ui/#doc_info/29737067/1/0", "77242113UCO3001-CZE-DD5-CZ10021-Principal Investigator Financial Disclosure Form-16 Jun 2025 (v1.0)")</f>
        <v>77242113UCO3001-CZE-DD5-CZ10021-Principal Investigator Financial Disclosure Form-16 Jun 2025 (v1.0)</v>
      </c>
      <c r="B44" s="3" t="s">
        <v>94</v>
      </c>
      <c r="C44" s="3" t="s">
        <v>18</v>
      </c>
      <c r="D44" s="3" t="s">
        <v>57</v>
      </c>
      <c r="E44" s="3" t="s">
        <v>98</v>
      </c>
      <c r="F44" s="3" t="s">
        <v>446</v>
      </c>
      <c r="G44" s="2" t="str">
        <f>HYPERLINK("https://vtmf.veevavault.com/ui/#doc_info/29737067/1/0", "VTMF-23927988")</f>
        <v>VTMF-23927988</v>
      </c>
      <c r="H44" s="3"/>
      <c r="I44" s="3" t="s">
        <v>126</v>
      </c>
      <c r="J44" s="3" t="s">
        <v>94</v>
      </c>
      <c r="K44" s="4">
        <v>45879.841967592591</v>
      </c>
      <c r="L44" s="5">
        <v>45879</v>
      </c>
      <c r="M44" s="3" t="s">
        <v>23</v>
      </c>
      <c r="N44" s="3" t="s">
        <v>100</v>
      </c>
      <c r="O44" s="3" t="s">
        <v>25</v>
      </c>
      <c r="P44" s="3" t="s">
        <v>414</v>
      </c>
      <c r="Q44" s="3" t="s">
        <v>27</v>
      </c>
    </row>
    <row r="45" spans="1:17" x14ac:dyDescent="0.35">
      <c r="A45" s="2" t="str">
        <f>HYPERLINK("https://vtmf.veevavault.com/ui/#doc_info/29737125/1/0", "77242113UCO3001-CZE-DD5-CZ10021-Site/Staff Qualification Supporting Information (v1.0)")</f>
        <v>77242113UCO3001-CZE-DD5-CZ10021-Site/Staff Qualification Supporting Information (v1.0)</v>
      </c>
      <c r="B45" s="3" t="s">
        <v>94</v>
      </c>
      <c r="C45" s="3" t="s">
        <v>18</v>
      </c>
      <c r="D45" s="3" t="s">
        <v>57</v>
      </c>
      <c r="E45" s="3" t="s">
        <v>124</v>
      </c>
      <c r="F45" s="3" t="s">
        <v>447</v>
      </c>
      <c r="G45" s="2" t="str">
        <f>HYPERLINK("https://vtmf.veevavault.com/ui/#doc_info/29737125/1/0", "VTMF-23927979")</f>
        <v>VTMF-23927979</v>
      </c>
      <c r="H45" s="3"/>
      <c r="I45" s="3" t="s">
        <v>126</v>
      </c>
      <c r="J45" s="3" t="s">
        <v>94</v>
      </c>
      <c r="K45" s="4">
        <v>45879.831747685188</v>
      </c>
      <c r="L45" s="5">
        <v>45879</v>
      </c>
      <c r="M45" s="3" t="s">
        <v>23</v>
      </c>
      <c r="N45" s="3" t="s">
        <v>60</v>
      </c>
      <c r="O45" s="3" t="s">
        <v>25</v>
      </c>
      <c r="P45" s="3" t="s">
        <v>414</v>
      </c>
      <c r="Q45" s="3" t="s">
        <v>27</v>
      </c>
    </row>
    <row r="46" spans="1:17" x14ac:dyDescent="0.35">
      <c r="A46" s="2" t="str">
        <f>HYPERLINK("https://vtmf.veevavault.com/ui/#doc_info/29387835/1/0", "77242113UCO3001-CZE-DD5-CZ10021-Feasibility Documentation-19 Jun 2025 (v1.0)")</f>
        <v>77242113UCO3001-CZE-DD5-CZ10021-Feasibility Documentation-19 Jun 2025 (v1.0)</v>
      </c>
      <c r="B46" s="3" t="s">
        <v>94</v>
      </c>
      <c r="C46" s="3" t="s">
        <v>18</v>
      </c>
      <c r="D46" s="3" t="s">
        <v>131</v>
      </c>
      <c r="E46" s="3" t="s">
        <v>132</v>
      </c>
      <c r="F46" s="3" t="s">
        <v>448</v>
      </c>
      <c r="G46" s="2" t="str">
        <f>HYPERLINK("https://vtmf.veevavault.com/ui/#doc_info/29387835/1/0", "VTMF-23627144")</f>
        <v>VTMF-23627144</v>
      </c>
      <c r="H46" s="3"/>
      <c r="I46" s="3" t="s">
        <v>22</v>
      </c>
      <c r="J46" s="3" t="s">
        <v>94</v>
      </c>
      <c r="K46" s="4">
        <v>45827.479942129627</v>
      </c>
      <c r="L46" s="5">
        <v>45827</v>
      </c>
      <c r="M46" s="3" t="s">
        <v>23</v>
      </c>
      <c r="N46" s="3" t="s">
        <v>60</v>
      </c>
      <c r="O46" s="3" t="s">
        <v>25</v>
      </c>
      <c r="P46" s="3" t="s">
        <v>414</v>
      </c>
      <c r="Q46" s="3" t="s">
        <v>27</v>
      </c>
    </row>
    <row r="47" spans="1:17" x14ac:dyDescent="0.35">
      <c r="A47" s="2" t="str">
        <f>HYPERLINK("https://vtmf.veevavault.com/ui/#doc_info/29246639/1/0", "77242113UCO3001-CZE-DD5-CZ10021-Monitoring Visit Follow-up Letter-SQVR_FL-21 May 2025 (v1.0)")</f>
        <v>77242113UCO3001-CZE-DD5-CZ10021-Monitoring Visit Follow-up Letter-SQVR_FL-21 May 2025 (v1.0)</v>
      </c>
      <c r="B47" s="3" t="s">
        <v>38</v>
      </c>
      <c r="C47" s="3" t="s">
        <v>18</v>
      </c>
      <c r="D47" s="3" t="s">
        <v>18</v>
      </c>
      <c r="E47" s="3" t="s">
        <v>39</v>
      </c>
      <c r="F47" s="3"/>
      <c r="G47" s="2" t="str">
        <f>HYPERLINK("https://vtmf.veevavault.com/ui/#doc_info/29246639/1/0", "VTMF-23508340")</f>
        <v>VTMF-23508340</v>
      </c>
      <c r="H47" s="3"/>
      <c r="I47" s="3" t="s">
        <v>40</v>
      </c>
      <c r="J47" s="3" t="s">
        <v>38</v>
      </c>
      <c r="K47" s="4">
        <v>45810.77752314815</v>
      </c>
      <c r="L47" s="5">
        <v>45810</v>
      </c>
      <c r="M47" s="3" t="s">
        <v>23</v>
      </c>
      <c r="N47" s="3" t="s">
        <v>41</v>
      </c>
      <c r="O47" s="3" t="s">
        <v>25</v>
      </c>
      <c r="P47" s="3" t="s">
        <v>414</v>
      </c>
      <c r="Q47" s="3" t="s">
        <v>27</v>
      </c>
    </row>
    <row r="48" spans="1:17" x14ac:dyDescent="0.35">
      <c r="A48" s="2" t="str">
        <f>HYPERLINK("https://vtmf.veevavault.com/ui/#doc_info/29230388/1/0", "77242113UCO3001-CZE-DD5-CZ10021-Pre Trial Monitoring Report-21 May 2025 (v1.0)")</f>
        <v>77242113UCO3001-CZE-DD5-CZ10021-Pre Trial Monitoring Report-21 May 2025 (v1.0)</v>
      </c>
      <c r="B48" s="3" t="s">
        <v>38</v>
      </c>
      <c r="C48" s="3" t="s">
        <v>18</v>
      </c>
      <c r="D48" s="3" t="s">
        <v>131</v>
      </c>
      <c r="E48" s="3" t="s">
        <v>134</v>
      </c>
      <c r="F48" s="3"/>
      <c r="G48" s="2" t="str">
        <f>HYPERLINK("https://vtmf.veevavault.com/ui/#doc_info/29230388/1/0", "VTMF-23494375")</f>
        <v>VTMF-23494375</v>
      </c>
      <c r="H48" s="3"/>
      <c r="I48" s="3" t="s">
        <v>40</v>
      </c>
      <c r="J48" s="3" t="s">
        <v>38</v>
      </c>
      <c r="K48" s="4">
        <v>45806.979351851849</v>
      </c>
      <c r="L48" s="5">
        <v>45806</v>
      </c>
      <c r="M48" s="3" t="s">
        <v>23</v>
      </c>
      <c r="N48" s="3" t="s">
        <v>97</v>
      </c>
      <c r="O48" s="3" t="s">
        <v>25</v>
      </c>
      <c r="P48" s="3" t="s">
        <v>414</v>
      </c>
      <c r="Q48" s="3" t="s">
        <v>27</v>
      </c>
    </row>
    <row r="49" spans="1:17" x14ac:dyDescent="0.35">
      <c r="A49" s="2" t="str">
        <f>HYPERLINK("https://vtmf.veevavault.com/ui/#doc_info/29173987/1/0", "77242113UCO3001-CZE-DD5-CZ10021-Site Confirmation Letter-SQVR_CL-21 May 2025 (v1.0)")</f>
        <v>77242113UCO3001-CZE-DD5-CZ10021-Site Confirmation Letter-SQVR_CL-21 May 2025 (v1.0)</v>
      </c>
      <c r="B49" s="3" t="s">
        <v>38</v>
      </c>
      <c r="C49" s="3" t="s">
        <v>18</v>
      </c>
      <c r="D49" s="3" t="s">
        <v>18</v>
      </c>
      <c r="E49" s="3" t="s">
        <v>47</v>
      </c>
      <c r="F49" s="3"/>
      <c r="G49" s="2" t="str">
        <f>HYPERLINK("https://vtmf.veevavault.com/ui/#doc_info/29173987/1/0", "VTMF-23448239")</f>
        <v>VTMF-23448239</v>
      </c>
      <c r="H49" s="3"/>
      <c r="I49" s="3" t="s">
        <v>40</v>
      </c>
      <c r="J49" s="3" t="s">
        <v>38</v>
      </c>
      <c r="K49" s="4">
        <v>45798.969189814823</v>
      </c>
      <c r="L49" s="5">
        <v>45798</v>
      </c>
      <c r="M49" s="3" t="s">
        <v>23</v>
      </c>
      <c r="N49" s="3" t="s">
        <v>41</v>
      </c>
      <c r="O49" s="3" t="s">
        <v>25</v>
      </c>
      <c r="P49" s="3" t="s">
        <v>414</v>
      </c>
      <c r="Q49" s="3" t="s">
        <v>27</v>
      </c>
    </row>
    <row r="50" spans="1:17" x14ac:dyDescent="0.35">
      <c r="A50" s="2" t="str">
        <f>HYPERLINK("https://vtmf.veevavault.com/ui/#doc_info/29155108/1/0", "77242113CRD3001-CZE-DD6-CZ10021-Confidentiality Agreement-10 May 2023 (v1.0)")</f>
        <v>77242113CRD3001-CZE-DD6-CZ10021-Confidentiality Agreement-10 May 2023 (v1.0)</v>
      </c>
      <c r="B50" s="3" t="s">
        <v>409</v>
      </c>
      <c r="C50" s="3" t="s">
        <v>18</v>
      </c>
      <c r="D50" s="3" t="s">
        <v>131</v>
      </c>
      <c r="E50" s="3" t="s">
        <v>269</v>
      </c>
      <c r="F50" s="3" t="s">
        <v>449</v>
      </c>
      <c r="G50" s="2" t="str">
        <f>HYPERLINK("https://vtmf.veevavault.com/ui/#doc_info/29155108/1/0", "VTMF-23430938")</f>
        <v>VTMF-23430938</v>
      </c>
      <c r="H50" s="3"/>
      <c r="I50" s="3" t="s">
        <v>409</v>
      </c>
      <c r="J50" s="3" t="s">
        <v>409</v>
      </c>
      <c r="K50" s="4">
        <v>45797.624062499999</v>
      </c>
      <c r="L50" s="5">
        <v>45797</v>
      </c>
      <c r="M50" s="3" t="s">
        <v>23</v>
      </c>
      <c r="N50" s="3" t="s">
        <v>97</v>
      </c>
      <c r="O50" s="3" t="s">
        <v>81</v>
      </c>
      <c r="P50" s="3" t="s">
        <v>450</v>
      </c>
      <c r="Q50" s="3" t="s">
        <v>83</v>
      </c>
    </row>
    <row r="51" spans="1:17" x14ac:dyDescent="0.35">
      <c r="A51" s="2" t="str">
        <f>HYPERLINK("https://vtmf.veevavault.com/ui/#doc_info/31488321/1/0", "77242113UCO3001-CZE-DD5-CZ10021-Site Confirmation Letter-SMVR_CL-22 Apr 2026 (v1.0)")</f>
        <v>77242113UCO3001-CZE-DD5-CZ10021-Site Confirmation Letter-SMVR_CL-22 Apr 2026 (v1.0)</v>
      </c>
      <c r="B51" s="3" t="s">
        <v>38</v>
      </c>
      <c r="C51" s="3" t="s">
        <v>18</v>
      </c>
      <c r="D51" s="3" t="s">
        <v>18</v>
      </c>
      <c r="E51" s="3" t="s">
        <v>47</v>
      </c>
      <c r="F51" s="3"/>
      <c r="G51" s="2" t="str">
        <f>HYPERLINK("https://vtmf.veevavault.com/ui/#doc_info/31488321/1/0", "VTMF-25409218")</f>
        <v>VTMF-25409218</v>
      </c>
      <c r="H51" s="3"/>
      <c r="I51" s="3" t="s">
        <v>40</v>
      </c>
      <c r="J51" s="3" t="s">
        <v>38</v>
      </c>
      <c r="K51" s="4">
        <v>46132.439780092587</v>
      </c>
      <c r="L51" s="5"/>
      <c r="M51" s="3" t="s">
        <v>23</v>
      </c>
      <c r="N51" s="3" t="s">
        <v>41</v>
      </c>
      <c r="O51" s="3" t="s">
        <v>25</v>
      </c>
      <c r="P51" s="3" t="s">
        <v>414</v>
      </c>
      <c r="Q51" s="3" t="s">
        <v>27</v>
      </c>
    </row>
  </sheetData>
  <autoFilter ref="A1:Q51" xr:uid="{00000000-0009-0000-0000-00000A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Q91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HYPERLINK("https://vtmf.veevavault.com/ui/#doc_info/31451514/1/0", "77242113UCO3001-CZE-DD5-CZ10022-Non-IP Shipment Documentation-13 Apr 2026 (v1.0)")</f>
        <v>77242113UCO3001-CZE-DD5-CZ10022-Non-IP Shipment Documentation-13 Apr 2026 (v1.0)</v>
      </c>
      <c r="B2" s="3" t="s">
        <v>17</v>
      </c>
      <c r="C2" s="3" t="s">
        <v>28</v>
      </c>
      <c r="D2" s="3" t="s">
        <v>29</v>
      </c>
      <c r="E2" s="3" t="s">
        <v>30</v>
      </c>
      <c r="F2" s="3" t="s">
        <v>211</v>
      </c>
      <c r="G2" s="2" t="str">
        <f>HYPERLINK("https://vtmf.veevavault.com/ui/#doc_info/31451514/1/0", "VTMF-25378027")</f>
        <v>VTMF-25378027</v>
      </c>
      <c r="H2" s="3"/>
      <c r="I2" s="3" t="s">
        <v>22</v>
      </c>
      <c r="J2" s="3" t="s">
        <v>17</v>
      </c>
      <c r="K2" s="4">
        <v>46126.643854166658</v>
      </c>
      <c r="L2" s="5">
        <v>46127</v>
      </c>
      <c r="M2" s="3" t="s">
        <v>23</v>
      </c>
      <c r="N2" s="3" t="s">
        <v>32</v>
      </c>
      <c r="O2" s="3" t="s">
        <v>25</v>
      </c>
      <c r="P2" s="3" t="s">
        <v>451</v>
      </c>
      <c r="Q2" s="3" t="s">
        <v>27</v>
      </c>
    </row>
    <row r="3" spans="1:17" x14ac:dyDescent="0.35">
      <c r="A3" s="2" t="str">
        <f>HYPERLINK("https://vtmf.veevavault.com/ui/#doc_info/31460166/1/0", "77242113UCO3001-CZE-DD5-CZ10022-Relevant Communications-25 Mar 2026 (v1.0)")</f>
        <v>77242113UCO3001-CZE-DD5-CZ10022-Relevant Communications-25 Mar 2026 (v1.0)</v>
      </c>
      <c r="B3" s="3" t="s">
        <v>176</v>
      </c>
      <c r="C3" s="3" t="s">
        <v>18</v>
      </c>
      <c r="D3" s="3" t="s">
        <v>19</v>
      </c>
      <c r="E3" s="3" t="s">
        <v>20</v>
      </c>
      <c r="F3" s="3" t="s">
        <v>452</v>
      </c>
      <c r="G3" s="2" t="str">
        <f>HYPERLINK("https://vtmf.veevavault.com/ui/#doc_info/31460166/1/0", "VTMF-25385452")</f>
        <v>VTMF-25385452</v>
      </c>
      <c r="H3" s="3"/>
      <c r="I3" s="3" t="s">
        <v>22</v>
      </c>
      <c r="J3" s="3" t="s">
        <v>176</v>
      </c>
      <c r="K3" s="4">
        <v>46127.625173611108</v>
      </c>
      <c r="L3" s="5">
        <v>46127</v>
      </c>
      <c r="M3" s="3" t="s">
        <v>23</v>
      </c>
      <c r="N3" s="3" t="s">
        <v>24</v>
      </c>
      <c r="O3" s="3" t="s">
        <v>25</v>
      </c>
      <c r="P3" s="3" t="s">
        <v>451</v>
      </c>
      <c r="Q3" s="3" t="s">
        <v>27</v>
      </c>
    </row>
    <row r="4" spans="1:17" x14ac:dyDescent="0.35">
      <c r="A4" s="2" t="str">
        <f>HYPERLINK("https://vtmf.veevavault.com/ui/#doc_info/31286593/1/0", "77242113UCO3001-CZE-DD5-CZ10022-Non-IP Shipment Documentation-06 Mar 2026 (v1.0)")</f>
        <v>77242113UCO3001-CZE-DD5-CZ10022-Non-IP Shipment Documentation-06 Mar 2026 (v1.0)</v>
      </c>
      <c r="B4" s="3" t="s">
        <v>17</v>
      </c>
      <c r="C4" s="3" t="s">
        <v>28</v>
      </c>
      <c r="D4" s="3" t="s">
        <v>29</v>
      </c>
      <c r="E4" s="3" t="s">
        <v>30</v>
      </c>
      <c r="F4" s="3" t="s">
        <v>453</v>
      </c>
      <c r="G4" s="2" t="str">
        <f>HYPERLINK("https://vtmf.veevavault.com/ui/#doc_info/31286593/1/0", "VTMF-25232900")</f>
        <v>VTMF-25232900</v>
      </c>
      <c r="H4" s="3"/>
      <c r="I4" s="3" t="s">
        <v>22</v>
      </c>
      <c r="J4" s="3" t="s">
        <v>17</v>
      </c>
      <c r="K4" s="4">
        <v>46108.48841435185</v>
      </c>
      <c r="L4" s="5">
        <v>46125</v>
      </c>
      <c r="M4" s="3" t="s">
        <v>23</v>
      </c>
      <c r="N4" s="3" t="s">
        <v>32</v>
      </c>
      <c r="O4" s="3" t="s">
        <v>25</v>
      </c>
      <c r="P4" s="3" t="s">
        <v>451</v>
      </c>
      <c r="Q4" s="3" t="s">
        <v>27</v>
      </c>
    </row>
    <row r="5" spans="1:17" x14ac:dyDescent="0.35">
      <c r="A5" s="2" t="str">
        <f>HYPERLINK("https://vtmf.veevavault.com/ui/#doc_info/31286595/1/0", "77242113UCO3001-CZE-DD5-CZ10022-Non-IP Shipment Documentation-11 Mar 2026 (v1.0)")</f>
        <v>77242113UCO3001-CZE-DD5-CZ10022-Non-IP Shipment Documentation-11 Mar 2026 (v1.0)</v>
      </c>
      <c r="B5" s="3" t="s">
        <v>17</v>
      </c>
      <c r="C5" s="3" t="s">
        <v>28</v>
      </c>
      <c r="D5" s="3" t="s">
        <v>29</v>
      </c>
      <c r="E5" s="3" t="s">
        <v>30</v>
      </c>
      <c r="F5" s="3" t="s">
        <v>33</v>
      </c>
      <c r="G5" s="2" t="str">
        <f>HYPERLINK("https://vtmf.veevavault.com/ui/#doc_info/31286595/1/0", "VTMF-25232902")</f>
        <v>VTMF-25232902</v>
      </c>
      <c r="H5" s="3"/>
      <c r="I5" s="3" t="s">
        <v>22</v>
      </c>
      <c r="J5" s="3" t="s">
        <v>17</v>
      </c>
      <c r="K5" s="4">
        <v>46108.48841435185</v>
      </c>
      <c r="L5" s="5">
        <v>46125</v>
      </c>
      <c r="M5" s="3" t="s">
        <v>23</v>
      </c>
      <c r="N5" s="3" t="s">
        <v>32</v>
      </c>
      <c r="O5" s="3" t="s">
        <v>25</v>
      </c>
      <c r="P5" s="3" t="s">
        <v>451</v>
      </c>
      <c r="Q5" s="3" t="s">
        <v>27</v>
      </c>
    </row>
    <row r="6" spans="1:17" x14ac:dyDescent="0.35">
      <c r="A6" s="2" t="str">
        <f>HYPERLINK("https://vtmf.veevavault.com/ui/#doc_info/31296395/1/0", "77242113UCO3001-CZE-DD5-CZ10022-Non-IP Shipment Documentation-25 Mar 2026 (v1.0)")</f>
        <v>77242113UCO3001-CZE-DD5-CZ10022-Non-IP Shipment Documentation-25 Mar 2026 (v1.0)</v>
      </c>
      <c r="B6" s="3" t="s">
        <v>17</v>
      </c>
      <c r="C6" s="3" t="s">
        <v>28</v>
      </c>
      <c r="D6" s="3" t="s">
        <v>29</v>
      </c>
      <c r="E6" s="3" t="s">
        <v>30</v>
      </c>
      <c r="F6" s="3" t="s">
        <v>454</v>
      </c>
      <c r="G6" s="2" t="str">
        <f>HYPERLINK("https://vtmf.veevavault.com/ui/#doc_info/31296395/1/0", "VTMF-25241063")</f>
        <v>VTMF-25241063</v>
      </c>
      <c r="H6" s="3"/>
      <c r="I6" s="3" t="s">
        <v>22</v>
      </c>
      <c r="J6" s="3" t="s">
        <v>17</v>
      </c>
      <c r="K6" s="4">
        <v>46111.391967592594</v>
      </c>
      <c r="L6" s="5">
        <v>46125</v>
      </c>
      <c r="M6" s="3" t="s">
        <v>23</v>
      </c>
      <c r="N6" s="3" t="s">
        <v>32</v>
      </c>
      <c r="O6" s="3" t="s">
        <v>25</v>
      </c>
      <c r="P6" s="3" t="s">
        <v>451</v>
      </c>
      <c r="Q6" s="3" t="s">
        <v>27</v>
      </c>
    </row>
    <row r="7" spans="1:17" x14ac:dyDescent="0.35">
      <c r="A7" s="2" t="str">
        <f>HYPERLINK("https://vtmf.veevavault.com/ui/#doc_info/31395701/1/0", "77242113UCO3001-CZE-DD5-CZ10022-IP Storage Condition Excursion Documentation-02 Apr 2026 (v1.0)")</f>
        <v>77242113UCO3001-CZE-DD5-CZ10022-IP Storage Condition Excursion Documentation-02 Apr 2026 (v1.0)</v>
      </c>
      <c r="B7" s="3" t="s">
        <v>176</v>
      </c>
      <c r="C7" s="3" t="s">
        <v>28</v>
      </c>
      <c r="D7" s="3" t="s">
        <v>77</v>
      </c>
      <c r="E7" s="3" t="s">
        <v>455</v>
      </c>
      <c r="F7" s="3" t="s">
        <v>456</v>
      </c>
      <c r="G7" s="2" t="str">
        <f>HYPERLINK("https://vtmf.veevavault.com/ui/#doc_info/31395701/1/0", "VTMF-25329576")</f>
        <v>VTMF-25329576</v>
      </c>
      <c r="H7" s="3"/>
      <c r="I7" s="3" t="s">
        <v>22</v>
      </c>
      <c r="J7" s="3" t="s">
        <v>176</v>
      </c>
      <c r="K7" s="4">
        <v>46119.612013888887</v>
      </c>
      <c r="L7" s="5">
        <v>46119</v>
      </c>
      <c r="M7" s="3" t="s">
        <v>23</v>
      </c>
      <c r="N7" s="3" t="s">
        <v>457</v>
      </c>
      <c r="O7" s="3" t="s">
        <v>25</v>
      </c>
      <c r="P7" s="3" t="s">
        <v>451</v>
      </c>
      <c r="Q7" s="3" t="s">
        <v>27</v>
      </c>
    </row>
    <row r="8" spans="1:17" x14ac:dyDescent="0.35">
      <c r="A8" s="2" t="str">
        <f>HYPERLINK("https://vtmf.veevavault.com/ui/#doc_info/31395792/1/0", "77242113UCO3001-CZE-DD5-CZ10022-Relevant Communications-07 Apr 2026 (v1.0)")</f>
        <v>77242113UCO3001-CZE-DD5-CZ10022-Relevant Communications-07 Apr 2026 (v1.0)</v>
      </c>
      <c r="B8" s="3" t="s">
        <v>176</v>
      </c>
      <c r="C8" s="3" t="s">
        <v>18</v>
      </c>
      <c r="D8" s="3" t="s">
        <v>19</v>
      </c>
      <c r="E8" s="3" t="s">
        <v>20</v>
      </c>
      <c r="F8" s="3" t="s">
        <v>458</v>
      </c>
      <c r="G8" s="2" t="str">
        <f>HYPERLINK("https://vtmf.veevavault.com/ui/#doc_info/31395792/1/0", "VTMF-25329766")</f>
        <v>VTMF-25329766</v>
      </c>
      <c r="H8" s="3"/>
      <c r="I8" s="3" t="s">
        <v>22</v>
      </c>
      <c r="J8" s="3" t="s">
        <v>176</v>
      </c>
      <c r="K8" s="4">
        <v>46119.628136574072</v>
      </c>
      <c r="L8" s="5">
        <v>46119</v>
      </c>
      <c r="M8" s="3" t="s">
        <v>23</v>
      </c>
      <c r="N8" s="3" t="s">
        <v>24</v>
      </c>
      <c r="O8" s="3" t="s">
        <v>25</v>
      </c>
      <c r="P8" s="3" t="s">
        <v>451</v>
      </c>
      <c r="Q8" s="3" t="s">
        <v>27</v>
      </c>
    </row>
    <row r="9" spans="1:17" x14ac:dyDescent="0.35">
      <c r="A9" s="2" t="str">
        <f>HYPERLINK("https://vtmf.veevavault.com/ui/#doc_info/31279911/1/0", "77242113UCO3001-CZE-DD5-CZ10022-Monitoring Visit Follow-up Letter-SMVR_FL-06 Mar 2026 (v1.0)")</f>
        <v>77242113UCO3001-CZE-DD5-CZ10022-Monitoring Visit Follow-up Letter-SMVR_FL-06 Mar 2026 (v1.0)</v>
      </c>
      <c r="B9" s="3" t="s">
        <v>38</v>
      </c>
      <c r="C9" s="3" t="s">
        <v>18</v>
      </c>
      <c r="D9" s="3" t="s">
        <v>18</v>
      </c>
      <c r="E9" s="3" t="s">
        <v>39</v>
      </c>
      <c r="F9" s="3"/>
      <c r="G9" s="2" t="str">
        <f>HYPERLINK("https://vtmf.veevavault.com/ui/#doc_info/31279911/1/0", "VTMF-25226835")</f>
        <v>VTMF-25226835</v>
      </c>
      <c r="H9" s="3"/>
      <c r="I9" s="3" t="s">
        <v>40</v>
      </c>
      <c r="J9" s="3" t="s">
        <v>38</v>
      </c>
      <c r="K9" s="4">
        <v>46107.655324074083</v>
      </c>
      <c r="L9" s="5">
        <v>46107</v>
      </c>
      <c r="M9" s="3" t="s">
        <v>23</v>
      </c>
      <c r="N9" s="3" t="s">
        <v>41</v>
      </c>
      <c r="O9" s="3" t="s">
        <v>25</v>
      </c>
      <c r="P9" s="3" t="s">
        <v>451</v>
      </c>
      <c r="Q9" s="3" t="s">
        <v>27</v>
      </c>
    </row>
    <row r="10" spans="1:17" x14ac:dyDescent="0.35">
      <c r="A10" s="2" t="str">
        <f>HYPERLINK("https://vtmf.veevavault.com/ui/#doc_info/31187863/1/0", "77242113UCO3001-CZE-DD5-CZ10022-Monitoring Visit Report-06 Mar 2026 (v1.0)")</f>
        <v>77242113UCO3001-CZE-DD5-CZ10022-Monitoring Visit Report-06 Mar 2026 (v1.0)</v>
      </c>
      <c r="B10" s="3" t="s">
        <v>38</v>
      </c>
      <c r="C10" s="3" t="s">
        <v>18</v>
      </c>
      <c r="D10" s="3" t="s">
        <v>18</v>
      </c>
      <c r="E10" s="3" t="s">
        <v>42</v>
      </c>
      <c r="F10" s="3"/>
      <c r="G10" s="2" t="str">
        <f>HYPERLINK("https://vtmf.veevavault.com/ui/#doc_info/31187863/1/0", "VTMF-25147913")</f>
        <v>VTMF-25147913</v>
      </c>
      <c r="H10" s="3"/>
      <c r="I10" s="3" t="s">
        <v>40</v>
      </c>
      <c r="J10" s="3" t="s">
        <v>38</v>
      </c>
      <c r="K10" s="4">
        <v>46097.485115740739</v>
      </c>
      <c r="L10" s="5">
        <v>46097</v>
      </c>
      <c r="M10" s="3" t="s">
        <v>23</v>
      </c>
      <c r="N10" s="3" t="s">
        <v>43</v>
      </c>
      <c r="O10" s="3" t="s">
        <v>25</v>
      </c>
      <c r="P10" s="3" t="s">
        <v>451</v>
      </c>
      <c r="Q10" s="3" t="s">
        <v>27</v>
      </c>
    </row>
    <row r="11" spans="1:17" x14ac:dyDescent="0.35">
      <c r="A11" s="2" t="str">
        <f>HYPERLINK("https://vtmf.veevavault.com/ui/#doc_info/31186967/1/0", "77242113UCO3001-CZE-DD5-CZ10022-Site Confirmation Letter-SMVR_CL-17 Mar 2026 (v1.0)")</f>
        <v>77242113UCO3001-CZE-DD5-CZ10022-Site Confirmation Letter-SMVR_CL-17 Mar 2026 (v1.0)</v>
      </c>
      <c r="B11" s="3" t="s">
        <v>38</v>
      </c>
      <c r="C11" s="3" t="s">
        <v>18</v>
      </c>
      <c r="D11" s="3" t="s">
        <v>18</v>
      </c>
      <c r="E11" s="3" t="s">
        <v>47</v>
      </c>
      <c r="F11" s="3"/>
      <c r="G11" s="2" t="str">
        <f>HYPERLINK("https://vtmf.veevavault.com/ui/#doc_info/31186967/1/0", "VTMF-25147225")</f>
        <v>VTMF-25147225</v>
      </c>
      <c r="H11" s="3"/>
      <c r="I11" s="3" t="s">
        <v>40</v>
      </c>
      <c r="J11" s="3" t="s">
        <v>38</v>
      </c>
      <c r="K11" s="4">
        <v>46097.399699074071</v>
      </c>
      <c r="L11" s="5">
        <v>46097</v>
      </c>
      <c r="M11" s="3" t="s">
        <v>23</v>
      </c>
      <c r="N11" s="3" t="s">
        <v>41</v>
      </c>
      <c r="O11" s="3" t="s">
        <v>25</v>
      </c>
      <c r="P11" s="3" t="s">
        <v>451</v>
      </c>
      <c r="Q11" s="3" t="s">
        <v>27</v>
      </c>
    </row>
    <row r="12" spans="1:17" x14ac:dyDescent="0.35">
      <c r="A12" s="2" t="str">
        <f>HYPERLINK("https://vtmf.veevavault.com/ui/#doc_info/31159464/1/0", "77242113UCO3001-CZE-DD5-CZ10022-Relevant Communications-03 Mar 2026 (v1.0)")</f>
        <v>77242113UCO3001-CZE-DD5-CZ10022-Relevant Communications-03 Mar 2026 (v1.0)</v>
      </c>
      <c r="B12" s="3" t="s">
        <v>176</v>
      </c>
      <c r="C12" s="3" t="s">
        <v>18</v>
      </c>
      <c r="D12" s="3" t="s">
        <v>19</v>
      </c>
      <c r="E12" s="3" t="s">
        <v>20</v>
      </c>
      <c r="F12" s="3" t="s">
        <v>459</v>
      </c>
      <c r="G12" s="2" t="str">
        <f>HYPERLINK("https://vtmf.veevavault.com/ui/#doc_info/31159464/1/0", "VTMF-25123767")</f>
        <v>VTMF-25123767</v>
      </c>
      <c r="H12" s="3"/>
      <c r="I12" s="3" t="s">
        <v>22</v>
      </c>
      <c r="J12" s="3" t="s">
        <v>176</v>
      </c>
      <c r="K12" s="4">
        <v>46092.594456018523</v>
      </c>
      <c r="L12" s="5">
        <v>46092</v>
      </c>
      <c r="M12" s="3" t="s">
        <v>23</v>
      </c>
      <c r="N12" s="3" t="s">
        <v>24</v>
      </c>
      <c r="O12" s="3" t="s">
        <v>25</v>
      </c>
      <c r="P12" s="3" t="s">
        <v>451</v>
      </c>
      <c r="Q12" s="3" t="s">
        <v>27</v>
      </c>
    </row>
    <row r="13" spans="1:17" x14ac:dyDescent="0.35">
      <c r="A13" s="2" t="str">
        <f>HYPERLINK("https://vtmf.veevavault.com/ui/#doc_info/31114377/1/0", "77242113UCO3001-CZE-DD5-CZ10022-Other Information Given to Investigators-28 Feb 2026 (v1.0)")</f>
        <v>77242113UCO3001-CZE-DD5-CZ10022-Other Information Given to Investigators-28 Feb 2026 (v1.0)</v>
      </c>
      <c r="B13" s="3" t="s">
        <v>176</v>
      </c>
      <c r="C13" s="3" t="s">
        <v>460</v>
      </c>
      <c r="D13" s="3" t="s">
        <v>461</v>
      </c>
      <c r="E13" s="3" t="s">
        <v>462</v>
      </c>
      <c r="F13" s="3" t="s">
        <v>463</v>
      </c>
      <c r="G13" s="2" t="str">
        <f>HYPERLINK("https://vtmf.veevavault.com/ui/#doc_info/31114377/1/0", "VTMF-25085565")</f>
        <v>VTMF-25085565</v>
      </c>
      <c r="H13" s="3"/>
      <c r="I13" s="3" t="s">
        <v>22</v>
      </c>
      <c r="J13" s="3" t="s">
        <v>176</v>
      </c>
      <c r="K13" s="4">
        <v>46085.730034722219</v>
      </c>
      <c r="L13" s="5">
        <v>46085</v>
      </c>
      <c r="M13" s="3" t="s">
        <v>23</v>
      </c>
      <c r="N13" s="3" t="s">
        <v>464</v>
      </c>
      <c r="O13" s="3" t="s">
        <v>25</v>
      </c>
      <c r="P13" s="3" t="s">
        <v>451</v>
      </c>
      <c r="Q13" s="3" t="s">
        <v>27</v>
      </c>
    </row>
    <row r="14" spans="1:17" x14ac:dyDescent="0.35">
      <c r="A14" s="2" t="str">
        <f>HYPERLINK("https://vtmf.veevavault.com/ui/#doc_info/31089827/1/0", "77242113UCO3001-CZE-DD5-CZ10022-Monitoring Visit Report-09 Feb 2026 (v1.0)")</f>
        <v>77242113UCO3001-CZE-DD5-CZ10022-Monitoring Visit Report-09 Feb 2026 (v1.0)</v>
      </c>
      <c r="B14" s="3" t="s">
        <v>38</v>
      </c>
      <c r="C14" s="3" t="s">
        <v>18</v>
      </c>
      <c r="D14" s="3" t="s">
        <v>18</v>
      </c>
      <c r="E14" s="3" t="s">
        <v>42</v>
      </c>
      <c r="F14" s="3"/>
      <c r="G14" s="2" t="str">
        <f>HYPERLINK("https://vtmf.veevavault.com/ui/#doc_info/31089827/1/0", "VTMF-25065051")</f>
        <v>VTMF-25065051</v>
      </c>
      <c r="H14" s="3"/>
      <c r="I14" s="3" t="s">
        <v>40</v>
      </c>
      <c r="J14" s="3" t="s">
        <v>38</v>
      </c>
      <c r="K14" s="4">
        <v>46083.438287037039</v>
      </c>
      <c r="L14" s="5">
        <v>46083</v>
      </c>
      <c r="M14" s="3" t="s">
        <v>23</v>
      </c>
      <c r="N14" s="3" t="s">
        <v>43</v>
      </c>
      <c r="O14" s="3" t="s">
        <v>25</v>
      </c>
      <c r="P14" s="3" t="s">
        <v>451</v>
      </c>
      <c r="Q14" s="3" t="s">
        <v>27</v>
      </c>
    </row>
    <row r="15" spans="1:17" x14ac:dyDescent="0.35">
      <c r="A15" s="2" t="str">
        <f>HYPERLINK("https://vtmf.veevavault.com/ui/#doc_info/31093036/1/0", "77242113UCO3001-CZE-DD5-CZ10022-Site Confirmation Letter-SMVR_CL-03 Mar 2026 (v1.0)")</f>
        <v>77242113UCO3001-CZE-DD5-CZ10022-Site Confirmation Letter-SMVR_CL-03 Mar 2026 (v1.0)</v>
      </c>
      <c r="B15" s="3" t="s">
        <v>38</v>
      </c>
      <c r="C15" s="3" t="s">
        <v>18</v>
      </c>
      <c r="D15" s="3" t="s">
        <v>18</v>
      </c>
      <c r="E15" s="3" t="s">
        <v>47</v>
      </c>
      <c r="F15" s="3"/>
      <c r="G15" s="2" t="str">
        <f>HYPERLINK("https://vtmf.veevavault.com/ui/#doc_info/31093036/1/0", "VTMF-25067527")</f>
        <v>VTMF-25067527</v>
      </c>
      <c r="H15" s="3"/>
      <c r="I15" s="3" t="s">
        <v>40</v>
      </c>
      <c r="J15" s="3" t="s">
        <v>38</v>
      </c>
      <c r="K15" s="4">
        <v>46083.691041666672</v>
      </c>
      <c r="L15" s="5">
        <v>46083</v>
      </c>
      <c r="M15" s="3" t="s">
        <v>23</v>
      </c>
      <c r="N15" s="3" t="s">
        <v>41</v>
      </c>
      <c r="O15" s="3" t="s">
        <v>25</v>
      </c>
      <c r="P15" s="3" t="s">
        <v>451</v>
      </c>
      <c r="Q15" s="3" t="s">
        <v>27</v>
      </c>
    </row>
    <row r="16" spans="1:17" x14ac:dyDescent="0.35">
      <c r="A16" s="2" t="str">
        <f>HYPERLINK("https://vtmf.veevavault.com/ui/#doc_info/31087868/1/0", "77242113UCO3001-CZE-DD5-CZ10022-Monitoring Visit Follow-up Letter-SMVR_FL-09 Feb 2026 (v1.0)")</f>
        <v>77242113UCO3001-CZE-DD5-CZ10022-Monitoring Visit Follow-up Letter-SMVR_FL-09 Feb 2026 (v1.0)</v>
      </c>
      <c r="B16" s="3" t="s">
        <v>38</v>
      </c>
      <c r="C16" s="3" t="s">
        <v>18</v>
      </c>
      <c r="D16" s="3" t="s">
        <v>18</v>
      </c>
      <c r="E16" s="3" t="s">
        <v>39</v>
      </c>
      <c r="F16" s="3"/>
      <c r="G16" s="2" t="str">
        <f>HYPERLINK("https://vtmf.veevavault.com/ui/#doc_info/31087868/1/0", "VTMF-25063488")</f>
        <v>VTMF-25063488</v>
      </c>
      <c r="H16" s="3"/>
      <c r="I16" s="3" t="s">
        <v>40</v>
      </c>
      <c r="J16" s="3" t="s">
        <v>38</v>
      </c>
      <c r="K16" s="4">
        <v>46082.851423611108</v>
      </c>
      <c r="L16" s="5">
        <v>46082</v>
      </c>
      <c r="M16" s="3" t="s">
        <v>23</v>
      </c>
      <c r="N16" s="3" t="s">
        <v>41</v>
      </c>
      <c r="O16" s="3" t="s">
        <v>25</v>
      </c>
      <c r="P16" s="3" t="s">
        <v>451</v>
      </c>
      <c r="Q16" s="3" t="s">
        <v>27</v>
      </c>
    </row>
    <row r="17" spans="1:17" x14ac:dyDescent="0.35">
      <c r="A17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17" s="3" t="s">
        <v>35</v>
      </c>
      <c r="C17" s="3" t="s">
        <v>18</v>
      </c>
      <c r="D17" s="3" t="s">
        <v>19</v>
      </c>
      <c r="E17" s="3" t="s">
        <v>20</v>
      </c>
      <c r="F17" s="3" t="s">
        <v>44</v>
      </c>
      <c r="G17" s="2" t="str">
        <f>HYPERLINK("https://vtmf.veevavault.com/ui/#doc_info/30957580/1/0", "VTMF-24952860")</f>
        <v>VTMF-24952860</v>
      </c>
      <c r="H17" s="3"/>
      <c r="I17" s="3" t="s">
        <v>35</v>
      </c>
      <c r="J17" s="3" t="s">
        <v>35</v>
      </c>
      <c r="K17" s="4">
        <v>46063.445960648147</v>
      </c>
      <c r="L17" s="5">
        <v>46063</v>
      </c>
      <c r="M17" s="3" t="s">
        <v>23</v>
      </c>
      <c r="N17" s="3" t="s">
        <v>24</v>
      </c>
      <c r="O17" s="3" t="s">
        <v>25</v>
      </c>
      <c r="P17" s="3" t="s">
        <v>45</v>
      </c>
      <c r="Q17" s="3" t="s">
        <v>27</v>
      </c>
    </row>
    <row r="18" spans="1:17" x14ac:dyDescent="0.35">
      <c r="A18" s="2" t="str">
        <f>HYPERLINK("https://vtmf.veevavault.com/ui/#doc_info/30949502/1/0", "77242113UCO3001-CZE-DD5-CZ10022-Non-IP Shipment Documentation-09 Feb 2026 (v1.0)")</f>
        <v>77242113UCO3001-CZE-DD5-CZ10022-Non-IP Shipment Documentation-09 Feb 2026 (v1.0)</v>
      </c>
      <c r="B18" s="3" t="s">
        <v>17</v>
      </c>
      <c r="C18" s="3" t="s">
        <v>28</v>
      </c>
      <c r="D18" s="3" t="s">
        <v>29</v>
      </c>
      <c r="E18" s="3" t="s">
        <v>30</v>
      </c>
      <c r="F18" s="3" t="s">
        <v>465</v>
      </c>
      <c r="G18" s="2" t="str">
        <f>HYPERLINK("https://vtmf.veevavault.com/ui/#doc_info/30949502/1/0", "VTMF-24945658")</f>
        <v>VTMF-24945658</v>
      </c>
      <c r="H18" s="3"/>
      <c r="I18" s="3" t="s">
        <v>22</v>
      </c>
      <c r="J18" s="3" t="s">
        <v>17</v>
      </c>
      <c r="K18" s="4">
        <v>46062.541805555556</v>
      </c>
      <c r="L18" s="5">
        <v>46062</v>
      </c>
      <c r="M18" s="3" t="s">
        <v>23</v>
      </c>
      <c r="N18" s="3" t="s">
        <v>32</v>
      </c>
      <c r="O18" s="3" t="s">
        <v>25</v>
      </c>
      <c r="P18" s="3" t="s">
        <v>451</v>
      </c>
      <c r="Q18" s="3" t="s">
        <v>27</v>
      </c>
    </row>
    <row r="19" spans="1:17" x14ac:dyDescent="0.35">
      <c r="A19" s="2" t="str">
        <f>HYPERLINK("https://vtmf.veevavault.com/ui/#doc_info/30916359/1/0", "77242113UCO3001-CZE-DD5-CZ10022-Relevant Communications-15 Jan 2026 (v1.0)")</f>
        <v>77242113UCO3001-CZE-DD5-CZ10022-Relevant Communications-15 Jan 2026 (v1.0)</v>
      </c>
      <c r="B19" s="3" t="s">
        <v>176</v>
      </c>
      <c r="C19" s="3" t="s">
        <v>18</v>
      </c>
      <c r="D19" s="3" t="s">
        <v>19</v>
      </c>
      <c r="E19" s="3" t="s">
        <v>20</v>
      </c>
      <c r="F19" s="3" t="s">
        <v>466</v>
      </c>
      <c r="G19" s="2" t="str">
        <f>HYPERLINK("https://vtmf.veevavault.com/ui/#doc_info/30916359/1/0", "VTMF-24918981")</f>
        <v>VTMF-24918981</v>
      </c>
      <c r="H19" s="3"/>
      <c r="I19" s="3" t="s">
        <v>22</v>
      </c>
      <c r="J19" s="3" t="s">
        <v>176</v>
      </c>
      <c r="K19" s="4">
        <v>46057.368194444447</v>
      </c>
      <c r="L19" s="5">
        <v>46057</v>
      </c>
      <c r="M19" s="3" t="s">
        <v>23</v>
      </c>
      <c r="N19" s="3" t="s">
        <v>24</v>
      </c>
      <c r="O19" s="3" t="s">
        <v>25</v>
      </c>
      <c r="P19" s="3" t="s">
        <v>451</v>
      </c>
      <c r="Q19" s="3" t="s">
        <v>27</v>
      </c>
    </row>
    <row r="20" spans="1:17" x14ac:dyDescent="0.35">
      <c r="A20" s="2" t="str">
        <f>HYPERLINK("https://vtmf.veevavault.com/ui/#doc_info/30916366/1/0", "77242113UCO3001-CZE-DD5-CZ10022-Relevant Communications-26 Jan 2026 (v1.0)")</f>
        <v>77242113UCO3001-CZE-DD5-CZ10022-Relevant Communications-26 Jan 2026 (v1.0)</v>
      </c>
      <c r="B20" s="3" t="s">
        <v>176</v>
      </c>
      <c r="C20" s="3" t="s">
        <v>18</v>
      </c>
      <c r="D20" s="3" t="s">
        <v>19</v>
      </c>
      <c r="E20" s="3" t="s">
        <v>20</v>
      </c>
      <c r="F20" s="3" t="s">
        <v>467</v>
      </c>
      <c r="G20" s="2" t="str">
        <f>HYPERLINK("https://vtmf.veevavault.com/ui/#doc_info/30916366/1/0", "VTMF-24918994")</f>
        <v>VTMF-24918994</v>
      </c>
      <c r="H20" s="3"/>
      <c r="I20" s="3" t="s">
        <v>22</v>
      </c>
      <c r="J20" s="3" t="s">
        <v>176</v>
      </c>
      <c r="K20" s="4">
        <v>46057.371435185189</v>
      </c>
      <c r="L20" s="5">
        <v>46057</v>
      </c>
      <c r="M20" s="3" t="s">
        <v>23</v>
      </c>
      <c r="N20" s="3" t="s">
        <v>24</v>
      </c>
      <c r="O20" s="3" t="s">
        <v>25</v>
      </c>
      <c r="P20" s="3" t="s">
        <v>451</v>
      </c>
      <c r="Q20" s="3" t="s">
        <v>27</v>
      </c>
    </row>
    <row r="21" spans="1:17" x14ac:dyDescent="0.35">
      <c r="A21" s="2" t="str">
        <f>HYPERLINK("https://vtmf.veevavault.com/ui/#doc_info/30916486/1/0", "77242113UCO3001-CZE-DD5-CZ10022-Site Confirmation Letter-SMVR_CL-05 Feb 2026 (v1.0)")</f>
        <v>77242113UCO3001-CZE-DD5-CZ10022-Site Confirmation Letter-SMVR_CL-05 Feb 2026 (v1.0)</v>
      </c>
      <c r="B21" s="3" t="s">
        <v>38</v>
      </c>
      <c r="C21" s="3" t="s">
        <v>18</v>
      </c>
      <c r="D21" s="3" t="s">
        <v>18</v>
      </c>
      <c r="E21" s="3" t="s">
        <v>47</v>
      </c>
      <c r="F21" s="3"/>
      <c r="G21" s="2" t="str">
        <f>HYPERLINK("https://vtmf.veevavault.com/ui/#doc_info/30916486/1/0", "VTMF-24919167")</f>
        <v>VTMF-24919167</v>
      </c>
      <c r="H21" s="3"/>
      <c r="I21" s="3" t="s">
        <v>40</v>
      </c>
      <c r="J21" s="3" t="s">
        <v>38</v>
      </c>
      <c r="K21" s="4">
        <v>46057.397939814808</v>
      </c>
      <c r="L21" s="5">
        <v>46057</v>
      </c>
      <c r="M21" s="3" t="s">
        <v>23</v>
      </c>
      <c r="N21" s="3" t="s">
        <v>41</v>
      </c>
      <c r="O21" s="3" t="s">
        <v>25</v>
      </c>
      <c r="P21" s="3" t="s">
        <v>451</v>
      </c>
      <c r="Q21" s="3" t="s">
        <v>27</v>
      </c>
    </row>
    <row r="22" spans="1:17" x14ac:dyDescent="0.35">
      <c r="A22" s="2" t="str">
        <f>HYPERLINK("https://vtmf.veevavault.com/ui/#doc_info/30916428/1/0", "77242113UCO3001-CZE-DD5-CZ10022-Non-IP Shipment Documentation-31 Mar 2025 (v1.0)")</f>
        <v>77242113UCO3001-CZE-DD5-CZ10022-Non-IP Shipment Documentation-31 Mar 2025 (v1.0)</v>
      </c>
      <c r="B22" s="3" t="s">
        <v>17</v>
      </c>
      <c r="C22" s="3" t="s">
        <v>28</v>
      </c>
      <c r="D22" s="3" t="s">
        <v>29</v>
      </c>
      <c r="E22" s="3" t="s">
        <v>30</v>
      </c>
      <c r="F22" s="3" t="s">
        <v>468</v>
      </c>
      <c r="G22" s="2" t="str">
        <f>HYPERLINK("https://vtmf.veevavault.com/ui/#doc_info/30916428/1/0", "VTMF-24919076")</f>
        <v>VTMF-24919076</v>
      </c>
      <c r="H22" s="3"/>
      <c r="I22" s="3" t="s">
        <v>22</v>
      </c>
      <c r="J22" s="3" t="s">
        <v>17</v>
      </c>
      <c r="K22" s="4">
        <v>46057.386076388888</v>
      </c>
      <c r="L22" s="5">
        <v>46057</v>
      </c>
      <c r="M22" s="3" t="s">
        <v>23</v>
      </c>
      <c r="N22" s="3" t="s">
        <v>32</v>
      </c>
      <c r="O22" s="3" t="s">
        <v>81</v>
      </c>
      <c r="P22" s="3" t="s">
        <v>469</v>
      </c>
      <c r="Q22" s="3" t="s">
        <v>83</v>
      </c>
    </row>
    <row r="23" spans="1:17" x14ac:dyDescent="0.35">
      <c r="A23" s="2" t="str">
        <f>HYPERLINK("https://vtmf.veevavault.com/ui/#doc_info/30865574/1/0", "77242113UCO3001-CZE-DD5-CZ10022-Recruitment Plan-09 Jan 2026 (v1.0)")</f>
        <v>77242113UCO3001-CZE-DD5-CZ10022-Recruitment Plan-09 Jan 2026 (v1.0)</v>
      </c>
      <c r="B23" s="3" t="s">
        <v>176</v>
      </c>
      <c r="C23" s="3" t="s">
        <v>48</v>
      </c>
      <c r="D23" s="3" t="s">
        <v>49</v>
      </c>
      <c r="E23" s="3" t="s">
        <v>50</v>
      </c>
      <c r="F23" s="3" t="s">
        <v>182</v>
      </c>
      <c r="G23" s="2" t="str">
        <f>HYPERLINK("https://vtmf.veevavault.com/ui/#doc_info/30865574/1/0", "VTMF-24875349")</f>
        <v>VTMF-24875349</v>
      </c>
      <c r="H23" s="3"/>
      <c r="I23" s="3" t="s">
        <v>22</v>
      </c>
      <c r="J23" s="3" t="s">
        <v>176</v>
      </c>
      <c r="K23" s="4">
        <v>46050.629247685189</v>
      </c>
      <c r="L23" s="5">
        <v>46050</v>
      </c>
      <c r="M23" s="3" t="s">
        <v>23</v>
      </c>
      <c r="N23" s="3" t="s">
        <v>52</v>
      </c>
      <c r="O23" s="3" t="s">
        <v>25</v>
      </c>
      <c r="P23" s="3" t="s">
        <v>451</v>
      </c>
      <c r="Q23" s="3" t="s">
        <v>27</v>
      </c>
    </row>
    <row r="24" spans="1:17" x14ac:dyDescent="0.35">
      <c r="A24" s="2" t="str">
        <f>HYPERLINK("https://vtmf.veevavault.com/ui/#doc_info/30742385/1/0", "77242113UCO3001-CZE-DD5-CZ10022-Site Training Documentation-24 Jul 2025 (v1.0)")</f>
        <v>77242113UCO3001-CZE-DD5-CZ10022-Site Training Documentation-24 Jul 2025 (v1.0)</v>
      </c>
      <c r="B24" s="3" t="s">
        <v>176</v>
      </c>
      <c r="C24" s="3" t="s">
        <v>18</v>
      </c>
      <c r="D24" s="3" t="s">
        <v>68</v>
      </c>
      <c r="E24" s="3" t="s">
        <v>69</v>
      </c>
      <c r="F24" s="3" t="s">
        <v>470</v>
      </c>
      <c r="G24" s="2" t="str">
        <f>HYPERLINK("https://vtmf.veevavault.com/ui/#doc_info/30742385/1/0", "VTMF-24771400")</f>
        <v>VTMF-24771400</v>
      </c>
      <c r="H24" s="3"/>
      <c r="I24" s="3" t="s">
        <v>22</v>
      </c>
      <c r="J24" s="3" t="s">
        <v>176</v>
      </c>
      <c r="K24" s="4">
        <v>46030.738703703697</v>
      </c>
      <c r="L24" s="5">
        <v>46030</v>
      </c>
      <c r="M24" s="3" t="s">
        <v>23</v>
      </c>
      <c r="N24" s="3" t="s">
        <v>60</v>
      </c>
      <c r="O24" s="3" t="s">
        <v>81</v>
      </c>
      <c r="P24" s="3" t="s">
        <v>469</v>
      </c>
      <c r="Q24" s="3" t="s">
        <v>83</v>
      </c>
    </row>
    <row r="25" spans="1:17" x14ac:dyDescent="0.35">
      <c r="A25" s="2" t="str">
        <f>HYPERLINK("https://vtmf.veevavault.com/ui/#doc_info/30734343/1/0", "77242113UCO3001-CZE-DD5-CZ10022-Monitoring Visit Follow-up Letter-SIVR_FL-18 Dec 2025 (v1.0)")</f>
        <v>77242113UCO3001-CZE-DD5-CZ10022-Monitoring Visit Follow-up Letter-SIVR_FL-18 Dec 2025 (v1.0)</v>
      </c>
      <c r="B25" s="3" t="s">
        <v>38</v>
      </c>
      <c r="C25" s="3" t="s">
        <v>18</v>
      </c>
      <c r="D25" s="3" t="s">
        <v>18</v>
      </c>
      <c r="E25" s="3" t="s">
        <v>39</v>
      </c>
      <c r="F25" s="3"/>
      <c r="G25" s="2" t="str">
        <f>HYPERLINK("https://vtmf.veevavault.com/ui/#doc_info/30734343/1/0", "VTMF-24764684")</f>
        <v>VTMF-24764684</v>
      </c>
      <c r="H25" s="3"/>
      <c r="I25" s="3" t="s">
        <v>40</v>
      </c>
      <c r="J25" s="3" t="s">
        <v>38</v>
      </c>
      <c r="K25" s="4">
        <v>46029.73065972222</v>
      </c>
      <c r="L25" s="5">
        <v>46029</v>
      </c>
      <c r="M25" s="3" t="s">
        <v>23</v>
      </c>
      <c r="N25" s="3" t="s">
        <v>41</v>
      </c>
      <c r="O25" s="3" t="s">
        <v>25</v>
      </c>
      <c r="P25" s="3" t="s">
        <v>451</v>
      </c>
      <c r="Q25" s="3" t="s">
        <v>27</v>
      </c>
    </row>
    <row r="26" spans="1:17" x14ac:dyDescent="0.35">
      <c r="A26" s="2" t="str">
        <f>HYPERLINK("https://vtmf.veevavault.com/ui/#doc_info/30733922/1/0", "77242113UCO3001-CZE-DD5-CZ10022-Trial Initiation Monitoring Report-18 Dec 2025 (v1.0)")</f>
        <v>77242113UCO3001-CZE-DD5-CZ10022-Trial Initiation Monitoring Report-18 Dec 2025 (v1.0)</v>
      </c>
      <c r="B26" s="3" t="s">
        <v>38</v>
      </c>
      <c r="C26" s="3" t="s">
        <v>18</v>
      </c>
      <c r="D26" s="3" t="s">
        <v>68</v>
      </c>
      <c r="E26" s="3" t="s">
        <v>90</v>
      </c>
      <c r="F26" s="3"/>
      <c r="G26" s="2" t="str">
        <f>HYPERLINK("https://vtmf.veevavault.com/ui/#doc_info/30733922/1/0", "VTMF-24764313")</f>
        <v>VTMF-24764313</v>
      </c>
      <c r="H26" s="3"/>
      <c r="I26" s="3" t="s">
        <v>40</v>
      </c>
      <c r="J26" s="3" t="s">
        <v>38</v>
      </c>
      <c r="K26" s="4">
        <v>46029.687511574077</v>
      </c>
      <c r="L26" s="5">
        <v>46029</v>
      </c>
      <c r="M26" s="3" t="s">
        <v>23</v>
      </c>
      <c r="N26" s="3" t="s">
        <v>91</v>
      </c>
      <c r="O26" s="3" t="s">
        <v>25</v>
      </c>
      <c r="P26" s="3" t="s">
        <v>451</v>
      </c>
      <c r="Q26" s="3" t="s">
        <v>27</v>
      </c>
    </row>
    <row r="27" spans="1:17" x14ac:dyDescent="0.35">
      <c r="A27" s="2" t="str">
        <f>HYPERLINK("https://vtmf.veevavault.com/ui/#doc_info/30725454/1/0", "77242113UCO3001-CZE-DD5-CZ10022-Maintenance Logs (Device)-10 Sep 2025 (v1.0)")</f>
        <v>77242113UCO3001-CZE-DD5-CZ10022-Maintenance Logs (Device)-10 Sep 2025 (v1.0)</v>
      </c>
      <c r="B27" s="3" t="s">
        <v>184</v>
      </c>
      <c r="C27" s="3" t="s">
        <v>28</v>
      </c>
      <c r="D27" s="3" t="s">
        <v>77</v>
      </c>
      <c r="E27" s="3" t="s">
        <v>109</v>
      </c>
      <c r="F27" s="3" t="s">
        <v>471</v>
      </c>
      <c r="G27" s="2" t="str">
        <f>HYPERLINK("https://vtmf.veevavault.com/ui/#doc_info/30725454/1/0", "VTMF-24758375")</f>
        <v>VTMF-24758375</v>
      </c>
      <c r="H27" s="3"/>
      <c r="I27" s="3" t="s">
        <v>22</v>
      </c>
      <c r="J27" s="3" t="s">
        <v>184</v>
      </c>
      <c r="K27" s="4">
        <v>46028.911064814813</v>
      </c>
      <c r="L27" s="5">
        <v>46028</v>
      </c>
      <c r="M27" s="3" t="s">
        <v>23</v>
      </c>
      <c r="N27" s="3" t="s">
        <v>111</v>
      </c>
      <c r="O27" s="3" t="s">
        <v>81</v>
      </c>
      <c r="P27" s="3" t="s">
        <v>469</v>
      </c>
      <c r="Q27" s="3" t="s">
        <v>83</v>
      </c>
    </row>
    <row r="28" spans="1:17" x14ac:dyDescent="0.35">
      <c r="A28" s="2" t="str">
        <f>HYPERLINK("https://vtmf.veevavault.com/ui/#doc_info/30715495/1/0", "77242113UCO3001-CZE-DD5-CZ10022-Temperature Monitor Validation/Calibration Cert.-11 Aug 2025 (v1.0)")</f>
        <v>77242113UCO3001-CZE-DD5-CZ10022-Temperature Monitor Validation/Calibration Cert.-11 Aug 2025 (v1.0)</v>
      </c>
      <c r="B28" s="3" t="s">
        <v>176</v>
      </c>
      <c r="C28" s="3" t="s">
        <v>28</v>
      </c>
      <c r="D28" s="3" t="s">
        <v>77</v>
      </c>
      <c r="E28" s="3" t="s">
        <v>78</v>
      </c>
      <c r="F28" s="3" t="s">
        <v>259</v>
      </c>
      <c r="G28" s="2" t="str">
        <f>HYPERLINK("https://vtmf.veevavault.com/ui/#doc_info/30715495/1/0", "VTMF-24750131")</f>
        <v>VTMF-24750131</v>
      </c>
      <c r="H28" s="3"/>
      <c r="I28" s="3" t="s">
        <v>22</v>
      </c>
      <c r="J28" s="3" t="s">
        <v>176</v>
      </c>
      <c r="K28" s="4">
        <v>46027.528229166674</v>
      </c>
      <c r="L28" s="5">
        <v>46027</v>
      </c>
      <c r="M28" s="3" t="s">
        <v>23</v>
      </c>
      <c r="N28" s="3" t="s">
        <v>80</v>
      </c>
      <c r="O28" s="3" t="s">
        <v>81</v>
      </c>
      <c r="P28" s="3" t="s">
        <v>469</v>
      </c>
      <c r="Q28" s="3" t="s">
        <v>83</v>
      </c>
    </row>
    <row r="29" spans="1:17" x14ac:dyDescent="0.35">
      <c r="A29" s="2" t="str">
        <f>HYPERLINK("https://vtmf.veevavault.com/ui/#doc_info/30715168/1/0", "77242113UCO3001-CZE-DD5-CZ10022-Temperature Monitor Validation/Calibration Cert.-22 Oct 2025 (v1.0)")</f>
        <v>77242113UCO3001-CZE-DD5-CZ10022-Temperature Monitor Validation/Calibration Cert.-22 Oct 2025 (v1.0)</v>
      </c>
      <c r="B29" s="3" t="s">
        <v>17</v>
      </c>
      <c r="C29" s="3" t="s">
        <v>28</v>
      </c>
      <c r="D29" s="3" t="s">
        <v>77</v>
      </c>
      <c r="E29" s="3" t="s">
        <v>78</v>
      </c>
      <c r="F29" s="3" t="s">
        <v>472</v>
      </c>
      <c r="G29" s="2" t="str">
        <f>HYPERLINK("https://vtmf.veevavault.com/ui/#doc_info/30715168/1/0", "VTMF-24749847")</f>
        <v>VTMF-24749847</v>
      </c>
      <c r="H29" s="3"/>
      <c r="I29" s="3" t="s">
        <v>22</v>
      </c>
      <c r="J29" s="3" t="s">
        <v>17</v>
      </c>
      <c r="K29" s="4">
        <v>46027.484791666669</v>
      </c>
      <c r="L29" s="5">
        <v>46027</v>
      </c>
      <c r="M29" s="3" t="s">
        <v>23</v>
      </c>
      <c r="N29" s="3" t="s">
        <v>80</v>
      </c>
      <c r="O29" s="3" t="s">
        <v>81</v>
      </c>
      <c r="P29" s="3" t="s">
        <v>469</v>
      </c>
      <c r="Q29" s="3" t="s">
        <v>83</v>
      </c>
    </row>
    <row r="30" spans="1:17" x14ac:dyDescent="0.35">
      <c r="A30" s="2" t="str">
        <f>HYPERLINK("https://vtmf.veevavault.com/ui/#doc_info/30715176/1/0", "77242113UCO3001-CZE-DD5-CZ10022-Temperature Monitor Validation/Calibration Cert.-22 Oct 2025 (v1.0)")</f>
        <v>77242113UCO3001-CZE-DD5-CZ10022-Temperature Monitor Validation/Calibration Cert.-22 Oct 2025 (v1.0)</v>
      </c>
      <c r="B30" s="3" t="s">
        <v>17</v>
      </c>
      <c r="C30" s="3" t="s">
        <v>28</v>
      </c>
      <c r="D30" s="3" t="s">
        <v>77</v>
      </c>
      <c r="E30" s="3" t="s">
        <v>78</v>
      </c>
      <c r="F30" s="3" t="s">
        <v>473</v>
      </c>
      <c r="G30" s="2" t="str">
        <f>HYPERLINK("https://vtmf.veevavault.com/ui/#doc_info/30715176/1/0", "VTMF-24749863")</f>
        <v>VTMF-24749863</v>
      </c>
      <c r="H30" s="3"/>
      <c r="I30" s="3" t="s">
        <v>22</v>
      </c>
      <c r="J30" s="3" t="s">
        <v>17</v>
      </c>
      <c r="K30" s="4">
        <v>46027.486921296288</v>
      </c>
      <c r="L30" s="5">
        <v>46027</v>
      </c>
      <c r="M30" s="3" t="s">
        <v>23</v>
      </c>
      <c r="N30" s="3" t="s">
        <v>80</v>
      </c>
      <c r="O30" s="3" t="s">
        <v>81</v>
      </c>
      <c r="P30" s="3" t="s">
        <v>469</v>
      </c>
      <c r="Q30" s="3" t="s">
        <v>83</v>
      </c>
    </row>
    <row r="31" spans="1:17" x14ac:dyDescent="0.35">
      <c r="A31" s="2" t="str">
        <f>HYPERLINK("https://vtmf.veevavault.com/ui/#doc_info/30658739/1/0", "77242113UCO3001-CZE-DD5-CZ10022-Relevant Communications-18 Dec 2025 (v1.0)")</f>
        <v>77242113UCO3001-CZE-DD5-CZ10022-Relevant Communications-18 Dec 2025 (v1.0)</v>
      </c>
      <c r="B31" s="3" t="s">
        <v>176</v>
      </c>
      <c r="C31" s="3" t="s">
        <v>18</v>
      </c>
      <c r="D31" s="3" t="s">
        <v>19</v>
      </c>
      <c r="E31" s="3" t="s">
        <v>20</v>
      </c>
      <c r="F31" s="3" t="s">
        <v>474</v>
      </c>
      <c r="G31" s="2" t="str">
        <f>HYPERLINK("https://vtmf.veevavault.com/ui/#doc_info/30658739/1/0", "VTMF-24705009")</f>
        <v>VTMF-24705009</v>
      </c>
      <c r="H31" s="3"/>
      <c r="I31" s="3" t="s">
        <v>22</v>
      </c>
      <c r="J31" s="3" t="s">
        <v>176</v>
      </c>
      <c r="K31" s="4">
        <v>46013.385092592587</v>
      </c>
      <c r="L31" s="5">
        <v>46013</v>
      </c>
      <c r="M31" s="3" t="s">
        <v>23</v>
      </c>
      <c r="N31" s="3" t="s">
        <v>24</v>
      </c>
      <c r="O31" s="3" t="s">
        <v>25</v>
      </c>
      <c r="P31" s="3" t="s">
        <v>451</v>
      </c>
      <c r="Q31" s="3" t="s">
        <v>27</v>
      </c>
    </row>
    <row r="32" spans="1:17" x14ac:dyDescent="0.35">
      <c r="A32" s="2" t="str">
        <f>HYPERLINK("https://vtmf.veevavault.com/ui/#doc_info/30627328/1/0", "77242113UCO3001-CZE-DD5-CZ10022-Non-IP Shipment Documentation-09 Dec 2025 (v1.0)")</f>
        <v>77242113UCO3001-CZE-DD5-CZ10022-Non-IP Shipment Documentation-09 Dec 2025 (v1.0)</v>
      </c>
      <c r="B32" s="3" t="s">
        <v>176</v>
      </c>
      <c r="C32" s="3" t="s">
        <v>28</v>
      </c>
      <c r="D32" s="3" t="s">
        <v>29</v>
      </c>
      <c r="E32" s="3" t="s">
        <v>30</v>
      </c>
      <c r="F32" s="3" t="s">
        <v>475</v>
      </c>
      <c r="G32" s="2" t="str">
        <f>HYPERLINK("https://vtmf.veevavault.com/ui/#doc_info/30627328/1/0", "VTMF-24678481")</f>
        <v>VTMF-24678481</v>
      </c>
      <c r="H32" s="3"/>
      <c r="I32" s="3" t="s">
        <v>22</v>
      </c>
      <c r="J32" s="3" t="s">
        <v>176</v>
      </c>
      <c r="K32" s="4">
        <v>46008.710868055547</v>
      </c>
      <c r="L32" s="5">
        <v>46010</v>
      </c>
      <c r="M32" s="3" t="s">
        <v>23</v>
      </c>
      <c r="N32" s="3" t="s">
        <v>32</v>
      </c>
      <c r="O32" s="3" t="s">
        <v>25</v>
      </c>
      <c r="P32" s="3" t="s">
        <v>451</v>
      </c>
      <c r="Q32" s="3" t="s">
        <v>27</v>
      </c>
    </row>
    <row r="33" spans="1:17" x14ac:dyDescent="0.35">
      <c r="A33" s="2" t="str">
        <f>HYPERLINK("https://vtmf.veevavault.com/ui/#doc_info/30639035/1/0", "77242113UCO3001-CZE-DD5-CZ10022-Financial Disclosure Form-09 Dec 2025 (v1.0)")</f>
        <v>77242113UCO3001-CZE-DD5-CZ10022-Financial Disclosure Form-09 Dec 2025 (v1.0)</v>
      </c>
      <c r="B33" s="3" t="s">
        <v>176</v>
      </c>
      <c r="C33" s="3" t="s">
        <v>18</v>
      </c>
      <c r="D33" s="3" t="s">
        <v>57</v>
      </c>
      <c r="E33" s="3" t="s">
        <v>189</v>
      </c>
      <c r="F33" s="3" t="s">
        <v>476</v>
      </c>
      <c r="G33" s="2" t="str">
        <f>HYPERLINK("https://vtmf.veevavault.com/ui/#doc_info/30639035/1/0", "VTMF-24688746")</f>
        <v>VTMF-24688746</v>
      </c>
      <c r="H33" s="3"/>
      <c r="I33" s="3" t="s">
        <v>22</v>
      </c>
      <c r="J33" s="3" t="s">
        <v>176</v>
      </c>
      <c r="K33" s="4">
        <v>46009.671574074076</v>
      </c>
      <c r="L33" s="5">
        <v>46009</v>
      </c>
      <c r="M33" s="3" t="s">
        <v>23</v>
      </c>
      <c r="N33" s="3" t="s">
        <v>191</v>
      </c>
      <c r="O33" s="3" t="s">
        <v>25</v>
      </c>
      <c r="P33" s="3" t="s">
        <v>451</v>
      </c>
      <c r="Q33" s="3" t="s">
        <v>27</v>
      </c>
    </row>
    <row r="34" spans="1:17" x14ac:dyDescent="0.35">
      <c r="A34" s="2" t="str">
        <f>HYPERLINK("https://vtmf.veevavault.com/ui/#doc_info/30639057/1/0", "77242113UCO3001-CZE-DD5-CZ10022-Financial Disclosure Form-09 Dec 2025 (v1.0)")</f>
        <v>77242113UCO3001-CZE-DD5-CZ10022-Financial Disclosure Form-09 Dec 2025 (v1.0)</v>
      </c>
      <c r="B34" s="3" t="s">
        <v>176</v>
      </c>
      <c r="C34" s="3" t="s">
        <v>18</v>
      </c>
      <c r="D34" s="3" t="s">
        <v>57</v>
      </c>
      <c r="E34" s="3" t="s">
        <v>189</v>
      </c>
      <c r="F34" s="3" t="s">
        <v>477</v>
      </c>
      <c r="G34" s="2" t="str">
        <f>HYPERLINK("https://vtmf.veevavault.com/ui/#doc_info/30639057/1/0", "VTMF-24688783")</f>
        <v>VTMF-24688783</v>
      </c>
      <c r="H34" s="3"/>
      <c r="I34" s="3" t="s">
        <v>22</v>
      </c>
      <c r="J34" s="3" t="s">
        <v>176</v>
      </c>
      <c r="K34" s="4">
        <v>46009.674351851849</v>
      </c>
      <c r="L34" s="5">
        <v>46009</v>
      </c>
      <c r="M34" s="3" t="s">
        <v>23</v>
      </c>
      <c r="N34" s="3" t="s">
        <v>191</v>
      </c>
      <c r="O34" s="3" t="s">
        <v>25</v>
      </c>
      <c r="P34" s="3" t="s">
        <v>451</v>
      </c>
      <c r="Q34" s="3" t="s">
        <v>27</v>
      </c>
    </row>
    <row r="35" spans="1:17" x14ac:dyDescent="0.35">
      <c r="A35" s="2" t="str">
        <f>HYPERLINK("https://vtmf.veevavault.com/ui/#doc_info/30639071/1/0", "77242113UCO3001-CZE-DD5-CZ10022-Financial Disclosure Form-09 Dec 2025 (v1.0)")</f>
        <v>77242113UCO3001-CZE-DD5-CZ10022-Financial Disclosure Form-09 Dec 2025 (v1.0)</v>
      </c>
      <c r="B35" s="3" t="s">
        <v>176</v>
      </c>
      <c r="C35" s="3" t="s">
        <v>18</v>
      </c>
      <c r="D35" s="3" t="s">
        <v>57</v>
      </c>
      <c r="E35" s="3" t="s">
        <v>189</v>
      </c>
      <c r="F35" s="3" t="s">
        <v>478</v>
      </c>
      <c r="G35" s="2" t="str">
        <f>HYPERLINK("https://vtmf.veevavault.com/ui/#doc_info/30639071/1/0", "VTMF-24688810")</f>
        <v>VTMF-24688810</v>
      </c>
      <c r="H35" s="3"/>
      <c r="I35" s="3" t="s">
        <v>22</v>
      </c>
      <c r="J35" s="3" t="s">
        <v>176</v>
      </c>
      <c r="K35" s="4">
        <v>46009.676851851851</v>
      </c>
      <c r="L35" s="5">
        <v>46009</v>
      </c>
      <c r="M35" s="3" t="s">
        <v>23</v>
      </c>
      <c r="N35" s="3" t="s">
        <v>191</v>
      </c>
      <c r="O35" s="3" t="s">
        <v>25</v>
      </c>
      <c r="P35" s="3" t="s">
        <v>451</v>
      </c>
      <c r="Q35" s="3" t="s">
        <v>27</v>
      </c>
    </row>
    <row r="36" spans="1:17" x14ac:dyDescent="0.35">
      <c r="A36" s="2" t="str">
        <f>HYPERLINK("https://vtmf.veevavault.com/ui/#doc_info/30636130/1/0", "77242113UCO3001-CZE-DD5-CZ10022-IP Site Release Documentation-18 Dec 2025 (v1.0)")</f>
        <v>77242113UCO3001-CZE-DD5-CZ10022-IP Site Release Documentation-18 Dec 2025 (v1.0)</v>
      </c>
      <c r="B36" s="3" t="s">
        <v>94</v>
      </c>
      <c r="C36" s="3" t="s">
        <v>18</v>
      </c>
      <c r="D36" s="3" t="s">
        <v>57</v>
      </c>
      <c r="E36" s="3" t="s">
        <v>95</v>
      </c>
      <c r="F36" s="3" t="s">
        <v>479</v>
      </c>
      <c r="G36" s="2" t="str">
        <f>HYPERLINK("https://vtmf.veevavault.com/ui/#doc_info/30636130/1/0", "VTMF-24686360")</f>
        <v>VTMF-24686360</v>
      </c>
      <c r="H36" s="3"/>
      <c r="I36" s="3" t="s">
        <v>22</v>
      </c>
      <c r="J36" s="3" t="s">
        <v>94</v>
      </c>
      <c r="K36" s="4">
        <v>46009.457939814813</v>
      </c>
      <c r="L36" s="5">
        <v>46009</v>
      </c>
      <c r="M36" s="3" t="s">
        <v>23</v>
      </c>
      <c r="N36" s="3" t="s">
        <v>97</v>
      </c>
      <c r="O36" s="3" t="s">
        <v>25</v>
      </c>
      <c r="P36" s="3" t="s">
        <v>451</v>
      </c>
      <c r="Q36" s="3" t="s">
        <v>27</v>
      </c>
    </row>
    <row r="37" spans="1:17" x14ac:dyDescent="0.35">
      <c r="A37" s="2" t="str">
        <f>HYPERLINK("https://vtmf.veevavault.com/ui/#doc_info/30638761/1/0", "77242113UCO3001-CZE-DD5-CZ10022-Other Curriculum Vitae-01 Dec 2025 (v1.0)")</f>
        <v>77242113UCO3001-CZE-DD5-CZ10022-Other Curriculum Vitae-01 Dec 2025 (v1.0)</v>
      </c>
      <c r="B37" s="3" t="s">
        <v>176</v>
      </c>
      <c r="C37" s="3" t="s">
        <v>18</v>
      </c>
      <c r="D37" s="3" t="s">
        <v>57</v>
      </c>
      <c r="E37" s="3" t="s">
        <v>58</v>
      </c>
      <c r="F37" s="3" t="s">
        <v>480</v>
      </c>
      <c r="G37" s="2" t="str">
        <f>HYPERLINK("https://vtmf.veevavault.com/ui/#doc_info/30638761/1/0", "VTMF-24688459")</f>
        <v>VTMF-24688459</v>
      </c>
      <c r="H37" s="3"/>
      <c r="I37" s="3" t="s">
        <v>22</v>
      </c>
      <c r="J37" s="3" t="s">
        <v>176</v>
      </c>
      <c r="K37" s="4">
        <v>46009.653391203698</v>
      </c>
      <c r="L37" s="5">
        <v>46009</v>
      </c>
      <c r="M37" s="3" t="s">
        <v>23</v>
      </c>
      <c r="N37" s="3" t="s">
        <v>60</v>
      </c>
      <c r="O37" s="3" t="s">
        <v>25</v>
      </c>
      <c r="P37" s="3" t="s">
        <v>451</v>
      </c>
      <c r="Q37" s="3" t="s">
        <v>27</v>
      </c>
    </row>
    <row r="38" spans="1:17" x14ac:dyDescent="0.35">
      <c r="A38" s="2" t="str">
        <f>HYPERLINK("https://vtmf.veevavault.com/ui/#doc_info/30625700/1/0", "77242113UCO3001-CZE-DD5-CZ10022-Acceptance of Investigator Brochure-09 Dec 2025 (v1.0)")</f>
        <v>77242113UCO3001-CZE-DD5-CZ10022-Acceptance of Investigator Brochure-09 Dec 2025 (v1.0)</v>
      </c>
      <c r="B38" s="3" t="s">
        <v>176</v>
      </c>
      <c r="C38" s="3" t="s">
        <v>18</v>
      </c>
      <c r="D38" s="3" t="s">
        <v>57</v>
      </c>
      <c r="E38" s="3" t="s">
        <v>92</v>
      </c>
      <c r="F38" s="3" t="s">
        <v>481</v>
      </c>
      <c r="G38" s="2" t="str">
        <f>HYPERLINK("https://vtmf.veevavault.com/ui/#doc_info/30625700/1/0", "VTMF-24677273")</f>
        <v>VTMF-24677273</v>
      </c>
      <c r="H38" s="3"/>
      <c r="I38" s="3" t="s">
        <v>22</v>
      </c>
      <c r="J38" s="3" t="s">
        <v>176</v>
      </c>
      <c r="K38" s="4">
        <v>46008.593310185177</v>
      </c>
      <c r="L38" s="5">
        <v>46008</v>
      </c>
      <c r="M38" s="3" t="s">
        <v>23</v>
      </c>
      <c r="N38" s="3" t="s">
        <v>67</v>
      </c>
      <c r="O38" s="3" t="s">
        <v>25</v>
      </c>
      <c r="P38" s="3" t="s">
        <v>451</v>
      </c>
      <c r="Q38" s="3" t="s">
        <v>27</v>
      </c>
    </row>
    <row r="39" spans="1:17" x14ac:dyDescent="0.35">
      <c r="A39" s="2" t="str">
        <f>HYPERLINK("https://vtmf.veevavault.com/ui/#doc_info/30626512/1/0", "77242113UCO3001-CZE-DD5-CZ10022-Certification of Electronic Signature-09 Dec 2025 (v1.0)")</f>
        <v>77242113UCO3001-CZE-DD5-CZ10022-Certification of Electronic Signature-09 Dec 2025 (v1.0)</v>
      </c>
      <c r="B39" s="3" t="s">
        <v>176</v>
      </c>
      <c r="C39" s="3" t="s">
        <v>84</v>
      </c>
      <c r="D39" s="3" t="s">
        <v>85</v>
      </c>
      <c r="E39" s="3" t="s">
        <v>86</v>
      </c>
      <c r="F39" s="3" t="s">
        <v>482</v>
      </c>
      <c r="G39" s="2" t="str">
        <f>HYPERLINK("https://vtmf.veevavault.com/ui/#doc_info/30626512/1/0", "VTMF-24677705")</f>
        <v>VTMF-24677705</v>
      </c>
      <c r="H39" s="3"/>
      <c r="I39" s="3" t="s">
        <v>22</v>
      </c>
      <c r="J39" s="3" t="s">
        <v>176</v>
      </c>
      <c r="K39" s="4">
        <v>46008.627893518518</v>
      </c>
      <c r="L39" s="5">
        <v>46008</v>
      </c>
      <c r="M39" s="3" t="s">
        <v>23</v>
      </c>
      <c r="N39" s="3" t="s">
        <v>60</v>
      </c>
      <c r="O39" s="3" t="s">
        <v>25</v>
      </c>
      <c r="P39" s="3" t="s">
        <v>451</v>
      </c>
      <c r="Q39" s="3" t="s">
        <v>27</v>
      </c>
    </row>
    <row r="40" spans="1:17" x14ac:dyDescent="0.35">
      <c r="A40" s="2" t="str">
        <f>HYPERLINK("https://vtmf.veevavault.com/ui/#doc_info/30626529/1/0", "77242113UCO3001-CZE-DD5-CZ10022-Clinical Trial Agreement-09 Dec 2025 (v1.0)")</f>
        <v>77242113UCO3001-CZE-DD5-CZ10022-Clinical Trial Agreement-09 Dec 2025 (v1.0)</v>
      </c>
      <c r="B40" s="3" t="s">
        <v>176</v>
      </c>
      <c r="C40" s="3" t="s">
        <v>18</v>
      </c>
      <c r="D40" s="3" t="s">
        <v>57</v>
      </c>
      <c r="E40" s="3" t="s">
        <v>158</v>
      </c>
      <c r="F40" s="3" t="s">
        <v>483</v>
      </c>
      <c r="G40" s="2" t="str">
        <f>HYPERLINK("https://vtmf.veevavault.com/ui/#doc_info/30626529/1/0", "VTMF-24677740")</f>
        <v>VTMF-24677740</v>
      </c>
      <c r="H40" s="3"/>
      <c r="I40" s="3" t="s">
        <v>22</v>
      </c>
      <c r="J40" s="3" t="s">
        <v>176</v>
      </c>
      <c r="K40" s="4">
        <v>46008.631493055553</v>
      </c>
      <c r="L40" s="5">
        <v>46008</v>
      </c>
      <c r="M40" s="3" t="s">
        <v>23</v>
      </c>
      <c r="N40" s="3" t="s">
        <v>97</v>
      </c>
      <c r="O40" s="3" t="s">
        <v>25</v>
      </c>
      <c r="P40" s="3" t="s">
        <v>451</v>
      </c>
      <c r="Q40" s="3" t="s">
        <v>27</v>
      </c>
    </row>
    <row r="41" spans="1:17" x14ac:dyDescent="0.35">
      <c r="A41" s="2" t="str">
        <f>HYPERLINK("https://vtmf.veevavault.com/ui/#doc_info/30626639/1/0", "77242113UCO3001-CZE-DD5-CZ10022-Clinical Trial Agreement-09 Dec 2025 (v1.0)")</f>
        <v>77242113UCO3001-CZE-DD5-CZ10022-Clinical Trial Agreement-09 Dec 2025 (v1.0)</v>
      </c>
      <c r="B41" s="3" t="s">
        <v>176</v>
      </c>
      <c r="C41" s="3" t="s">
        <v>18</v>
      </c>
      <c r="D41" s="3" t="s">
        <v>57</v>
      </c>
      <c r="E41" s="3" t="s">
        <v>158</v>
      </c>
      <c r="F41" s="3" t="s">
        <v>484</v>
      </c>
      <c r="G41" s="2" t="str">
        <f>HYPERLINK("https://vtmf.veevavault.com/ui/#doc_info/30626639/1/0", "VTMF-24677777")</f>
        <v>VTMF-24677777</v>
      </c>
      <c r="H41" s="3"/>
      <c r="I41" s="3" t="s">
        <v>22</v>
      </c>
      <c r="J41" s="3" t="s">
        <v>176</v>
      </c>
      <c r="K41" s="4">
        <v>46008.636863425927</v>
      </c>
      <c r="L41" s="5">
        <v>46008</v>
      </c>
      <c r="M41" s="3" t="s">
        <v>23</v>
      </c>
      <c r="N41" s="3" t="s">
        <v>97</v>
      </c>
      <c r="O41" s="3" t="s">
        <v>25</v>
      </c>
      <c r="P41" s="3" t="s">
        <v>451</v>
      </c>
      <c r="Q41" s="3" t="s">
        <v>27</v>
      </c>
    </row>
    <row r="42" spans="1:17" x14ac:dyDescent="0.35">
      <c r="A42" s="2" t="str">
        <f>HYPERLINK("https://vtmf.veevavault.com/ui/#doc_info/30625928/1/0", "77242113UCO3001-CZE-DD5-CZ10022-Non-IP Shipment Documentation-09 Dec 2025 (v1.0)")</f>
        <v>77242113UCO3001-CZE-DD5-CZ10022-Non-IP Shipment Documentation-09 Dec 2025 (v1.0)</v>
      </c>
      <c r="B42" s="3" t="s">
        <v>176</v>
      </c>
      <c r="C42" s="3" t="s">
        <v>28</v>
      </c>
      <c r="D42" s="3" t="s">
        <v>29</v>
      </c>
      <c r="E42" s="3" t="s">
        <v>30</v>
      </c>
      <c r="F42" s="3" t="s">
        <v>485</v>
      </c>
      <c r="G42" s="2" t="str">
        <f>HYPERLINK("https://vtmf.veevavault.com/ui/#doc_info/30625928/1/0", "VTMF-24677329")</f>
        <v>VTMF-24677329</v>
      </c>
      <c r="H42" s="3"/>
      <c r="I42" s="3" t="s">
        <v>22</v>
      </c>
      <c r="J42" s="3" t="s">
        <v>176</v>
      </c>
      <c r="K42" s="4">
        <v>46008.600486111107</v>
      </c>
      <c r="L42" s="5">
        <v>46008</v>
      </c>
      <c r="M42" s="3" t="s">
        <v>23</v>
      </c>
      <c r="N42" s="3" t="s">
        <v>32</v>
      </c>
      <c r="O42" s="3" t="s">
        <v>25</v>
      </c>
      <c r="P42" s="3" t="s">
        <v>451</v>
      </c>
      <c r="Q42" s="3" t="s">
        <v>27</v>
      </c>
    </row>
    <row r="43" spans="1:17" x14ac:dyDescent="0.35">
      <c r="A43" s="2" t="str">
        <f>HYPERLINK("https://vtmf.veevavault.com/ui/#doc_info/30625939/1/0", "77242113UCO3001-CZE-DD5-CZ10022-Non-IP Shipment Documentation-09 Dec 2025 (v1.0)")</f>
        <v>77242113UCO3001-CZE-DD5-CZ10022-Non-IP Shipment Documentation-09 Dec 2025 (v1.0)</v>
      </c>
      <c r="B43" s="3" t="s">
        <v>176</v>
      </c>
      <c r="C43" s="3" t="s">
        <v>28</v>
      </c>
      <c r="D43" s="3" t="s">
        <v>29</v>
      </c>
      <c r="E43" s="3" t="s">
        <v>30</v>
      </c>
      <c r="F43" s="3" t="s">
        <v>486</v>
      </c>
      <c r="G43" s="2" t="str">
        <f>HYPERLINK("https://vtmf.veevavault.com/ui/#doc_info/30625939/1/0", "VTMF-24677352")</f>
        <v>VTMF-24677352</v>
      </c>
      <c r="H43" s="3"/>
      <c r="I43" s="3" t="s">
        <v>22</v>
      </c>
      <c r="J43" s="3" t="s">
        <v>176</v>
      </c>
      <c r="K43" s="4">
        <v>46008.602800925917</v>
      </c>
      <c r="L43" s="5">
        <v>46008</v>
      </c>
      <c r="M43" s="3" t="s">
        <v>23</v>
      </c>
      <c r="N43" s="3" t="s">
        <v>32</v>
      </c>
      <c r="O43" s="3" t="s">
        <v>25</v>
      </c>
      <c r="P43" s="3" t="s">
        <v>451</v>
      </c>
      <c r="Q43" s="3" t="s">
        <v>27</v>
      </c>
    </row>
    <row r="44" spans="1:17" x14ac:dyDescent="0.35">
      <c r="A44" s="2" t="str">
        <f>HYPERLINK("https://vtmf.veevavault.com/ui/#doc_info/30625971/1/0", "77242113UCO3001-CZE-DD5-CZ10022-Non-IP Shipment Documentation-09 Dec 2025 (v1.0)")</f>
        <v>77242113UCO3001-CZE-DD5-CZ10022-Non-IP Shipment Documentation-09 Dec 2025 (v1.0)</v>
      </c>
      <c r="B44" s="3" t="s">
        <v>176</v>
      </c>
      <c r="C44" s="3" t="s">
        <v>28</v>
      </c>
      <c r="D44" s="3" t="s">
        <v>29</v>
      </c>
      <c r="E44" s="3" t="s">
        <v>30</v>
      </c>
      <c r="F44" s="3" t="s">
        <v>487</v>
      </c>
      <c r="G44" s="2" t="str">
        <f>HYPERLINK("https://vtmf.veevavault.com/ui/#doc_info/30625971/1/0", "VTMF-24677397")</f>
        <v>VTMF-24677397</v>
      </c>
      <c r="H44" s="3"/>
      <c r="I44" s="3" t="s">
        <v>22</v>
      </c>
      <c r="J44" s="3" t="s">
        <v>176</v>
      </c>
      <c r="K44" s="4">
        <v>46008.607152777768</v>
      </c>
      <c r="L44" s="5">
        <v>46008</v>
      </c>
      <c r="M44" s="3" t="s">
        <v>23</v>
      </c>
      <c r="N44" s="3" t="s">
        <v>32</v>
      </c>
      <c r="O44" s="3" t="s">
        <v>25</v>
      </c>
      <c r="P44" s="3" t="s">
        <v>451</v>
      </c>
      <c r="Q44" s="3" t="s">
        <v>27</v>
      </c>
    </row>
    <row r="45" spans="1:17" x14ac:dyDescent="0.35">
      <c r="A45" s="2" t="str">
        <f>HYPERLINK("https://vtmf.veevavault.com/ui/#doc_info/30626387/1/0", "77242113UCO3001-CZE-DD5-CZ10022-Non-IP Shipment Documentation-09 Dec 2025 (v1.0)")</f>
        <v>77242113UCO3001-CZE-DD5-CZ10022-Non-IP Shipment Documentation-09 Dec 2025 (v1.0)</v>
      </c>
      <c r="B45" s="3" t="s">
        <v>176</v>
      </c>
      <c r="C45" s="3" t="s">
        <v>28</v>
      </c>
      <c r="D45" s="3" t="s">
        <v>29</v>
      </c>
      <c r="E45" s="3" t="s">
        <v>30</v>
      </c>
      <c r="F45" s="3" t="s">
        <v>488</v>
      </c>
      <c r="G45" s="2" t="str">
        <f>HYPERLINK("https://vtmf.veevavault.com/ui/#doc_info/30626387/1/0", "VTMF-24677657")</f>
        <v>VTMF-24677657</v>
      </c>
      <c r="H45" s="3"/>
      <c r="I45" s="3" t="s">
        <v>22</v>
      </c>
      <c r="J45" s="3" t="s">
        <v>176</v>
      </c>
      <c r="K45" s="4">
        <v>46008.624189814807</v>
      </c>
      <c r="L45" s="5">
        <v>46008</v>
      </c>
      <c r="M45" s="3" t="s">
        <v>23</v>
      </c>
      <c r="N45" s="3" t="s">
        <v>32</v>
      </c>
      <c r="O45" s="3" t="s">
        <v>25</v>
      </c>
      <c r="P45" s="3" t="s">
        <v>451</v>
      </c>
      <c r="Q45" s="3" t="s">
        <v>27</v>
      </c>
    </row>
    <row r="46" spans="1:17" x14ac:dyDescent="0.35">
      <c r="A46" s="2" t="str">
        <f>HYPERLINK("https://vtmf.veevavault.com/ui/#doc_info/30625910/1/0", "77242113UCO3001-CZE-DD5-CZ10022-Principal Investigator Financial Disclosure Form-09 Dec 2025 (v1.0)")</f>
        <v>77242113UCO3001-CZE-DD5-CZ10022-Principal Investigator Financial Disclosure Form-09 Dec 2025 (v1.0)</v>
      </c>
      <c r="B46" s="3" t="s">
        <v>176</v>
      </c>
      <c r="C46" s="3" t="s">
        <v>18</v>
      </c>
      <c r="D46" s="3" t="s">
        <v>57</v>
      </c>
      <c r="E46" s="3" t="s">
        <v>98</v>
      </c>
      <c r="F46" s="3" t="s">
        <v>489</v>
      </c>
      <c r="G46" s="2" t="str">
        <f>HYPERLINK("https://vtmf.veevavault.com/ui/#doc_info/30625910/1/0", "VTMF-24677291")</f>
        <v>VTMF-24677291</v>
      </c>
      <c r="H46" s="3"/>
      <c r="I46" s="3" t="s">
        <v>22</v>
      </c>
      <c r="J46" s="3" t="s">
        <v>176</v>
      </c>
      <c r="K46" s="4">
        <v>46008.596018518518</v>
      </c>
      <c r="L46" s="5">
        <v>46008</v>
      </c>
      <c r="M46" s="3" t="s">
        <v>23</v>
      </c>
      <c r="N46" s="3" t="s">
        <v>100</v>
      </c>
      <c r="O46" s="3" t="s">
        <v>25</v>
      </c>
      <c r="P46" s="3" t="s">
        <v>451</v>
      </c>
      <c r="Q46" s="3" t="s">
        <v>27</v>
      </c>
    </row>
    <row r="47" spans="1:17" x14ac:dyDescent="0.35">
      <c r="A47" s="2" t="str">
        <f>HYPERLINK("https://vtmf.veevavault.com/ui/#doc_info/30626927/1/0", "77242113UCO3001-CZE-DD5-CZ10022-Protocol Signature Page-09 Dec 2025 (v1.0)")</f>
        <v>77242113UCO3001-CZE-DD5-CZ10022-Protocol Signature Page-09 Dec 2025 (v1.0)</v>
      </c>
      <c r="B47" s="3" t="s">
        <v>176</v>
      </c>
      <c r="C47" s="3" t="s">
        <v>18</v>
      </c>
      <c r="D47" s="3" t="s">
        <v>57</v>
      </c>
      <c r="E47" s="3" t="s">
        <v>101</v>
      </c>
      <c r="F47" s="3" t="s">
        <v>490</v>
      </c>
      <c r="G47" s="2" t="str">
        <f>HYPERLINK("https://vtmf.veevavault.com/ui/#doc_info/30626927/1/0", "VTMF-24678158")</f>
        <v>VTMF-24678158</v>
      </c>
      <c r="H47" s="3"/>
      <c r="I47" s="3" t="s">
        <v>22</v>
      </c>
      <c r="J47" s="3" t="s">
        <v>176</v>
      </c>
      <c r="K47" s="4">
        <v>46008.670624999999</v>
      </c>
      <c r="L47" s="5">
        <v>46008</v>
      </c>
      <c r="M47" s="3" t="s">
        <v>23</v>
      </c>
      <c r="N47" s="3" t="s">
        <v>103</v>
      </c>
      <c r="O47" s="3" t="s">
        <v>25</v>
      </c>
      <c r="P47" s="3" t="s">
        <v>451</v>
      </c>
      <c r="Q47" s="3" t="s">
        <v>27</v>
      </c>
    </row>
    <row r="48" spans="1:17" x14ac:dyDescent="0.35">
      <c r="A48" s="2" t="str">
        <f>HYPERLINK("https://vtmf.veevavault.com/ui/#doc_info/30627310/1/0", "77242113UCO3001-CZE-DD5-CZ10022-Source Data-09 Dec 2025 (v1.0)")</f>
        <v>77242113UCO3001-CZE-DD5-CZ10022-Source Data-09 Dec 2025 (v1.0)</v>
      </c>
      <c r="B48" s="3" t="s">
        <v>176</v>
      </c>
      <c r="C48" s="3" t="s">
        <v>18</v>
      </c>
      <c r="D48" s="3" t="s">
        <v>18</v>
      </c>
      <c r="E48" s="3" t="s">
        <v>88</v>
      </c>
      <c r="F48" s="3" t="s">
        <v>203</v>
      </c>
      <c r="G48" s="2" t="str">
        <f>HYPERLINK("https://vtmf.veevavault.com/ui/#doc_info/30627310/1/0", "VTMF-24678452")</f>
        <v>VTMF-24678452</v>
      </c>
      <c r="H48" s="3"/>
      <c r="I48" s="3" t="s">
        <v>22</v>
      </c>
      <c r="J48" s="3" t="s">
        <v>176</v>
      </c>
      <c r="K48" s="4">
        <v>46008.694085648152</v>
      </c>
      <c r="L48" s="5">
        <v>46008</v>
      </c>
      <c r="M48" s="3" t="s">
        <v>23</v>
      </c>
      <c r="N48" s="3" t="s">
        <v>60</v>
      </c>
      <c r="O48" s="3" t="s">
        <v>25</v>
      </c>
      <c r="P48" s="3" t="s">
        <v>451</v>
      </c>
      <c r="Q48" s="3" t="s">
        <v>27</v>
      </c>
    </row>
    <row r="49" spans="1:17" x14ac:dyDescent="0.35">
      <c r="A49" s="2" t="str">
        <f>HYPERLINK("https://vtmf.veevavault.com/ui/#doc_info/30628301/1/0", "77242113UCO3001-CZE-DD5-CZ10022-Non-IP Shipment Documentation-16 Dec 2025 (v1.0)")</f>
        <v>77242113UCO3001-CZE-DD5-CZ10022-Non-IP Shipment Documentation-16 Dec 2025 (v1.0)</v>
      </c>
      <c r="B49" s="3" t="s">
        <v>176</v>
      </c>
      <c r="C49" s="3" t="s">
        <v>28</v>
      </c>
      <c r="D49" s="3" t="s">
        <v>29</v>
      </c>
      <c r="E49" s="3" t="s">
        <v>30</v>
      </c>
      <c r="F49" s="3" t="s">
        <v>491</v>
      </c>
      <c r="G49" s="2" t="str">
        <f>HYPERLINK("https://vtmf.veevavault.com/ui/#doc_info/30628301/1/0", "VTMF-24679204")</f>
        <v>VTMF-24679204</v>
      </c>
      <c r="H49" s="3"/>
      <c r="I49" s="3" t="s">
        <v>22</v>
      </c>
      <c r="J49" s="3" t="s">
        <v>176</v>
      </c>
      <c r="K49" s="4">
        <v>46008.738796296297</v>
      </c>
      <c r="L49" s="5">
        <v>46008</v>
      </c>
      <c r="M49" s="3" t="s">
        <v>23</v>
      </c>
      <c r="N49" s="3" t="s">
        <v>32</v>
      </c>
      <c r="O49" s="3" t="s">
        <v>81</v>
      </c>
      <c r="P49" s="3" t="s">
        <v>469</v>
      </c>
      <c r="Q49" s="3" t="s">
        <v>83</v>
      </c>
    </row>
    <row r="50" spans="1:17" x14ac:dyDescent="0.35">
      <c r="A50" s="2" t="str">
        <f>HYPERLINK("https://vtmf.veevavault.com/ui/#doc_info/30600982/1/0", "77242113CRD3001-CZE-DD6-CZ10022-Other Curriculum Vitae-04 Nov 2025 (v1.0)")</f>
        <v>77242113CRD3001-CZE-DD6-CZ10022-Other Curriculum Vitae-04 Nov 2025 (v1.0)</v>
      </c>
      <c r="B50" s="3" t="s">
        <v>184</v>
      </c>
      <c r="C50" s="3" t="s">
        <v>18</v>
      </c>
      <c r="D50" s="3" t="s">
        <v>57</v>
      </c>
      <c r="E50" s="3" t="s">
        <v>58</v>
      </c>
      <c r="F50" s="3" t="s">
        <v>492</v>
      </c>
      <c r="G50" s="2" t="str">
        <f>HYPERLINK("https://vtmf.veevavault.com/ui/#doc_info/30600982/1/0", "VTMF-24657073")</f>
        <v>VTMF-24657073</v>
      </c>
      <c r="H50" s="3"/>
      <c r="I50" s="3" t="s">
        <v>184</v>
      </c>
      <c r="J50" s="3" t="s">
        <v>184</v>
      </c>
      <c r="K50" s="4">
        <v>46005.423043981478</v>
      </c>
      <c r="L50" s="5">
        <v>46005</v>
      </c>
      <c r="M50" s="3" t="s">
        <v>23</v>
      </c>
      <c r="N50" s="3" t="s">
        <v>60</v>
      </c>
      <c r="O50" s="3" t="s">
        <v>81</v>
      </c>
      <c r="P50" s="3" t="s">
        <v>469</v>
      </c>
      <c r="Q50" s="3" t="s">
        <v>83</v>
      </c>
    </row>
    <row r="51" spans="1:17" x14ac:dyDescent="0.35">
      <c r="A51" s="2" t="str">
        <f>HYPERLINK("https://vtmf.veevavault.com/ui/#doc_info/30600979/1/0", "77242113CRD3001-CZE-DD6-CZ10022-Other Curriculum Vitae-12 Jun 2025 (v1.0)")</f>
        <v>77242113CRD3001-CZE-DD6-CZ10022-Other Curriculum Vitae-12 Jun 2025 (v1.0)</v>
      </c>
      <c r="B51" s="3" t="s">
        <v>184</v>
      </c>
      <c r="C51" s="3" t="s">
        <v>18</v>
      </c>
      <c r="D51" s="3" t="s">
        <v>57</v>
      </c>
      <c r="E51" s="3" t="s">
        <v>58</v>
      </c>
      <c r="F51" s="3" t="s">
        <v>493</v>
      </c>
      <c r="G51" s="2" t="str">
        <f>HYPERLINK("https://vtmf.veevavault.com/ui/#doc_info/30600979/1/0", "VTMF-24657068")</f>
        <v>VTMF-24657068</v>
      </c>
      <c r="H51" s="3"/>
      <c r="I51" s="3" t="s">
        <v>184</v>
      </c>
      <c r="J51" s="3" t="s">
        <v>184</v>
      </c>
      <c r="K51" s="4">
        <v>46005.41982638889</v>
      </c>
      <c r="L51" s="5">
        <v>46005</v>
      </c>
      <c r="M51" s="3" t="s">
        <v>23</v>
      </c>
      <c r="N51" s="3" t="s">
        <v>60</v>
      </c>
      <c r="O51" s="3" t="s">
        <v>81</v>
      </c>
      <c r="P51" s="3" t="s">
        <v>469</v>
      </c>
      <c r="Q51" s="3" t="s">
        <v>83</v>
      </c>
    </row>
    <row r="52" spans="1:17" x14ac:dyDescent="0.35">
      <c r="A52" s="2" t="str">
        <f>HYPERLINK("https://vtmf.veevavault.com/ui/#doc_info/30600980/1/0", "77242113CRD3001-CZE-DD6-CZ10022-Other Curriculum Vitae-12 Jun 2025 (v1.0)")</f>
        <v>77242113CRD3001-CZE-DD6-CZ10022-Other Curriculum Vitae-12 Jun 2025 (v1.0)</v>
      </c>
      <c r="B52" s="3" t="s">
        <v>184</v>
      </c>
      <c r="C52" s="3" t="s">
        <v>18</v>
      </c>
      <c r="D52" s="3" t="s">
        <v>57</v>
      </c>
      <c r="E52" s="3" t="s">
        <v>58</v>
      </c>
      <c r="F52" s="3" t="s">
        <v>494</v>
      </c>
      <c r="G52" s="2" t="str">
        <f>HYPERLINK("https://vtmf.veevavault.com/ui/#doc_info/30600980/1/0", "VTMF-24657071")</f>
        <v>VTMF-24657071</v>
      </c>
      <c r="H52" s="3"/>
      <c r="I52" s="3" t="s">
        <v>184</v>
      </c>
      <c r="J52" s="3" t="s">
        <v>184</v>
      </c>
      <c r="K52" s="4">
        <v>46005.421284722222</v>
      </c>
      <c r="L52" s="5">
        <v>46005</v>
      </c>
      <c r="M52" s="3" t="s">
        <v>23</v>
      </c>
      <c r="N52" s="3" t="s">
        <v>60</v>
      </c>
      <c r="O52" s="3" t="s">
        <v>81</v>
      </c>
      <c r="P52" s="3" t="s">
        <v>469</v>
      </c>
      <c r="Q52" s="3" t="s">
        <v>83</v>
      </c>
    </row>
    <row r="53" spans="1:17" x14ac:dyDescent="0.35">
      <c r="A53" s="2" t="str">
        <f>HYPERLINK("https://vtmf.veevavault.com/ui/#doc_info/30601601/1/0", "77242113CRD3001-CZE-DD6-CZ10022-Sub-Investigator Curriculum Vitae-10 Dec 2025 (v1.0)")</f>
        <v>77242113CRD3001-CZE-DD6-CZ10022-Sub-Investigator Curriculum Vitae-10 Dec 2025 (v1.0)</v>
      </c>
      <c r="B53" s="3" t="s">
        <v>184</v>
      </c>
      <c r="C53" s="3" t="s">
        <v>18</v>
      </c>
      <c r="D53" s="3" t="s">
        <v>57</v>
      </c>
      <c r="E53" s="3" t="s">
        <v>75</v>
      </c>
      <c r="F53" s="3" t="s">
        <v>495</v>
      </c>
      <c r="G53" s="2" t="str">
        <f>HYPERLINK("https://vtmf.veevavault.com/ui/#doc_info/30601601/1/0", "VTMF-24657473")</f>
        <v>VTMF-24657473</v>
      </c>
      <c r="H53" s="3"/>
      <c r="I53" s="3" t="s">
        <v>184</v>
      </c>
      <c r="J53" s="3" t="s">
        <v>184</v>
      </c>
      <c r="K53" s="4">
        <v>46005.703182870369</v>
      </c>
      <c r="L53" s="5">
        <v>46005</v>
      </c>
      <c r="M53" s="3" t="s">
        <v>23</v>
      </c>
      <c r="N53" s="3" t="s">
        <v>67</v>
      </c>
      <c r="O53" s="3" t="s">
        <v>81</v>
      </c>
      <c r="P53" s="3" t="s">
        <v>469</v>
      </c>
      <c r="Q53" s="3" t="s">
        <v>83</v>
      </c>
    </row>
    <row r="54" spans="1:17" x14ac:dyDescent="0.35">
      <c r="A54" s="2" t="str">
        <f>HYPERLINK("https://vtmf.veevavault.com/ui/#doc_info/30600977/1/0", "77242113CRD3001-CZE-DD6-CZ10022-Sub-Investigator Curriculum Vitae-14 Oct 2024 (v1.0)")</f>
        <v>77242113CRD3001-CZE-DD6-CZ10022-Sub-Investigator Curriculum Vitae-14 Oct 2024 (v1.0)</v>
      </c>
      <c r="B54" s="3" t="s">
        <v>184</v>
      </c>
      <c r="C54" s="3" t="s">
        <v>18</v>
      </c>
      <c r="D54" s="3" t="s">
        <v>57</v>
      </c>
      <c r="E54" s="3" t="s">
        <v>75</v>
      </c>
      <c r="F54" s="3" t="s">
        <v>496</v>
      </c>
      <c r="G54" s="2" t="str">
        <f>HYPERLINK("https://vtmf.veevavault.com/ui/#doc_info/30600977/1/0", "VTMF-24657064")</f>
        <v>VTMF-24657064</v>
      </c>
      <c r="H54" s="3"/>
      <c r="I54" s="3" t="s">
        <v>184</v>
      </c>
      <c r="J54" s="3" t="s">
        <v>184</v>
      </c>
      <c r="K54" s="4">
        <v>46005.41747685185</v>
      </c>
      <c r="L54" s="5">
        <v>46005</v>
      </c>
      <c r="M54" s="3" t="s">
        <v>23</v>
      </c>
      <c r="N54" s="3" t="s">
        <v>67</v>
      </c>
      <c r="O54" s="3" t="s">
        <v>81</v>
      </c>
      <c r="P54" s="3" t="s">
        <v>469</v>
      </c>
      <c r="Q54" s="3" t="s">
        <v>83</v>
      </c>
    </row>
    <row r="55" spans="1:17" x14ac:dyDescent="0.35">
      <c r="A55" s="2" t="str">
        <f>HYPERLINK("https://vtmf.veevavault.com/ui/#doc_info/30601602/1/0", "77242113UCO3001-CZE-DD5-CZ10022-Site Training Documentation-09 Dec 2025 (v1.0)")</f>
        <v>77242113UCO3001-CZE-DD5-CZ10022-Site Training Documentation-09 Dec 2025 (v1.0)</v>
      </c>
      <c r="B55" s="3" t="s">
        <v>184</v>
      </c>
      <c r="C55" s="3" t="s">
        <v>18</v>
      </c>
      <c r="D55" s="3" t="s">
        <v>68</v>
      </c>
      <c r="E55" s="3" t="s">
        <v>69</v>
      </c>
      <c r="F55" s="3" t="s">
        <v>497</v>
      </c>
      <c r="G55" s="2" t="str">
        <f>HYPERLINK("https://vtmf.veevavault.com/ui/#doc_info/30601602/1/0", "VTMF-24657474")</f>
        <v>VTMF-24657474</v>
      </c>
      <c r="H55" s="3"/>
      <c r="I55" s="3" t="s">
        <v>22</v>
      </c>
      <c r="J55" s="3" t="s">
        <v>184</v>
      </c>
      <c r="K55" s="4">
        <v>46005.705000000002</v>
      </c>
      <c r="L55" s="5">
        <v>46005</v>
      </c>
      <c r="M55" s="3" t="s">
        <v>23</v>
      </c>
      <c r="N55" s="3" t="s">
        <v>60</v>
      </c>
      <c r="O55" s="3" t="s">
        <v>81</v>
      </c>
      <c r="P55" s="3" t="s">
        <v>469</v>
      </c>
      <c r="Q55" s="3" t="s">
        <v>83</v>
      </c>
    </row>
    <row r="56" spans="1:17" x14ac:dyDescent="0.35">
      <c r="A56" s="2" t="str">
        <f>HYPERLINK("https://vtmf.veevavault.com/ui/#doc_info/30601608/1/0", "77242113UCO3001-CZE-DD5-CZ10022-Site Training Documentation-09 Dec 2025 (v1.0)")</f>
        <v>77242113UCO3001-CZE-DD5-CZ10022-Site Training Documentation-09 Dec 2025 (v1.0)</v>
      </c>
      <c r="B56" s="3" t="s">
        <v>184</v>
      </c>
      <c r="C56" s="3" t="s">
        <v>18</v>
      </c>
      <c r="D56" s="3" t="s">
        <v>68</v>
      </c>
      <c r="E56" s="3" t="s">
        <v>69</v>
      </c>
      <c r="F56" s="3" t="s">
        <v>498</v>
      </c>
      <c r="G56" s="2" t="str">
        <f>HYPERLINK("https://vtmf.veevavault.com/ui/#doc_info/30601608/1/0", "VTMF-24657480")</f>
        <v>VTMF-24657480</v>
      </c>
      <c r="H56" s="3"/>
      <c r="I56" s="3" t="s">
        <v>22</v>
      </c>
      <c r="J56" s="3" t="s">
        <v>184</v>
      </c>
      <c r="K56" s="4">
        <v>46005.706863425927</v>
      </c>
      <c r="L56" s="5">
        <v>46005</v>
      </c>
      <c r="M56" s="3" t="s">
        <v>23</v>
      </c>
      <c r="N56" s="3" t="s">
        <v>60</v>
      </c>
      <c r="O56" s="3" t="s">
        <v>81</v>
      </c>
      <c r="P56" s="3" t="s">
        <v>469</v>
      </c>
      <c r="Q56" s="3" t="s">
        <v>83</v>
      </c>
    </row>
    <row r="57" spans="1:17" x14ac:dyDescent="0.35">
      <c r="A57" s="2" t="str">
        <f>HYPERLINK("https://vtmf.veevavault.com/ui/#doc_info/30601609/1/0", "77242113UCO3001-CZE-DD5-CZ10022-Site Training Documentation-09 Dec 2025 (v1.0)")</f>
        <v>77242113UCO3001-CZE-DD5-CZ10022-Site Training Documentation-09 Dec 2025 (v1.0)</v>
      </c>
      <c r="B57" s="3" t="s">
        <v>184</v>
      </c>
      <c r="C57" s="3" t="s">
        <v>18</v>
      </c>
      <c r="D57" s="3" t="s">
        <v>68</v>
      </c>
      <c r="E57" s="3" t="s">
        <v>69</v>
      </c>
      <c r="F57" s="3" t="s">
        <v>499</v>
      </c>
      <c r="G57" s="2" t="str">
        <f>HYPERLINK("https://vtmf.veevavault.com/ui/#doc_info/30601609/1/0", "VTMF-24657481")</f>
        <v>VTMF-24657481</v>
      </c>
      <c r="H57" s="3"/>
      <c r="I57" s="3" t="s">
        <v>22</v>
      </c>
      <c r="J57" s="3" t="s">
        <v>184</v>
      </c>
      <c r="K57" s="4">
        <v>46005.708148148151</v>
      </c>
      <c r="L57" s="5">
        <v>46005</v>
      </c>
      <c r="M57" s="3" t="s">
        <v>23</v>
      </c>
      <c r="N57" s="3" t="s">
        <v>60</v>
      </c>
      <c r="O57" s="3" t="s">
        <v>81</v>
      </c>
      <c r="P57" s="3" t="s">
        <v>469</v>
      </c>
      <c r="Q57" s="3" t="s">
        <v>83</v>
      </c>
    </row>
    <row r="58" spans="1:17" x14ac:dyDescent="0.35">
      <c r="A58" s="2" t="str">
        <f>HYPERLINK("https://vtmf.veevavault.com/ui/#doc_info/30601486/1/0", "77242113UCO3001-CZE-DD5-CZ10022-Site Training Documentation-10 Sep 2025 (v1.0)")</f>
        <v>77242113UCO3001-CZE-DD5-CZ10022-Site Training Documentation-10 Sep 2025 (v1.0)</v>
      </c>
      <c r="B58" s="3" t="s">
        <v>184</v>
      </c>
      <c r="C58" s="3" t="s">
        <v>18</v>
      </c>
      <c r="D58" s="3" t="s">
        <v>68</v>
      </c>
      <c r="E58" s="3" t="s">
        <v>69</v>
      </c>
      <c r="F58" s="3" t="s">
        <v>500</v>
      </c>
      <c r="G58" s="2" t="str">
        <f>HYPERLINK("https://vtmf.veevavault.com/ui/#doc_info/30601486/1/0", "VTMF-24657466")</f>
        <v>VTMF-24657466</v>
      </c>
      <c r="H58" s="3"/>
      <c r="I58" s="3" t="s">
        <v>22</v>
      </c>
      <c r="J58" s="3" t="s">
        <v>184</v>
      </c>
      <c r="K58" s="4">
        <v>46005.698854166672</v>
      </c>
      <c r="L58" s="5">
        <v>46005</v>
      </c>
      <c r="M58" s="3" t="s">
        <v>23</v>
      </c>
      <c r="N58" s="3" t="s">
        <v>60</v>
      </c>
      <c r="O58" s="3" t="s">
        <v>81</v>
      </c>
      <c r="P58" s="3" t="s">
        <v>469</v>
      </c>
      <c r="Q58" s="3" t="s">
        <v>83</v>
      </c>
    </row>
    <row r="59" spans="1:17" x14ac:dyDescent="0.35">
      <c r="A59" s="2" t="str">
        <f>HYPERLINK("https://vtmf.veevavault.com/ui/#doc_info/30587538/1/0", "77242113UCO3001-CZE-DD5-CZ10022-Source Data-11 Dec 2025 (v1.0)")</f>
        <v>77242113UCO3001-CZE-DD5-CZ10022-Source Data-11 Dec 2025 (v1.0)</v>
      </c>
      <c r="B59" s="3" t="s">
        <v>107</v>
      </c>
      <c r="C59" s="3" t="s">
        <v>18</v>
      </c>
      <c r="D59" s="3" t="s">
        <v>18</v>
      </c>
      <c r="E59" s="3" t="s">
        <v>88</v>
      </c>
      <c r="F59" s="3" t="s">
        <v>108</v>
      </c>
      <c r="G59" s="2" t="str">
        <f>HYPERLINK("https://vtmf.veevavault.com/ui/#doc_info/30587538/1/0", "VTMF-24645176")</f>
        <v>VTMF-24645176</v>
      </c>
      <c r="H59" s="3"/>
      <c r="I59" s="3" t="s">
        <v>22</v>
      </c>
      <c r="J59" s="3" t="s">
        <v>107</v>
      </c>
      <c r="K59" s="4">
        <v>46002.815613425933</v>
      </c>
      <c r="L59" s="5">
        <v>46003</v>
      </c>
      <c r="M59" s="3" t="s">
        <v>23</v>
      </c>
      <c r="N59" s="3" t="s">
        <v>60</v>
      </c>
      <c r="O59" s="3" t="s">
        <v>25</v>
      </c>
      <c r="P59" s="3" t="s">
        <v>451</v>
      </c>
      <c r="Q59" s="3" t="s">
        <v>27</v>
      </c>
    </row>
    <row r="60" spans="1:17" x14ac:dyDescent="0.35">
      <c r="A60" s="2" t="str">
        <f>HYPERLINK("https://vtmf.veevavault.com/ui/#doc_info/30555459/1/0", "77242113UCO3001-CZE-DD5-CZ10022-Site Confirmation Letter-SIVR_CL-09 Dec 2025 (v1.0)")</f>
        <v>77242113UCO3001-CZE-DD5-CZ10022-Site Confirmation Letter-SIVR_CL-09 Dec 2025 (v1.0)</v>
      </c>
      <c r="B60" s="3" t="s">
        <v>38</v>
      </c>
      <c r="C60" s="3" t="s">
        <v>18</v>
      </c>
      <c r="D60" s="3" t="s">
        <v>18</v>
      </c>
      <c r="E60" s="3" t="s">
        <v>47</v>
      </c>
      <c r="F60" s="3"/>
      <c r="G60" s="2" t="str">
        <f>HYPERLINK("https://vtmf.veevavault.com/ui/#doc_info/30555459/1/0", "VTMF-24618052")</f>
        <v>VTMF-24618052</v>
      </c>
      <c r="H60" s="3"/>
      <c r="I60" s="3" t="s">
        <v>40</v>
      </c>
      <c r="J60" s="3" t="s">
        <v>38</v>
      </c>
      <c r="K60" s="4">
        <v>45999.395312499997</v>
      </c>
      <c r="L60" s="5">
        <v>45999</v>
      </c>
      <c r="M60" s="3" t="s">
        <v>23</v>
      </c>
      <c r="N60" s="3" t="s">
        <v>41</v>
      </c>
      <c r="O60" s="3" t="s">
        <v>25</v>
      </c>
      <c r="P60" s="3" t="s">
        <v>451</v>
      </c>
      <c r="Q60" s="3" t="s">
        <v>27</v>
      </c>
    </row>
    <row r="61" spans="1:17" x14ac:dyDescent="0.35">
      <c r="A61" s="2" t="str">
        <f>HYPERLINK("https://vtmf.veevavault.com/ui/#doc_info/30527534/1/0", "77242113UCO3001-CZE-DD5-CZ10022-Maintenance Logs (Device)-11 Mar 2025 (v1.0)")</f>
        <v>77242113UCO3001-CZE-DD5-CZ10022-Maintenance Logs (Device)-11 Mar 2025 (v1.0)</v>
      </c>
      <c r="B61" s="3" t="s">
        <v>184</v>
      </c>
      <c r="C61" s="3" t="s">
        <v>28</v>
      </c>
      <c r="D61" s="3" t="s">
        <v>77</v>
      </c>
      <c r="E61" s="3" t="s">
        <v>109</v>
      </c>
      <c r="F61" s="3" t="s">
        <v>501</v>
      </c>
      <c r="G61" s="2" t="str">
        <f>HYPERLINK("https://vtmf.veevavault.com/ui/#doc_info/30527534/1/0", "VTMF-24594036")</f>
        <v>VTMF-24594036</v>
      </c>
      <c r="H61" s="3"/>
      <c r="I61" s="3" t="s">
        <v>22</v>
      </c>
      <c r="J61" s="3" t="s">
        <v>184</v>
      </c>
      <c r="K61" s="4">
        <v>45994.738449074073</v>
      </c>
      <c r="L61" s="5">
        <v>45994</v>
      </c>
      <c r="M61" s="3" t="s">
        <v>23</v>
      </c>
      <c r="N61" s="3" t="s">
        <v>111</v>
      </c>
      <c r="O61" s="3" t="s">
        <v>81</v>
      </c>
      <c r="P61" s="3" t="s">
        <v>469</v>
      </c>
      <c r="Q61" s="3" t="s">
        <v>83</v>
      </c>
    </row>
    <row r="62" spans="1:17" x14ac:dyDescent="0.35">
      <c r="A62" s="2" t="str">
        <f>HYPERLINK("https://vtmf.veevavault.com/ui/#doc_info/30527217/1/0", "77242113UCO3001-CZE-DD5-CZ10022-Maintenance Logs (Device)-18 Mar 2025 (v1.0)")</f>
        <v>77242113UCO3001-CZE-DD5-CZ10022-Maintenance Logs (Device)-18 Mar 2025 (v1.0)</v>
      </c>
      <c r="B62" s="3" t="s">
        <v>184</v>
      </c>
      <c r="C62" s="3" t="s">
        <v>28</v>
      </c>
      <c r="D62" s="3" t="s">
        <v>77</v>
      </c>
      <c r="E62" s="3" t="s">
        <v>109</v>
      </c>
      <c r="F62" s="3" t="s">
        <v>502</v>
      </c>
      <c r="G62" s="2" t="str">
        <f>HYPERLINK("https://vtmf.veevavault.com/ui/#doc_info/30527217/1/0", "VTMF-24593737")</f>
        <v>VTMF-24593737</v>
      </c>
      <c r="H62" s="3"/>
      <c r="I62" s="3" t="s">
        <v>22</v>
      </c>
      <c r="J62" s="3" t="s">
        <v>184</v>
      </c>
      <c r="K62" s="4">
        <v>45994.710150462961</v>
      </c>
      <c r="L62" s="5">
        <v>45994</v>
      </c>
      <c r="M62" s="3" t="s">
        <v>23</v>
      </c>
      <c r="N62" s="3" t="s">
        <v>111</v>
      </c>
      <c r="O62" s="3" t="s">
        <v>81</v>
      </c>
      <c r="P62" s="3" t="s">
        <v>469</v>
      </c>
      <c r="Q62" s="3" t="s">
        <v>83</v>
      </c>
    </row>
    <row r="63" spans="1:17" x14ac:dyDescent="0.35">
      <c r="A63" s="2" t="str">
        <f>HYPERLINK("https://vtmf.veevavault.com/ui/#doc_info/30527236/1/0", "77242113UCO3001-CZE-DD5-CZ10022-Maintenance Logs (Device)-23 Jul 2025 (v1.0)")</f>
        <v>77242113UCO3001-CZE-DD5-CZ10022-Maintenance Logs (Device)-23 Jul 2025 (v1.0)</v>
      </c>
      <c r="B63" s="3" t="s">
        <v>184</v>
      </c>
      <c r="C63" s="3" t="s">
        <v>28</v>
      </c>
      <c r="D63" s="3" t="s">
        <v>77</v>
      </c>
      <c r="E63" s="3" t="s">
        <v>109</v>
      </c>
      <c r="F63" s="3" t="s">
        <v>503</v>
      </c>
      <c r="G63" s="2" t="str">
        <f>HYPERLINK("https://vtmf.veevavault.com/ui/#doc_info/30527236/1/0", "VTMF-24593765")</f>
        <v>VTMF-24593765</v>
      </c>
      <c r="H63" s="3"/>
      <c r="I63" s="3" t="s">
        <v>22</v>
      </c>
      <c r="J63" s="3" t="s">
        <v>184</v>
      </c>
      <c r="K63" s="4">
        <v>45994.713553240741</v>
      </c>
      <c r="L63" s="5">
        <v>45994</v>
      </c>
      <c r="M63" s="3" t="s">
        <v>23</v>
      </c>
      <c r="N63" s="3" t="s">
        <v>111</v>
      </c>
      <c r="O63" s="3" t="s">
        <v>81</v>
      </c>
      <c r="P63" s="3" t="s">
        <v>469</v>
      </c>
      <c r="Q63" s="3" t="s">
        <v>83</v>
      </c>
    </row>
    <row r="64" spans="1:17" x14ac:dyDescent="0.35">
      <c r="A64" s="2" t="str">
        <f>HYPERLINK("https://vtmf.veevavault.com/ui/#doc_info/30527879/1/0", "77242113UCO3001-CZE-DD5-CZ10022-Maintenance Logs (Device)-23 Jul 2025 (v1.0)")</f>
        <v>77242113UCO3001-CZE-DD5-CZ10022-Maintenance Logs (Device)-23 Jul 2025 (v1.0)</v>
      </c>
      <c r="B64" s="3" t="s">
        <v>184</v>
      </c>
      <c r="C64" s="3" t="s">
        <v>28</v>
      </c>
      <c r="D64" s="3" t="s">
        <v>77</v>
      </c>
      <c r="E64" s="3" t="s">
        <v>109</v>
      </c>
      <c r="F64" s="3" t="s">
        <v>504</v>
      </c>
      <c r="G64" s="2" t="str">
        <f>HYPERLINK("https://vtmf.veevavault.com/ui/#doc_info/30527879/1/0", "VTMF-24594472")</f>
        <v>VTMF-24594472</v>
      </c>
      <c r="H64" s="3"/>
      <c r="I64" s="3" t="s">
        <v>22</v>
      </c>
      <c r="J64" s="3" t="s">
        <v>184</v>
      </c>
      <c r="K64" s="4">
        <v>45994.788402777784</v>
      </c>
      <c r="L64" s="5">
        <v>45994</v>
      </c>
      <c r="M64" s="3" t="s">
        <v>23</v>
      </c>
      <c r="N64" s="3" t="s">
        <v>111</v>
      </c>
      <c r="O64" s="3" t="s">
        <v>81</v>
      </c>
      <c r="P64" s="3" t="s">
        <v>469</v>
      </c>
      <c r="Q64" s="3" t="s">
        <v>83</v>
      </c>
    </row>
    <row r="65" spans="1:17" x14ac:dyDescent="0.35">
      <c r="A65" s="2" t="str">
        <f>HYPERLINK("https://vtmf.veevavault.com/ui/#doc_info/30528013/1/0", "77242113UCO3001-CZE-DD5-CZ10022-Maintenance Logs (Device)-25 Aug 2025 (v1.0)")</f>
        <v>77242113UCO3001-CZE-DD5-CZ10022-Maintenance Logs (Device)-25 Aug 2025 (v1.0)</v>
      </c>
      <c r="B65" s="3" t="s">
        <v>184</v>
      </c>
      <c r="C65" s="3" t="s">
        <v>28</v>
      </c>
      <c r="D65" s="3" t="s">
        <v>77</v>
      </c>
      <c r="E65" s="3" t="s">
        <v>109</v>
      </c>
      <c r="F65" s="3" t="s">
        <v>505</v>
      </c>
      <c r="G65" s="2" t="str">
        <f>HYPERLINK("https://vtmf.veevavault.com/ui/#doc_info/30528013/1/0", "VTMF-24594505")</f>
        <v>VTMF-24594505</v>
      </c>
      <c r="H65" s="3"/>
      <c r="I65" s="3" t="s">
        <v>22</v>
      </c>
      <c r="J65" s="3" t="s">
        <v>184</v>
      </c>
      <c r="K65" s="4">
        <v>45994.795219907413</v>
      </c>
      <c r="L65" s="5">
        <v>45994</v>
      </c>
      <c r="M65" s="3" t="s">
        <v>23</v>
      </c>
      <c r="N65" s="3" t="s">
        <v>111</v>
      </c>
      <c r="O65" s="3" t="s">
        <v>81</v>
      </c>
      <c r="P65" s="3" t="s">
        <v>469</v>
      </c>
      <c r="Q65" s="3" t="s">
        <v>83</v>
      </c>
    </row>
    <row r="66" spans="1:17" x14ac:dyDescent="0.35">
      <c r="A66" s="2" t="str">
        <f>HYPERLINK("https://vtmf.veevavault.com/ui/#doc_info/30527240/1/0", "77242113UCO3001-CZE-DD5-CZ10022-Maintenance Logs (Device)-27 Feb 2025 (v1.0)")</f>
        <v>77242113UCO3001-CZE-DD5-CZ10022-Maintenance Logs (Device)-27 Feb 2025 (v1.0)</v>
      </c>
      <c r="B66" s="3" t="s">
        <v>184</v>
      </c>
      <c r="C66" s="3" t="s">
        <v>28</v>
      </c>
      <c r="D66" s="3" t="s">
        <v>77</v>
      </c>
      <c r="E66" s="3" t="s">
        <v>109</v>
      </c>
      <c r="F66" s="3" t="s">
        <v>506</v>
      </c>
      <c r="G66" s="2" t="str">
        <f>HYPERLINK("https://vtmf.veevavault.com/ui/#doc_info/30527240/1/0", "VTMF-24593775")</f>
        <v>VTMF-24593775</v>
      </c>
      <c r="H66" s="3"/>
      <c r="I66" s="3" t="s">
        <v>22</v>
      </c>
      <c r="J66" s="3" t="s">
        <v>184</v>
      </c>
      <c r="K66" s="4">
        <v>45994.714918981481</v>
      </c>
      <c r="L66" s="5">
        <v>45994</v>
      </c>
      <c r="M66" s="3" t="s">
        <v>23</v>
      </c>
      <c r="N66" s="3" t="s">
        <v>111</v>
      </c>
      <c r="O66" s="3" t="s">
        <v>81</v>
      </c>
      <c r="P66" s="3" t="s">
        <v>469</v>
      </c>
      <c r="Q66" s="3" t="s">
        <v>83</v>
      </c>
    </row>
    <row r="67" spans="1:17" x14ac:dyDescent="0.35">
      <c r="A67" s="2" t="str">
        <f>HYPERLINK("https://vtmf.veevavault.com/ui/#doc_info/30526628/1/0", "77242113UCO3001-CZE-DD5-CZ10022-Non-IP Shipment Documentation-20 Nov 2025 (v1.0)")</f>
        <v>77242113UCO3001-CZE-DD5-CZ10022-Non-IP Shipment Documentation-20 Nov 2025 (v1.0)</v>
      </c>
      <c r="B67" s="3" t="s">
        <v>184</v>
      </c>
      <c r="C67" s="3" t="s">
        <v>28</v>
      </c>
      <c r="D67" s="3" t="s">
        <v>29</v>
      </c>
      <c r="E67" s="3" t="s">
        <v>30</v>
      </c>
      <c r="F67" s="3" t="s">
        <v>507</v>
      </c>
      <c r="G67" s="2" t="str">
        <f>HYPERLINK("https://vtmf.veevavault.com/ui/#doc_info/30526628/1/0", "VTMF-24593288")</f>
        <v>VTMF-24593288</v>
      </c>
      <c r="H67" s="3"/>
      <c r="I67" s="3" t="s">
        <v>22</v>
      </c>
      <c r="J67" s="3" t="s">
        <v>184</v>
      </c>
      <c r="K67" s="4">
        <v>45994.682187500002</v>
      </c>
      <c r="L67" s="5">
        <v>45994</v>
      </c>
      <c r="M67" s="3" t="s">
        <v>23</v>
      </c>
      <c r="N67" s="3" t="s">
        <v>32</v>
      </c>
      <c r="O67" s="3" t="s">
        <v>81</v>
      </c>
      <c r="P67" s="3" t="s">
        <v>469</v>
      </c>
      <c r="Q67" s="3" t="s">
        <v>83</v>
      </c>
    </row>
    <row r="68" spans="1:17" x14ac:dyDescent="0.35">
      <c r="A68" s="2" t="str">
        <f>HYPERLINK("https://vtmf.veevavault.com/ui/#doc_info/30526448/1/0", "77242113UCO3001-CZE-DD5-CZ10022-Other Curriculum Vitae-20 Nov 2025 (v1.0)")</f>
        <v>77242113UCO3001-CZE-DD5-CZ10022-Other Curriculum Vitae-20 Nov 2025 (v1.0)</v>
      </c>
      <c r="B68" s="3" t="s">
        <v>184</v>
      </c>
      <c r="C68" s="3" t="s">
        <v>18</v>
      </c>
      <c r="D68" s="3" t="s">
        <v>57</v>
      </c>
      <c r="E68" s="3" t="s">
        <v>58</v>
      </c>
      <c r="F68" s="3" t="s">
        <v>508</v>
      </c>
      <c r="G68" s="2" t="str">
        <f>HYPERLINK("https://vtmf.veevavault.com/ui/#doc_info/30526448/1/0", "VTMF-24593179")</f>
        <v>VTMF-24593179</v>
      </c>
      <c r="H68" s="3"/>
      <c r="I68" s="3" t="s">
        <v>22</v>
      </c>
      <c r="J68" s="3" t="s">
        <v>184</v>
      </c>
      <c r="K68" s="4">
        <v>45994.666701388887</v>
      </c>
      <c r="L68" s="5">
        <v>45994</v>
      </c>
      <c r="M68" s="3" t="s">
        <v>23</v>
      </c>
      <c r="N68" s="3" t="s">
        <v>60</v>
      </c>
      <c r="O68" s="3" t="s">
        <v>81</v>
      </c>
      <c r="P68" s="3" t="s">
        <v>469</v>
      </c>
      <c r="Q68" s="3" t="s">
        <v>83</v>
      </c>
    </row>
    <row r="69" spans="1:17" x14ac:dyDescent="0.35">
      <c r="A69" s="2" t="str">
        <f>HYPERLINK("https://vtmf.veevavault.com/ui/#doc_info/30526454/1/0", "77242113UCO3001-CZE-DD5-CZ10022-Other Curriculum Vitae-20 Nov 2025 (v1.0)")</f>
        <v>77242113UCO3001-CZE-DD5-CZ10022-Other Curriculum Vitae-20 Nov 2025 (v1.0)</v>
      </c>
      <c r="B69" s="3" t="s">
        <v>184</v>
      </c>
      <c r="C69" s="3" t="s">
        <v>18</v>
      </c>
      <c r="D69" s="3" t="s">
        <v>57</v>
      </c>
      <c r="E69" s="3" t="s">
        <v>58</v>
      </c>
      <c r="F69" s="3" t="s">
        <v>509</v>
      </c>
      <c r="G69" s="2" t="str">
        <f>HYPERLINK("https://vtmf.veevavault.com/ui/#doc_info/30526454/1/0", "VTMF-24593188")</f>
        <v>VTMF-24593188</v>
      </c>
      <c r="H69" s="3"/>
      <c r="I69" s="3" t="s">
        <v>22</v>
      </c>
      <c r="J69" s="3" t="s">
        <v>184</v>
      </c>
      <c r="K69" s="4">
        <v>45994.668310185189</v>
      </c>
      <c r="L69" s="5">
        <v>45994</v>
      </c>
      <c r="M69" s="3" t="s">
        <v>23</v>
      </c>
      <c r="N69" s="3" t="s">
        <v>60</v>
      </c>
      <c r="O69" s="3" t="s">
        <v>81</v>
      </c>
      <c r="P69" s="3" t="s">
        <v>469</v>
      </c>
      <c r="Q69" s="3" t="s">
        <v>83</v>
      </c>
    </row>
    <row r="70" spans="1:17" x14ac:dyDescent="0.35">
      <c r="A70" s="2" t="str">
        <f>HYPERLINK("https://vtmf.veevavault.com/ui/#doc_info/30526135/1/0", "77242113UCO3001-CZE-DD5-CZ10022-Site Training Documentation-02 Jul 2025 (v1.0)")</f>
        <v>77242113UCO3001-CZE-DD5-CZ10022-Site Training Documentation-02 Jul 2025 (v1.0)</v>
      </c>
      <c r="B70" s="3" t="s">
        <v>184</v>
      </c>
      <c r="C70" s="3" t="s">
        <v>18</v>
      </c>
      <c r="D70" s="3" t="s">
        <v>68</v>
      </c>
      <c r="E70" s="3" t="s">
        <v>69</v>
      </c>
      <c r="F70" s="3" t="s">
        <v>510</v>
      </c>
      <c r="G70" s="2" t="str">
        <f>HYPERLINK("https://vtmf.veevavault.com/ui/#doc_info/30526135/1/0", "VTMF-24592936")</f>
        <v>VTMF-24592936</v>
      </c>
      <c r="H70" s="3"/>
      <c r="I70" s="3" t="s">
        <v>22</v>
      </c>
      <c r="J70" s="3" t="s">
        <v>184</v>
      </c>
      <c r="K70" s="4">
        <v>45994.646782407413</v>
      </c>
      <c r="L70" s="5">
        <v>45994</v>
      </c>
      <c r="M70" s="3" t="s">
        <v>23</v>
      </c>
      <c r="N70" s="3" t="s">
        <v>60</v>
      </c>
      <c r="O70" s="3" t="s">
        <v>81</v>
      </c>
      <c r="P70" s="3" t="s">
        <v>469</v>
      </c>
      <c r="Q70" s="3" t="s">
        <v>83</v>
      </c>
    </row>
    <row r="71" spans="1:17" x14ac:dyDescent="0.35">
      <c r="A71" s="2" t="str">
        <f>HYPERLINK("https://vtmf.veevavault.com/ui/#doc_info/30526419/1/0", "77242113UCO3001-CZE-DD5-CZ10022-Site Training Documentation-07 Jan 2025 (v1.0)")</f>
        <v>77242113UCO3001-CZE-DD5-CZ10022-Site Training Documentation-07 Jan 2025 (v1.0)</v>
      </c>
      <c r="B71" s="3" t="s">
        <v>184</v>
      </c>
      <c r="C71" s="3" t="s">
        <v>18</v>
      </c>
      <c r="D71" s="3" t="s">
        <v>68</v>
      </c>
      <c r="E71" s="3" t="s">
        <v>69</v>
      </c>
      <c r="F71" s="3" t="s">
        <v>511</v>
      </c>
      <c r="G71" s="2" t="str">
        <f>HYPERLINK("https://vtmf.veevavault.com/ui/#doc_info/30526419/1/0", "VTMF-24593136")</f>
        <v>VTMF-24593136</v>
      </c>
      <c r="H71" s="3"/>
      <c r="I71" s="3" t="s">
        <v>22</v>
      </c>
      <c r="J71" s="3" t="s">
        <v>184</v>
      </c>
      <c r="K71" s="4">
        <v>45994.661990740737</v>
      </c>
      <c r="L71" s="5">
        <v>45994</v>
      </c>
      <c r="M71" s="3" t="s">
        <v>23</v>
      </c>
      <c r="N71" s="3" t="s">
        <v>60</v>
      </c>
      <c r="O71" s="3" t="s">
        <v>81</v>
      </c>
      <c r="P71" s="3" t="s">
        <v>469</v>
      </c>
      <c r="Q71" s="3" t="s">
        <v>83</v>
      </c>
    </row>
    <row r="72" spans="1:17" x14ac:dyDescent="0.35">
      <c r="A72" s="2" t="str">
        <f>HYPERLINK("https://vtmf.veevavault.com/ui/#doc_info/30526065/1/0", "77242113UCO3001-CZE-DD5-CZ10022-Site Training Documentation-10 Sep 2025 (v1.0)")</f>
        <v>77242113UCO3001-CZE-DD5-CZ10022-Site Training Documentation-10 Sep 2025 (v1.0)</v>
      </c>
      <c r="B72" s="3" t="s">
        <v>184</v>
      </c>
      <c r="C72" s="3" t="s">
        <v>18</v>
      </c>
      <c r="D72" s="3" t="s">
        <v>68</v>
      </c>
      <c r="E72" s="3" t="s">
        <v>69</v>
      </c>
      <c r="F72" s="3" t="s">
        <v>512</v>
      </c>
      <c r="G72" s="2" t="str">
        <f>HYPERLINK("https://vtmf.veevavault.com/ui/#doc_info/30526065/1/0", "VTMF-24592824")</f>
        <v>VTMF-24592824</v>
      </c>
      <c r="H72" s="3"/>
      <c r="I72" s="3" t="s">
        <v>22</v>
      </c>
      <c r="J72" s="3" t="s">
        <v>184</v>
      </c>
      <c r="K72" s="4">
        <v>45994.637592592589</v>
      </c>
      <c r="L72" s="5">
        <v>45994</v>
      </c>
      <c r="M72" s="3" t="s">
        <v>23</v>
      </c>
      <c r="N72" s="3" t="s">
        <v>60</v>
      </c>
      <c r="O72" s="3" t="s">
        <v>81</v>
      </c>
      <c r="P72" s="3" t="s">
        <v>469</v>
      </c>
      <c r="Q72" s="3" t="s">
        <v>83</v>
      </c>
    </row>
    <row r="73" spans="1:17" x14ac:dyDescent="0.35">
      <c r="A73" s="2" t="str">
        <f>HYPERLINK("https://vtmf.veevavault.com/ui/#doc_info/30526031/1/0", "77242113UCO3001-CZE-DD5-CZ10022-Site Training Documentation-11 Jul 2025 (v1.0)")</f>
        <v>77242113UCO3001-CZE-DD5-CZ10022-Site Training Documentation-11 Jul 2025 (v1.0)</v>
      </c>
      <c r="B73" s="3" t="s">
        <v>184</v>
      </c>
      <c r="C73" s="3" t="s">
        <v>18</v>
      </c>
      <c r="D73" s="3" t="s">
        <v>68</v>
      </c>
      <c r="E73" s="3" t="s">
        <v>69</v>
      </c>
      <c r="F73" s="3" t="s">
        <v>513</v>
      </c>
      <c r="G73" s="2" t="str">
        <f>HYPERLINK("https://vtmf.veevavault.com/ui/#doc_info/30526031/1/0", "VTMF-24592761")</f>
        <v>VTMF-24592761</v>
      </c>
      <c r="H73" s="3"/>
      <c r="I73" s="3" t="s">
        <v>22</v>
      </c>
      <c r="J73" s="3" t="s">
        <v>184</v>
      </c>
      <c r="K73" s="4">
        <v>45994.630833333344</v>
      </c>
      <c r="L73" s="5">
        <v>45994</v>
      </c>
      <c r="M73" s="3" t="s">
        <v>23</v>
      </c>
      <c r="N73" s="3" t="s">
        <v>60</v>
      </c>
      <c r="O73" s="3" t="s">
        <v>81</v>
      </c>
      <c r="P73" s="3" t="s">
        <v>469</v>
      </c>
      <c r="Q73" s="3" t="s">
        <v>83</v>
      </c>
    </row>
    <row r="74" spans="1:17" x14ac:dyDescent="0.35">
      <c r="A74" s="2" t="str">
        <f>HYPERLINK("https://vtmf.veevavault.com/ui/#doc_info/30526042/1/0", "77242113UCO3001-CZE-DD5-CZ10022-Site Training Documentation-11 Jul 2025 (v1.0)")</f>
        <v>77242113UCO3001-CZE-DD5-CZ10022-Site Training Documentation-11 Jul 2025 (v1.0)</v>
      </c>
      <c r="B74" s="3" t="s">
        <v>184</v>
      </c>
      <c r="C74" s="3" t="s">
        <v>18</v>
      </c>
      <c r="D74" s="3" t="s">
        <v>68</v>
      </c>
      <c r="E74" s="3" t="s">
        <v>69</v>
      </c>
      <c r="F74" s="3" t="s">
        <v>514</v>
      </c>
      <c r="G74" s="2" t="str">
        <f>HYPERLINK("https://vtmf.veevavault.com/ui/#doc_info/30526042/1/0", "VTMF-24592778")</f>
        <v>VTMF-24592778</v>
      </c>
      <c r="H74" s="3"/>
      <c r="I74" s="3" t="s">
        <v>22</v>
      </c>
      <c r="J74" s="3" t="s">
        <v>184</v>
      </c>
      <c r="K74" s="4">
        <v>45994.6325</v>
      </c>
      <c r="L74" s="5">
        <v>45994</v>
      </c>
      <c r="M74" s="3" t="s">
        <v>23</v>
      </c>
      <c r="N74" s="3" t="s">
        <v>60</v>
      </c>
      <c r="O74" s="3" t="s">
        <v>81</v>
      </c>
      <c r="P74" s="3" t="s">
        <v>469</v>
      </c>
      <c r="Q74" s="3" t="s">
        <v>83</v>
      </c>
    </row>
    <row r="75" spans="1:17" x14ac:dyDescent="0.35">
      <c r="A75" s="2" t="str">
        <f>HYPERLINK("https://vtmf.veevavault.com/ui/#doc_info/30526081/1/0", "77242113UCO3001-CZE-DD5-CZ10022-Site Training Documentation-11 Jul 2025 (v1.0)")</f>
        <v>77242113UCO3001-CZE-DD5-CZ10022-Site Training Documentation-11 Jul 2025 (v1.0)</v>
      </c>
      <c r="B75" s="3" t="s">
        <v>184</v>
      </c>
      <c r="C75" s="3" t="s">
        <v>18</v>
      </c>
      <c r="D75" s="3" t="s">
        <v>68</v>
      </c>
      <c r="E75" s="3" t="s">
        <v>69</v>
      </c>
      <c r="F75" s="3" t="s">
        <v>515</v>
      </c>
      <c r="G75" s="2" t="str">
        <f>HYPERLINK("https://vtmf.veevavault.com/ui/#doc_info/30526081/1/0", "VTMF-24592844")</f>
        <v>VTMF-24592844</v>
      </c>
      <c r="H75" s="3"/>
      <c r="I75" s="3" t="s">
        <v>22</v>
      </c>
      <c r="J75" s="3" t="s">
        <v>184</v>
      </c>
      <c r="K75" s="4">
        <v>45994.639351851853</v>
      </c>
      <c r="L75" s="5">
        <v>45994</v>
      </c>
      <c r="M75" s="3" t="s">
        <v>23</v>
      </c>
      <c r="N75" s="3" t="s">
        <v>60</v>
      </c>
      <c r="O75" s="3" t="s">
        <v>81</v>
      </c>
      <c r="P75" s="3" t="s">
        <v>469</v>
      </c>
      <c r="Q75" s="3" t="s">
        <v>83</v>
      </c>
    </row>
    <row r="76" spans="1:17" x14ac:dyDescent="0.35">
      <c r="A76" s="2" t="str">
        <f>HYPERLINK("https://vtmf.veevavault.com/ui/#doc_info/30526280/1/0", "77242113UCO3001-CZE-DD5-CZ10022-Site Training Documentation-23 Oct 2024 (v1.0)")</f>
        <v>77242113UCO3001-CZE-DD5-CZ10022-Site Training Documentation-23 Oct 2024 (v1.0)</v>
      </c>
      <c r="B76" s="3" t="s">
        <v>184</v>
      </c>
      <c r="C76" s="3" t="s">
        <v>18</v>
      </c>
      <c r="D76" s="3" t="s">
        <v>68</v>
      </c>
      <c r="E76" s="3" t="s">
        <v>69</v>
      </c>
      <c r="F76" s="3" t="s">
        <v>516</v>
      </c>
      <c r="G76" s="2" t="str">
        <f>HYPERLINK("https://vtmf.veevavault.com/ui/#doc_info/30526280/1/0", "VTMF-24593064")</f>
        <v>VTMF-24593064</v>
      </c>
      <c r="H76" s="3"/>
      <c r="I76" s="3" t="s">
        <v>22</v>
      </c>
      <c r="J76" s="3" t="s">
        <v>184</v>
      </c>
      <c r="K76" s="4">
        <v>45994.657997685194</v>
      </c>
      <c r="L76" s="5">
        <v>45994</v>
      </c>
      <c r="M76" s="3" t="s">
        <v>23</v>
      </c>
      <c r="N76" s="3" t="s">
        <v>60</v>
      </c>
      <c r="O76" s="3" t="s">
        <v>81</v>
      </c>
      <c r="P76" s="3" t="s">
        <v>469</v>
      </c>
      <c r="Q76" s="3" t="s">
        <v>83</v>
      </c>
    </row>
    <row r="77" spans="1:17" x14ac:dyDescent="0.35">
      <c r="A77" s="2" t="str">
        <f>HYPERLINK("https://vtmf.veevavault.com/ui/#doc_info/30526141/1/0", "77242113UCO3001-CZE-DD5-CZ10022-Site Training Documentation-25 Jun 2025 (v1.0)")</f>
        <v>77242113UCO3001-CZE-DD5-CZ10022-Site Training Documentation-25 Jun 2025 (v1.0)</v>
      </c>
      <c r="B77" s="3" t="s">
        <v>184</v>
      </c>
      <c r="C77" s="3" t="s">
        <v>18</v>
      </c>
      <c r="D77" s="3" t="s">
        <v>68</v>
      </c>
      <c r="E77" s="3" t="s">
        <v>69</v>
      </c>
      <c r="F77" s="3" t="s">
        <v>517</v>
      </c>
      <c r="G77" s="2" t="str">
        <f>HYPERLINK("https://vtmf.veevavault.com/ui/#doc_info/30526141/1/0", "VTMF-24592953")</f>
        <v>VTMF-24592953</v>
      </c>
      <c r="H77" s="3"/>
      <c r="I77" s="3" t="s">
        <v>22</v>
      </c>
      <c r="J77" s="3" t="s">
        <v>184</v>
      </c>
      <c r="K77" s="4">
        <v>45994.648125</v>
      </c>
      <c r="L77" s="5">
        <v>45994</v>
      </c>
      <c r="M77" s="3" t="s">
        <v>23</v>
      </c>
      <c r="N77" s="3" t="s">
        <v>60</v>
      </c>
      <c r="O77" s="3" t="s">
        <v>81</v>
      </c>
      <c r="P77" s="3" t="s">
        <v>469</v>
      </c>
      <c r="Q77" s="3" t="s">
        <v>83</v>
      </c>
    </row>
    <row r="78" spans="1:17" x14ac:dyDescent="0.35">
      <c r="A78" s="2" t="str">
        <f>HYPERLINK("https://vtmf.veevavault.com/ui/#doc_info/30526090/1/0", "77242113UCO3001-CZE-DD5-CZ10022-Site Training Documentation-29 Apr 2025 (v1.0)")</f>
        <v>77242113UCO3001-CZE-DD5-CZ10022-Site Training Documentation-29 Apr 2025 (v1.0)</v>
      </c>
      <c r="B78" s="3" t="s">
        <v>184</v>
      </c>
      <c r="C78" s="3" t="s">
        <v>18</v>
      </c>
      <c r="D78" s="3" t="s">
        <v>68</v>
      </c>
      <c r="E78" s="3" t="s">
        <v>69</v>
      </c>
      <c r="F78" s="3" t="s">
        <v>518</v>
      </c>
      <c r="G78" s="2" t="str">
        <f>HYPERLINK("https://vtmf.veevavault.com/ui/#doc_info/30526090/1/0", "VTMF-24592864")</f>
        <v>VTMF-24592864</v>
      </c>
      <c r="H78" s="3"/>
      <c r="I78" s="3" t="s">
        <v>22</v>
      </c>
      <c r="J78" s="3" t="s">
        <v>184</v>
      </c>
      <c r="K78" s="4">
        <v>45994.641134259262</v>
      </c>
      <c r="L78" s="5">
        <v>45994</v>
      </c>
      <c r="M78" s="3" t="s">
        <v>23</v>
      </c>
      <c r="N78" s="3" t="s">
        <v>60</v>
      </c>
      <c r="O78" s="3" t="s">
        <v>81</v>
      </c>
      <c r="P78" s="3" t="s">
        <v>469</v>
      </c>
      <c r="Q78" s="3" t="s">
        <v>83</v>
      </c>
    </row>
    <row r="79" spans="1:17" x14ac:dyDescent="0.35">
      <c r="A79" s="2" t="str">
        <f>HYPERLINK("https://vtmf.veevavault.com/ui/#doc_info/30526058/1/0", "77242113UCO3001-CZE-DD5-CZ10022-Site Training Documentation-29 Aug 2025 (v1.0)")</f>
        <v>77242113UCO3001-CZE-DD5-CZ10022-Site Training Documentation-29 Aug 2025 (v1.0)</v>
      </c>
      <c r="B79" s="3" t="s">
        <v>184</v>
      </c>
      <c r="C79" s="3" t="s">
        <v>18</v>
      </c>
      <c r="D79" s="3" t="s">
        <v>68</v>
      </c>
      <c r="E79" s="3" t="s">
        <v>69</v>
      </c>
      <c r="F79" s="3" t="s">
        <v>519</v>
      </c>
      <c r="G79" s="2" t="str">
        <f>HYPERLINK("https://vtmf.veevavault.com/ui/#doc_info/30526058/1/0", "VTMF-24592806")</f>
        <v>VTMF-24592806</v>
      </c>
      <c r="H79" s="3"/>
      <c r="I79" s="3" t="s">
        <v>22</v>
      </c>
      <c r="J79" s="3" t="s">
        <v>184</v>
      </c>
      <c r="K79" s="4">
        <v>45994.635185185187</v>
      </c>
      <c r="L79" s="5">
        <v>45994</v>
      </c>
      <c r="M79" s="3" t="s">
        <v>23</v>
      </c>
      <c r="N79" s="3" t="s">
        <v>60</v>
      </c>
      <c r="O79" s="3" t="s">
        <v>81</v>
      </c>
      <c r="P79" s="3" t="s">
        <v>469</v>
      </c>
      <c r="Q79" s="3" t="s">
        <v>83</v>
      </c>
    </row>
    <row r="80" spans="1:17" x14ac:dyDescent="0.35">
      <c r="A80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80" s="3" t="s">
        <v>119</v>
      </c>
      <c r="C80" s="3" t="s">
        <v>48</v>
      </c>
      <c r="D80" s="3" t="s">
        <v>19</v>
      </c>
      <c r="E80" s="3" t="s">
        <v>20</v>
      </c>
      <c r="F80" s="3" t="s">
        <v>120</v>
      </c>
      <c r="G80" s="2" t="str">
        <f>HYPERLINK("https://vtmf.veevavault.com/ui/#doc_info/29980647/1/0", "VTMF-24136357")</f>
        <v>VTMF-24136357</v>
      </c>
      <c r="H80" s="3"/>
      <c r="I80" s="3" t="s">
        <v>22</v>
      </c>
      <c r="J80" s="3" t="s">
        <v>119</v>
      </c>
      <c r="K80" s="4">
        <v>45918.85465277778</v>
      </c>
      <c r="L80" s="5">
        <v>45919</v>
      </c>
      <c r="M80" s="3" t="s">
        <v>23</v>
      </c>
      <c r="N80" s="3" t="s">
        <v>121</v>
      </c>
      <c r="O80" s="3" t="s">
        <v>122</v>
      </c>
      <c r="P80" s="3" t="s">
        <v>123</v>
      </c>
      <c r="Q80" s="3" t="s">
        <v>27</v>
      </c>
    </row>
    <row r="81" spans="1:17" x14ac:dyDescent="0.35">
      <c r="A81" s="2" t="str">
        <f>HYPERLINK("https://vtmf.veevavault.com/ui/#doc_info/29735938/1/0", "77242113UCO3001-CZE-DD5-CZ10022-Principal Investigator Curriculum Vitae-08 Jul 2025 (v1.0)")</f>
        <v>77242113UCO3001-CZE-DD5-CZ10022-Principal Investigator Curriculum Vitae-08 Jul 2025 (v1.0)</v>
      </c>
      <c r="B81" s="3" t="s">
        <v>94</v>
      </c>
      <c r="C81" s="3" t="s">
        <v>18</v>
      </c>
      <c r="D81" s="3" t="s">
        <v>57</v>
      </c>
      <c r="E81" s="3" t="s">
        <v>65</v>
      </c>
      <c r="F81" s="3" t="s">
        <v>520</v>
      </c>
      <c r="G81" s="2" t="str">
        <f>HYPERLINK("https://vtmf.veevavault.com/ui/#doc_info/29735938/1/0", "VTMF-23926958")</f>
        <v>VTMF-23926958</v>
      </c>
      <c r="H81" s="3"/>
      <c r="I81" s="3" t="s">
        <v>126</v>
      </c>
      <c r="J81" s="3" t="s">
        <v>94</v>
      </c>
      <c r="K81" s="4">
        <v>45878.797175925924</v>
      </c>
      <c r="L81" s="5">
        <v>45878</v>
      </c>
      <c r="M81" s="3" t="s">
        <v>23</v>
      </c>
      <c r="N81" s="3" t="s">
        <v>67</v>
      </c>
      <c r="O81" s="3" t="s">
        <v>25</v>
      </c>
      <c r="P81" s="3" t="s">
        <v>451</v>
      </c>
      <c r="Q81" s="3" t="s">
        <v>27</v>
      </c>
    </row>
    <row r="82" spans="1:17" x14ac:dyDescent="0.35">
      <c r="A82" s="2" t="str">
        <f>HYPERLINK("https://vtmf.veevavault.com/ui/#doc_info/29708124/1/0", "77242113UCO3001-CZE-DD5-CZ10022-Principal Investigator Financial Disclosure Form-18 Jul 2025 (v1.0)")</f>
        <v>77242113UCO3001-CZE-DD5-CZ10022-Principal Investigator Financial Disclosure Form-18 Jul 2025 (v1.0)</v>
      </c>
      <c r="B82" s="3" t="s">
        <v>94</v>
      </c>
      <c r="C82" s="3" t="s">
        <v>18</v>
      </c>
      <c r="D82" s="3" t="s">
        <v>57</v>
      </c>
      <c r="E82" s="3" t="s">
        <v>98</v>
      </c>
      <c r="F82" s="3" t="s">
        <v>521</v>
      </c>
      <c r="G82" s="2" t="str">
        <f>HYPERLINK("https://vtmf.veevavault.com/ui/#doc_info/29708124/1/0", "VTMF-23902758")</f>
        <v>VTMF-23902758</v>
      </c>
      <c r="H82" s="3"/>
      <c r="I82" s="3" t="s">
        <v>126</v>
      </c>
      <c r="J82" s="3" t="s">
        <v>94</v>
      </c>
      <c r="K82" s="4">
        <v>45875.288449074083</v>
      </c>
      <c r="L82" s="5">
        <v>45875</v>
      </c>
      <c r="M82" s="3" t="s">
        <v>23</v>
      </c>
      <c r="N82" s="3" t="s">
        <v>100</v>
      </c>
      <c r="O82" s="3" t="s">
        <v>25</v>
      </c>
      <c r="P82" s="3" t="s">
        <v>451</v>
      </c>
      <c r="Q82" s="3" t="s">
        <v>27</v>
      </c>
    </row>
    <row r="83" spans="1:17" x14ac:dyDescent="0.35">
      <c r="A83" s="2" t="str">
        <f>HYPERLINK("https://vtmf.veevavault.com/ui/#doc_info/29708228/1/0", "77242113UCO3001-CZE-DD5-CZ10022-Site/Staff Qualification Supporting Information (v1.0)")</f>
        <v>77242113UCO3001-CZE-DD5-CZ10022-Site/Staff Qualification Supporting Information (v1.0)</v>
      </c>
      <c r="B83" s="3" t="s">
        <v>94</v>
      </c>
      <c r="C83" s="3" t="s">
        <v>18</v>
      </c>
      <c r="D83" s="3" t="s">
        <v>57</v>
      </c>
      <c r="E83" s="3" t="s">
        <v>124</v>
      </c>
      <c r="F83" s="3" t="s">
        <v>522</v>
      </c>
      <c r="G83" s="2" t="str">
        <f>HYPERLINK("https://vtmf.veevavault.com/ui/#doc_info/29708228/1/0", "VTMF-23902874")</f>
        <v>VTMF-23902874</v>
      </c>
      <c r="H83" s="3"/>
      <c r="I83" s="3" t="s">
        <v>126</v>
      </c>
      <c r="J83" s="3" t="s">
        <v>94</v>
      </c>
      <c r="K83" s="4">
        <v>45875.317511574067</v>
      </c>
      <c r="L83" s="5">
        <v>45875</v>
      </c>
      <c r="M83" s="3" t="s">
        <v>23</v>
      </c>
      <c r="N83" s="3" t="s">
        <v>60</v>
      </c>
      <c r="O83" s="3" t="s">
        <v>25</v>
      </c>
      <c r="P83" s="3" t="s">
        <v>451</v>
      </c>
      <c r="Q83" s="3" t="s">
        <v>27</v>
      </c>
    </row>
    <row r="84" spans="1:17" x14ac:dyDescent="0.35">
      <c r="A84" s="2" t="str">
        <f>HYPERLINK("https://vtmf.veevavault.com/ui/#doc_info/29699293/1/0", "77242113UCO3001-CZE-DD5-CZ10022-Site/Staff Qualification Supporting Information (v1.0)")</f>
        <v>77242113UCO3001-CZE-DD5-CZ10022-Site/Staff Qualification Supporting Information (v1.0)</v>
      </c>
      <c r="B84" s="3" t="s">
        <v>94</v>
      </c>
      <c r="C84" s="3" t="s">
        <v>18</v>
      </c>
      <c r="D84" s="3" t="s">
        <v>57</v>
      </c>
      <c r="E84" s="3" t="s">
        <v>124</v>
      </c>
      <c r="F84" s="3" t="s">
        <v>523</v>
      </c>
      <c r="G84" s="2" t="str">
        <f>HYPERLINK("https://vtmf.veevavault.com/ui/#doc_info/29699293/1/0", "VTMF-23895221")</f>
        <v>VTMF-23895221</v>
      </c>
      <c r="H84" s="3"/>
      <c r="I84" s="3" t="s">
        <v>22</v>
      </c>
      <c r="J84" s="3" t="s">
        <v>94</v>
      </c>
      <c r="K84" s="4">
        <v>45874.320104166669</v>
      </c>
      <c r="L84" s="5">
        <v>45874</v>
      </c>
      <c r="M84" s="3" t="s">
        <v>23</v>
      </c>
      <c r="N84" s="3" t="s">
        <v>60</v>
      </c>
      <c r="O84" s="3" t="s">
        <v>25</v>
      </c>
      <c r="P84" s="3" t="s">
        <v>451</v>
      </c>
      <c r="Q84" s="3" t="s">
        <v>27</v>
      </c>
    </row>
    <row r="85" spans="1:17" x14ac:dyDescent="0.35">
      <c r="A85" s="2" t="str">
        <f>HYPERLINK("https://vtmf.veevavault.com/ui/#doc_info/29353224/1/0", "77242113UCO3001-CZE-DD5-CZ10022-Feasibility Documentation-13 Jun 2025 (v1.0)")</f>
        <v>77242113UCO3001-CZE-DD5-CZ10022-Feasibility Documentation-13 Jun 2025 (v1.0)</v>
      </c>
      <c r="B85" s="3" t="s">
        <v>130</v>
      </c>
      <c r="C85" s="3" t="s">
        <v>18</v>
      </c>
      <c r="D85" s="3" t="s">
        <v>131</v>
      </c>
      <c r="E85" s="3" t="s">
        <v>132</v>
      </c>
      <c r="F85" s="3" t="s">
        <v>524</v>
      </c>
      <c r="G85" s="2" t="str">
        <f>HYPERLINK("https://vtmf.veevavault.com/ui/#doc_info/29353224/1/0", "VTMF-23596770")</f>
        <v>VTMF-23596770</v>
      </c>
      <c r="H85" s="3"/>
      <c r="I85" s="3" t="s">
        <v>22</v>
      </c>
      <c r="J85" s="3" t="s">
        <v>130</v>
      </c>
      <c r="K85" s="4">
        <v>45821.767997685187</v>
      </c>
      <c r="L85" s="5">
        <v>45821</v>
      </c>
      <c r="M85" s="3" t="s">
        <v>23</v>
      </c>
      <c r="N85" s="3" t="s">
        <v>60</v>
      </c>
      <c r="O85" s="3" t="s">
        <v>81</v>
      </c>
      <c r="P85" s="3" t="s">
        <v>469</v>
      </c>
      <c r="Q85" s="3" t="s">
        <v>83</v>
      </c>
    </row>
    <row r="86" spans="1:17" x14ac:dyDescent="0.35">
      <c r="A86" s="2" t="str">
        <f>HYPERLINK("https://vtmf.veevavault.com/ui/#doc_info/29333444/1/0", "77242113UCO3001-CZE-DD5-CZ10022-Monitoring Visit Follow-up Letter-SQVR_FL-30 May 2025 (v1.0)")</f>
        <v>77242113UCO3001-CZE-DD5-CZ10022-Monitoring Visit Follow-up Letter-SQVR_FL-30 May 2025 (v1.0)</v>
      </c>
      <c r="B86" s="3" t="s">
        <v>38</v>
      </c>
      <c r="C86" s="3" t="s">
        <v>18</v>
      </c>
      <c r="D86" s="3" t="s">
        <v>18</v>
      </c>
      <c r="E86" s="3" t="s">
        <v>39</v>
      </c>
      <c r="F86" s="3"/>
      <c r="G86" s="2" t="str">
        <f>HYPERLINK("https://vtmf.veevavault.com/ui/#doc_info/29333444/1/0", "VTMF-23579853")</f>
        <v>VTMF-23579853</v>
      </c>
      <c r="H86" s="3"/>
      <c r="I86" s="3" t="s">
        <v>40</v>
      </c>
      <c r="J86" s="3" t="s">
        <v>38</v>
      </c>
      <c r="K86" s="4">
        <v>45819.622013888889</v>
      </c>
      <c r="L86" s="5">
        <v>45819</v>
      </c>
      <c r="M86" s="3" t="s">
        <v>23</v>
      </c>
      <c r="N86" s="3" t="s">
        <v>41</v>
      </c>
      <c r="O86" s="3" t="s">
        <v>25</v>
      </c>
      <c r="P86" s="3" t="s">
        <v>451</v>
      </c>
      <c r="Q86" s="3" t="s">
        <v>27</v>
      </c>
    </row>
    <row r="87" spans="1:17" x14ac:dyDescent="0.35">
      <c r="A87" s="2" t="str">
        <f>HYPERLINK("https://vtmf.veevavault.com/ui/#doc_info/29327357/1/0", "77242113UCO3001-CZE-DD5-CZ10022-Pre Trial Monitoring Report-30 May 2025 (v1.0)")</f>
        <v>77242113UCO3001-CZE-DD5-CZ10022-Pre Trial Monitoring Report-30 May 2025 (v1.0)</v>
      </c>
      <c r="B87" s="3" t="s">
        <v>38</v>
      </c>
      <c r="C87" s="3" t="s">
        <v>18</v>
      </c>
      <c r="D87" s="3" t="s">
        <v>131</v>
      </c>
      <c r="E87" s="3" t="s">
        <v>134</v>
      </c>
      <c r="F87" s="3"/>
      <c r="G87" s="2" t="str">
        <f>HYPERLINK("https://vtmf.veevavault.com/ui/#doc_info/29327357/1/0", "VTMF-23575077")</f>
        <v>VTMF-23575077</v>
      </c>
      <c r="H87" s="3"/>
      <c r="I87" s="3" t="s">
        <v>40</v>
      </c>
      <c r="J87" s="3" t="s">
        <v>38</v>
      </c>
      <c r="K87" s="4">
        <v>45818.817557870367</v>
      </c>
      <c r="L87" s="5">
        <v>45818</v>
      </c>
      <c r="M87" s="3" t="s">
        <v>23</v>
      </c>
      <c r="N87" s="3" t="s">
        <v>97</v>
      </c>
      <c r="O87" s="3" t="s">
        <v>25</v>
      </c>
      <c r="P87" s="3" t="s">
        <v>451</v>
      </c>
      <c r="Q87" s="3" t="s">
        <v>27</v>
      </c>
    </row>
    <row r="88" spans="1:17" x14ac:dyDescent="0.35">
      <c r="A88" s="2" t="str">
        <f>HYPERLINK("https://vtmf.veevavault.com/ui/#doc_info/29324845/1/0", "77242113UCO3001-CZE-DD5-CZ10022-Non-IP Shipment Documentation-30 May 2025 (v1.0)")</f>
        <v>77242113UCO3001-CZE-DD5-CZ10022-Non-IP Shipment Documentation-30 May 2025 (v1.0)</v>
      </c>
      <c r="B88" s="3" t="s">
        <v>17</v>
      </c>
      <c r="C88" s="3" t="s">
        <v>28</v>
      </c>
      <c r="D88" s="3" t="s">
        <v>29</v>
      </c>
      <c r="E88" s="3" t="s">
        <v>30</v>
      </c>
      <c r="F88" s="3" t="s">
        <v>525</v>
      </c>
      <c r="G88" s="2" t="str">
        <f>HYPERLINK("https://vtmf.veevavault.com/ui/#doc_info/29324845/1/0", "VTMF-23573051")</f>
        <v>VTMF-23573051</v>
      </c>
      <c r="H88" s="3"/>
      <c r="I88" s="3" t="s">
        <v>22</v>
      </c>
      <c r="J88" s="3" t="s">
        <v>17</v>
      </c>
      <c r="K88" s="4">
        <v>45818.616041666668</v>
      </c>
      <c r="L88" s="5">
        <v>45818</v>
      </c>
      <c r="M88" s="3" t="s">
        <v>23</v>
      </c>
      <c r="N88" s="3" t="s">
        <v>32</v>
      </c>
      <c r="O88" s="3" t="s">
        <v>81</v>
      </c>
      <c r="P88" s="3" t="s">
        <v>469</v>
      </c>
      <c r="Q88" s="3" t="s">
        <v>83</v>
      </c>
    </row>
    <row r="89" spans="1:17" x14ac:dyDescent="0.35">
      <c r="A89" s="2" t="str">
        <f>HYPERLINK("https://vtmf.veevavault.com/ui/#doc_info/29201891/1/0", "77242113UCO3001-CZE-DD5-CZ10022-Site Confirmation Letter-SQVR_CL-29 May 2025 (v1.0)")</f>
        <v>77242113UCO3001-CZE-DD5-CZ10022-Site Confirmation Letter-SQVR_CL-29 May 2025 (v1.0)</v>
      </c>
      <c r="B89" s="3" t="s">
        <v>38</v>
      </c>
      <c r="C89" s="3" t="s">
        <v>18</v>
      </c>
      <c r="D89" s="3" t="s">
        <v>18</v>
      </c>
      <c r="E89" s="3" t="s">
        <v>47</v>
      </c>
      <c r="F89" s="3"/>
      <c r="G89" s="2" t="str">
        <f>HYPERLINK("https://vtmf.veevavault.com/ui/#doc_info/29201891/1/0", "VTMF-23471540")</f>
        <v>VTMF-23471540</v>
      </c>
      <c r="H89" s="3"/>
      <c r="I89" s="3" t="s">
        <v>40</v>
      </c>
      <c r="J89" s="3" t="s">
        <v>38</v>
      </c>
      <c r="K89" s="4">
        <v>45803.693078703713</v>
      </c>
      <c r="L89" s="5">
        <v>45803</v>
      </c>
      <c r="M89" s="3" t="s">
        <v>23</v>
      </c>
      <c r="N89" s="3" t="s">
        <v>41</v>
      </c>
      <c r="O89" s="3" t="s">
        <v>25</v>
      </c>
      <c r="P89" s="3" t="s">
        <v>451</v>
      </c>
      <c r="Q89" s="3" t="s">
        <v>27</v>
      </c>
    </row>
    <row r="90" spans="1:17" x14ac:dyDescent="0.35">
      <c r="A90" s="2" t="str">
        <f>HYPERLINK("https://vtmf.veevavault.com/ui/#doc_info/31396788/1/0", "77242113UCO3001-CZE-DD5-CZ10022-Monitoring Visit Follow-up Letter-SMVR_FL-18 Mar 2026 (v1.0)")</f>
        <v>77242113UCO3001-CZE-DD5-CZ10022-Monitoring Visit Follow-up Letter-SMVR_FL-18 Mar 2026 (v1.0)</v>
      </c>
      <c r="B90" s="3" t="s">
        <v>38</v>
      </c>
      <c r="C90" s="3" t="s">
        <v>18</v>
      </c>
      <c r="D90" s="3" t="s">
        <v>18</v>
      </c>
      <c r="E90" s="3" t="s">
        <v>39</v>
      </c>
      <c r="F90" s="3"/>
      <c r="G90" s="2" t="str">
        <f>HYPERLINK("https://vtmf.veevavault.com/ui/#doc_info/31396788/1/0", "VTMF-25330607")</f>
        <v>VTMF-25330607</v>
      </c>
      <c r="H90" s="3"/>
      <c r="I90" s="3" t="s">
        <v>40</v>
      </c>
      <c r="J90" s="3" t="s">
        <v>38</v>
      </c>
      <c r="K90" s="4">
        <v>46119.697685185187</v>
      </c>
      <c r="L90" s="5"/>
      <c r="M90" s="3" t="s">
        <v>23</v>
      </c>
      <c r="N90" s="3" t="s">
        <v>41</v>
      </c>
      <c r="O90" s="3" t="s">
        <v>25</v>
      </c>
      <c r="P90" s="3" t="s">
        <v>451</v>
      </c>
      <c r="Q90" s="3" t="s">
        <v>27</v>
      </c>
    </row>
    <row r="91" spans="1:17" x14ac:dyDescent="0.35">
      <c r="A91" s="2" t="str">
        <f>HYPERLINK("https://vtmf.veevavault.com/ui/#doc_info/31393349/1/0", "77242113UCO3001-CZE-DD5-CZ10022-Monitoring Visit Report-18 Mar 2026 (v1.0)")</f>
        <v>77242113UCO3001-CZE-DD5-CZ10022-Monitoring Visit Report-18 Mar 2026 (v1.0)</v>
      </c>
      <c r="B91" s="3" t="s">
        <v>38</v>
      </c>
      <c r="C91" s="3" t="s">
        <v>18</v>
      </c>
      <c r="D91" s="3" t="s">
        <v>18</v>
      </c>
      <c r="E91" s="3" t="s">
        <v>42</v>
      </c>
      <c r="F91" s="3"/>
      <c r="G91" s="2" t="str">
        <f>HYPERLINK("https://vtmf.veevavault.com/ui/#doc_info/31393349/1/0", "VTMF-25327735")</f>
        <v>VTMF-25327735</v>
      </c>
      <c r="H91" s="3"/>
      <c r="I91" s="3" t="s">
        <v>40</v>
      </c>
      <c r="J91" s="3" t="s">
        <v>38</v>
      </c>
      <c r="K91" s="4">
        <v>46119.396377314813</v>
      </c>
      <c r="L91" s="5"/>
      <c r="M91" s="3" t="s">
        <v>23</v>
      </c>
      <c r="N91" s="3" t="s">
        <v>43</v>
      </c>
      <c r="O91" s="3" t="s">
        <v>25</v>
      </c>
      <c r="P91" s="3" t="s">
        <v>451</v>
      </c>
      <c r="Q91" s="3" t="s">
        <v>27</v>
      </c>
    </row>
  </sheetData>
  <autoFilter ref="A1:Q91" xr:uid="{00000000-0009-0000-0000-00000B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Q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HYPERLINK("https://vtmf.veevavault.com/ui/#doc_info/29633585/1/0", "77242113UCO3001-CZE-DD5-CZ10002-Sites Evaluated but not Selected-05 Jul 2025 (v1.0)")</f>
        <v>77242113UCO3001-CZE-DD5-CZ10002-Sites Evaluated but not Selected-05 Jul 2025 (v1.0)</v>
      </c>
      <c r="B2" s="3" t="s">
        <v>130</v>
      </c>
      <c r="C2" s="3" t="s">
        <v>18</v>
      </c>
      <c r="D2" s="3" t="s">
        <v>131</v>
      </c>
      <c r="E2" s="3" t="s">
        <v>526</v>
      </c>
      <c r="F2" s="3" t="s">
        <v>527</v>
      </c>
      <c r="G2" s="2" t="str">
        <f>HYPERLINK("https://vtmf.veevavault.com/ui/#doc_info/29633585/1/0", "VTMF-23839548")</f>
        <v>VTMF-23839548</v>
      </c>
      <c r="H2" s="3"/>
      <c r="I2" s="3" t="s">
        <v>22</v>
      </c>
      <c r="J2" s="3" t="s">
        <v>130</v>
      </c>
      <c r="K2" s="4">
        <v>45864.025324074071</v>
      </c>
      <c r="L2" s="5">
        <v>45864</v>
      </c>
      <c r="M2" s="3" t="s">
        <v>23</v>
      </c>
      <c r="N2" s="3"/>
      <c r="O2" s="3" t="s">
        <v>81</v>
      </c>
      <c r="P2" s="3" t="s">
        <v>528</v>
      </c>
      <c r="Q2" s="3" t="s">
        <v>83</v>
      </c>
    </row>
    <row r="3" spans="1:17" x14ac:dyDescent="0.35">
      <c r="A3" s="2" t="str">
        <f>HYPERLINK("https://vtmf.veevavault.com/ui/#doc_info/29246635/1/0", "77242113UCO3001-CZE-DD5-CZ10002-Monitoring Visit Follow-up Letter-SQVR_FL-15 May 2025 (v1.0)")</f>
        <v>77242113UCO3001-CZE-DD5-CZ10002-Monitoring Visit Follow-up Letter-SQVR_FL-15 May 2025 (v1.0)</v>
      </c>
      <c r="B3" s="3" t="s">
        <v>38</v>
      </c>
      <c r="C3" s="3" t="s">
        <v>18</v>
      </c>
      <c r="D3" s="3" t="s">
        <v>18</v>
      </c>
      <c r="E3" s="3" t="s">
        <v>39</v>
      </c>
      <c r="F3" s="3"/>
      <c r="G3" s="2" t="str">
        <f>HYPERLINK("https://vtmf.veevavault.com/ui/#doc_info/29246635/1/0", "VTMF-23508334")</f>
        <v>VTMF-23508334</v>
      </c>
      <c r="H3" s="3"/>
      <c r="I3" s="3" t="s">
        <v>40</v>
      </c>
      <c r="J3" s="3" t="s">
        <v>38</v>
      </c>
      <c r="K3" s="4">
        <v>45810.776458333326</v>
      </c>
      <c r="L3" s="5">
        <v>45810</v>
      </c>
      <c r="M3" s="3" t="s">
        <v>23</v>
      </c>
      <c r="N3" s="3" t="s">
        <v>41</v>
      </c>
      <c r="O3" s="3" t="s">
        <v>25</v>
      </c>
      <c r="P3" s="3" t="s">
        <v>529</v>
      </c>
      <c r="Q3" s="3" t="s">
        <v>27</v>
      </c>
    </row>
    <row r="4" spans="1:17" x14ac:dyDescent="0.35">
      <c r="A4" s="2" t="str">
        <f>HYPERLINK("https://vtmf.veevavault.com/ui/#doc_info/29186936/1/0", "77242113UCO3001-CZE-DD5-CZ10002-Pre Trial Monitoring Report-15 May 2025 (v1.0)")</f>
        <v>77242113UCO3001-CZE-DD5-CZ10002-Pre Trial Monitoring Report-15 May 2025 (v1.0)</v>
      </c>
      <c r="B4" s="3" t="s">
        <v>38</v>
      </c>
      <c r="C4" s="3" t="s">
        <v>18</v>
      </c>
      <c r="D4" s="3" t="s">
        <v>131</v>
      </c>
      <c r="E4" s="3" t="s">
        <v>134</v>
      </c>
      <c r="F4" s="3"/>
      <c r="G4" s="2" t="str">
        <f>HYPERLINK("https://vtmf.veevavault.com/ui/#doc_info/29186936/1/0", "VTMF-23458564")</f>
        <v>VTMF-23458564</v>
      </c>
      <c r="H4" s="3"/>
      <c r="I4" s="3" t="s">
        <v>40</v>
      </c>
      <c r="J4" s="3" t="s">
        <v>38</v>
      </c>
      <c r="K4" s="4">
        <v>45800.394178240742</v>
      </c>
      <c r="L4" s="5">
        <v>45800</v>
      </c>
      <c r="M4" s="3" t="s">
        <v>23</v>
      </c>
      <c r="N4" s="3" t="s">
        <v>97</v>
      </c>
      <c r="O4" s="3" t="s">
        <v>25</v>
      </c>
      <c r="P4" s="3" t="s">
        <v>529</v>
      </c>
      <c r="Q4" s="3" t="s">
        <v>27</v>
      </c>
    </row>
    <row r="5" spans="1:17" x14ac:dyDescent="0.35">
      <c r="A5" s="2" t="str">
        <f>HYPERLINK("https://vtmf.veevavault.com/ui/#doc_info/29079628/1/0", "77242113UCO3001-CZE-DD5-CZ10002-Site Confirmation Letter-SQVR_CL-15 May 2025 (v1.0)")</f>
        <v>77242113UCO3001-CZE-DD5-CZ10002-Site Confirmation Letter-SQVR_CL-15 May 2025 (v1.0)</v>
      </c>
      <c r="B5" s="3" t="s">
        <v>38</v>
      </c>
      <c r="C5" s="3" t="s">
        <v>18</v>
      </c>
      <c r="D5" s="3" t="s">
        <v>18</v>
      </c>
      <c r="E5" s="3" t="s">
        <v>47</v>
      </c>
      <c r="F5" s="3"/>
      <c r="G5" s="2" t="str">
        <f>HYPERLINK("https://vtmf.veevavault.com/ui/#doc_info/29079628/1/0", "VTMF-23365736")</f>
        <v>VTMF-23365736</v>
      </c>
      <c r="H5" s="3"/>
      <c r="I5" s="3" t="s">
        <v>40</v>
      </c>
      <c r="J5" s="3" t="s">
        <v>38</v>
      </c>
      <c r="K5" s="4">
        <v>45786.656122685177</v>
      </c>
      <c r="L5" s="5">
        <v>45786</v>
      </c>
      <c r="M5" s="3" t="s">
        <v>23</v>
      </c>
      <c r="N5" s="3" t="s">
        <v>41</v>
      </c>
      <c r="O5" s="3" t="s">
        <v>25</v>
      </c>
      <c r="P5" s="3" t="s">
        <v>529</v>
      </c>
      <c r="Q5" s="3" t="s">
        <v>27</v>
      </c>
    </row>
  </sheetData>
  <autoFilter ref="A1:Q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Q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HYPERLINK("https://vtmf.veevavault.com/ui/#doc_info/29633577/1/0", "77242113UCO3001-CZE-DD5-CZ10005-Sites Evaluated but not Selected-05 Jul 2025 (v1.0)")</f>
        <v>77242113UCO3001-CZE-DD5-CZ10005-Sites Evaluated but not Selected-05 Jul 2025 (v1.0)</v>
      </c>
      <c r="B2" s="3" t="s">
        <v>130</v>
      </c>
      <c r="C2" s="3" t="s">
        <v>18</v>
      </c>
      <c r="D2" s="3" t="s">
        <v>131</v>
      </c>
      <c r="E2" s="3" t="s">
        <v>526</v>
      </c>
      <c r="F2" s="3" t="s">
        <v>530</v>
      </c>
      <c r="G2" s="2" t="str">
        <f>HYPERLINK("https://vtmf.veevavault.com/ui/#doc_info/29633577/1/0", "VTMF-23839535")</f>
        <v>VTMF-23839535</v>
      </c>
      <c r="H2" s="3"/>
      <c r="I2" s="3" t="s">
        <v>22</v>
      </c>
      <c r="J2" s="3" t="s">
        <v>130</v>
      </c>
      <c r="K2" s="4">
        <v>45864.017708333333</v>
      </c>
      <c r="L2" s="5">
        <v>45864</v>
      </c>
      <c r="M2" s="3" t="s">
        <v>23</v>
      </c>
      <c r="N2" s="3"/>
      <c r="O2" s="3" t="s">
        <v>81</v>
      </c>
      <c r="P2" s="3" t="s">
        <v>531</v>
      </c>
      <c r="Q2" s="3" t="s">
        <v>83</v>
      </c>
    </row>
    <row r="3" spans="1:17" x14ac:dyDescent="0.35">
      <c r="A3" s="2" t="str">
        <f>HYPERLINK("https://vtmf.veevavault.com/ui/#doc_info/29246355/1/0", "77242113UCO3001-CZE-DD5-CZ10005-Monitoring Visit Follow-up Letter-SQVR_FL-12 May 2025 (v1.0)")</f>
        <v>77242113UCO3001-CZE-DD5-CZ10005-Monitoring Visit Follow-up Letter-SQVR_FL-12 May 2025 (v1.0)</v>
      </c>
      <c r="B3" s="3" t="s">
        <v>38</v>
      </c>
      <c r="C3" s="3" t="s">
        <v>18</v>
      </c>
      <c r="D3" s="3" t="s">
        <v>18</v>
      </c>
      <c r="E3" s="3" t="s">
        <v>39</v>
      </c>
      <c r="F3" s="3"/>
      <c r="G3" s="2" t="str">
        <f>HYPERLINK("https://vtmf.veevavault.com/ui/#doc_info/29246355/1/0", "VTMF-23508017")</f>
        <v>VTMF-23508017</v>
      </c>
      <c r="H3" s="3"/>
      <c r="I3" s="3" t="s">
        <v>40</v>
      </c>
      <c r="J3" s="3" t="s">
        <v>38</v>
      </c>
      <c r="K3" s="4">
        <v>45810.733275462961</v>
      </c>
      <c r="L3" s="5">
        <v>45810</v>
      </c>
      <c r="M3" s="3" t="s">
        <v>23</v>
      </c>
      <c r="N3" s="3" t="s">
        <v>41</v>
      </c>
      <c r="O3" s="3" t="s">
        <v>25</v>
      </c>
      <c r="P3" s="3" t="s">
        <v>532</v>
      </c>
      <c r="Q3" s="3" t="s">
        <v>27</v>
      </c>
    </row>
    <row r="4" spans="1:17" x14ac:dyDescent="0.35">
      <c r="A4" s="2" t="str">
        <f>HYPERLINK("https://vtmf.veevavault.com/ui/#doc_info/29178166/1/0", "77242113UCO3001-CZE-DD5-CZ10005-Pre Trial Monitoring Report-12 May 2025 (v1.0)")</f>
        <v>77242113UCO3001-CZE-DD5-CZ10005-Pre Trial Monitoring Report-12 May 2025 (v1.0)</v>
      </c>
      <c r="B4" s="3" t="s">
        <v>38</v>
      </c>
      <c r="C4" s="3" t="s">
        <v>18</v>
      </c>
      <c r="D4" s="3" t="s">
        <v>131</v>
      </c>
      <c r="E4" s="3" t="s">
        <v>134</v>
      </c>
      <c r="F4" s="3"/>
      <c r="G4" s="2" t="str">
        <f>HYPERLINK("https://vtmf.veevavault.com/ui/#doc_info/29178166/1/0", "VTMF-23451959")</f>
        <v>VTMF-23451959</v>
      </c>
      <c r="H4" s="3"/>
      <c r="I4" s="3" t="s">
        <v>40</v>
      </c>
      <c r="J4" s="3" t="s">
        <v>38</v>
      </c>
      <c r="K4" s="4">
        <v>45799.479027777779</v>
      </c>
      <c r="L4" s="5">
        <v>45799</v>
      </c>
      <c r="M4" s="3" t="s">
        <v>23</v>
      </c>
      <c r="N4" s="3" t="s">
        <v>97</v>
      </c>
      <c r="O4" s="3" t="s">
        <v>25</v>
      </c>
      <c r="P4" s="3" t="s">
        <v>532</v>
      </c>
      <c r="Q4" s="3" t="s">
        <v>27</v>
      </c>
    </row>
    <row r="5" spans="1:17" x14ac:dyDescent="0.35">
      <c r="A5" s="2" t="str">
        <f>HYPERLINK("https://vtmf.veevavault.com/ui/#doc_info/29049281/1/0", "77242113UCO3001-CZE-DD5-CZ10005-Site Confirmation Letter-SQVR_CL-12 May 2025 (v1.0)")</f>
        <v>77242113UCO3001-CZE-DD5-CZ10005-Site Confirmation Letter-SQVR_CL-12 May 2025 (v1.0)</v>
      </c>
      <c r="B5" s="3" t="s">
        <v>38</v>
      </c>
      <c r="C5" s="3" t="s">
        <v>18</v>
      </c>
      <c r="D5" s="3" t="s">
        <v>18</v>
      </c>
      <c r="E5" s="3" t="s">
        <v>47</v>
      </c>
      <c r="F5" s="3"/>
      <c r="G5" s="2" t="str">
        <f>HYPERLINK("https://vtmf.veevavault.com/ui/#doc_info/29049281/1/0", "VTMF-23340801")</f>
        <v>VTMF-23340801</v>
      </c>
      <c r="H5" s="3"/>
      <c r="I5" s="3" t="s">
        <v>40</v>
      </c>
      <c r="J5" s="3" t="s">
        <v>38</v>
      </c>
      <c r="K5" s="4">
        <v>45783.698761574073</v>
      </c>
      <c r="L5" s="5">
        <v>45783</v>
      </c>
      <c r="M5" s="3" t="s">
        <v>23</v>
      </c>
      <c r="N5" s="3" t="s">
        <v>41</v>
      </c>
      <c r="O5" s="3" t="s">
        <v>25</v>
      </c>
      <c r="P5" s="3" t="s">
        <v>532</v>
      </c>
      <c r="Q5" s="3" t="s">
        <v>27</v>
      </c>
    </row>
  </sheetData>
  <autoFilter ref="A1:Q5" xr:uid="{00000000-0009-0000-0000-00000D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Q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HYPERLINK("https://vtmf.veevavault.com/ui/#doc_info/29352849/1/0", "77242113UCO3001-CZE-DD5-CZ10007-Monitoring Visit Follow-up Letter-SQVR_FL-16 May 2025 (v1.0)")</f>
        <v>77242113UCO3001-CZE-DD5-CZ10007-Monitoring Visit Follow-up Letter-SQVR_FL-16 May 2025 (v1.0)</v>
      </c>
      <c r="B2" s="3" t="s">
        <v>38</v>
      </c>
      <c r="C2" s="3" t="s">
        <v>18</v>
      </c>
      <c r="D2" s="3" t="s">
        <v>18</v>
      </c>
      <c r="E2" s="3" t="s">
        <v>39</v>
      </c>
      <c r="F2" s="3"/>
      <c r="G2" s="2" t="str">
        <f>HYPERLINK("https://vtmf.veevavault.com/ui/#doc_info/29352849/1/0", "VTMF-23596586")</f>
        <v>VTMF-23596586</v>
      </c>
      <c r="H2" s="3"/>
      <c r="I2" s="3" t="s">
        <v>40</v>
      </c>
      <c r="J2" s="3" t="s">
        <v>38</v>
      </c>
      <c r="K2" s="4">
        <v>45821.735682870371</v>
      </c>
      <c r="L2" s="5">
        <v>45821</v>
      </c>
      <c r="M2" s="3" t="s">
        <v>23</v>
      </c>
      <c r="N2" s="3" t="s">
        <v>41</v>
      </c>
      <c r="O2" s="3" t="s">
        <v>25</v>
      </c>
      <c r="P2" s="3" t="s">
        <v>533</v>
      </c>
      <c r="Q2" s="3" t="s">
        <v>27</v>
      </c>
    </row>
    <row r="3" spans="1:17" x14ac:dyDescent="0.35">
      <c r="A3" s="2" t="str">
        <f>HYPERLINK("https://vtmf.veevavault.com/ui/#doc_info/29352073/1/0", "77242113UCO3001-CZE-DD5-CZ10007-Site Confirmation Letter-- (v1.0)")</f>
        <v>77242113UCO3001-CZE-DD5-CZ10007-Site Confirmation Letter-- (v1.0)</v>
      </c>
      <c r="B3" s="3" t="s">
        <v>130</v>
      </c>
      <c r="C3" s="3" t="s">
        <v>18</v>
      </c>
      <c r="D3" s="3" t="s">
        <v>18</v>
      </c>
      <c r="E3" s="3" t="s">
        <v>47</v>
      </c>
      <c r="F3" s="3" t="s">
        <v>534</v>
      </c>
      <c r="G3" s="2" t="str">
        <f>HYPERLINK("https://vtmf.veevavault.com/ui/#doc_info/29352073/1/0", "VTMF-23595947")</f>
        <v>VTMF-23595947</v>
      </c>
      <c r="H3" s="3"/>
      <c r="I3" s="3" t="s">
        <v>22</v>
      </c>
      <c r="J3" s="3" t="s">
        <v>130</v>
      </c>
      <c r="K3" s="4">
        <v>45821.66002314815</v>
      </c>
      <c r="L3" s="5">
        <v>45821</v>
      </c>
      <c r="M3" s="3" t="s">
        <v>23</v>
      </c>
      <c r="N3" s="3" t="s">
        <v>41</v>
      </c>
      <c r="O3" s="3" t="s">
        <v>25</v>
      </c>
      <c r="P3" s="3" t="s">
        <v>533</v>
      </c>
      <c r="Q3" s="3" t="s">
        <v>83</v>
      </c>
    </row>
    <row r="4" spans="1:17" x14ac:dyDescent="0.35">
      <c r="A4" s="2" t="str">
        <f>HYPERLINK("https://vtmf.veevavault.com/ui/#doc_info/29353205/1/0", "77242113UCO3001-CZE-DD5-CZ10007-Feasibility Documentation-13 Jun 2025 (v1.0)")</f>
        <v>77242113UCO3001-CZE-DD5-CZ10007-Feasibility Documentation-13 Jun 2025 (v1.0)</v>
      </c>
      <c r="B4" s="3" t="s">
        <v>130</v>
      </c>
      <c r="C4" s="3" t="s">
        <v>18</v>
      </c>
      <c r="D4" s="3" t="s">
        <v>131</v>
      </c>
      <c r="E4" s="3" t="s">
        <v>132</v>
      </c>
      <c r="F4" s="3" t="s">
        <v>535</v>
      </c>
      <c r="G4" s="2" t="str">
        <f>HYPERLINK("https://vtmf.veevavault.com/ui/#doc_info/29353205/1/0", "VTMF-23596750")</f>
        <v>VTMF-23596750</v>
      </c>
      <c r="H4" s="3"/>
      <c r="I4" s="3" t="s">
        <v>22</v>
      </c>
      <c r="J4" s="3" t="s">
        <v>130</v>
      </c>
      <c r="K4" s="4">
        <v>45821.765462962961</v>
      </c>
      <c r="L4" s="5">
        <v>45821</v>
      </c>
      <c r="M4" s="3" t="s">
        <v>23</v>
      </c>
      <c r="N4" s="3" t="s">
        <v>60</v>
      </c>
      <c r="O4" s="3" t="s">
        <v>81</v>
      </c>
      <c r="P4" s="3" t="s">
        <v>536</v>
      </c>
      <c r="Q4" s="3" t="s">
        <v>83</v>
      </c>
    </row>
    <row r="5" spans="1:17" x14ac:dyDescent="0.35">
      <c r="A5" s="2" t="str">
        <f>HYPERLINK("https://vtmf.veevavault.com/ui/#doc_info/29187787/1/0", "77242113UCO3001-CZE-DD5-CZ10007-Pre Trial Monitoring Report-16 May 2025 (v1.0)")</f>
        <v>77242113UCO3001-CZE-DD5-CZ10007-Pre Trial Monitoring Report-16 May 2025 (v1.0)</v>
      </c>
      <c r="B5" s="3" t="s">
        <v>38</v>
      </c>
      <c r="C5" s="3" t="s">
        <v>18</v>
      </c>
      <c r="D5" s="3" t="s">
        <v>131</v>
      </c>
      <c r="E5" s="3" t="s">
        <v>134</v>
      </c>
      <c r="F5" s="3"/>
      <c r="G5" s="2" t="str">
        <f>HYPERLINK("https://vtmf.veevavault.com/ui/#doc_info/29187787/1/0", "VTMF-23459316")</f>
        <v>VTMF-23459316</v>
      </c>
      <c r="H5" s="3"/>
      <c r="I5" s="3" t="s">
        <v>40</v>
      </c>
      <c r="J5" s="3" t="s">
        <v>38</v>
      </c>
      <c r="K5" s="4">
        <v>45800.480891203697</v>
      </c>
      <c r="L5" s="5">
        <v>45800</v>
      </c>
      <c r="M5" s="3" t="s">
        <v>23</v>
      </c>
      <c r="N5" s="3" t="s">
        <v>97</v>
      </c>
      <c r="O5" s="3" t="s">
        <v>25</v>
      </c>
      <c r="P5" s="3" t="s">
        <v>533</v>
      </c>
      <c r="Q5" s="3" t="s">
        <v>27</v>
      </c>
    </row>
  </sheetData>
  <autoFilter ref="A1:Q5" xr:uid="{00000000-0009-0000-0000-00000E000000}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Q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HYPERLINK("https://vtmf.veevavault.com/ui/#doc_info/29633582/1/0", "77242113UCO3001-CZE-DD5-CZ10008-Sites Evaluated but not Selected-05 Jul 2025 (v1.0)")</f>
        <v>77242113UCO3001-CZE-DD5-CZ10008-Sites Evaluated but not Selected-05 Jul 2025 (v1.0)</v>
      </c>
      <c r="B2" s="3" t="s">
        <v>130</v>
      </c>
      <c r="C2" s="3" t="s">
        <v>18</v>
      </c>
      <c r="D2" s="3" t="s">
        <v>131</v>
      </c>
      <c r="E2" s="3" t="s">
        <v>526</v>
      </c>
      <c r="F2" s="3" t="s">
        <v>537</v>
      </c>
      <c r="G2" s="2" t="str">
        <f>HYPERLINK("https://vtmf.veevavault.com/ui/#doc_info/29633582/1/0", "VTMF-23839543")</f>
        <v>VTMF-23839543</v>
      </c>
      <c r="H2" s="3"/>
      <c r="I2" s="3" t="s">
        <v>22</v>
      </c>
      <c r="J2" s="3" t="s">
        <v>130</v>
      </c>
      <c r="K2" s="4">
        <v>45864.023206018523</v>
      </c>
      <c r="L2" s="5">
        <v>45864</v>
      </c>
      <c r="M2" s="3" t="s">
        <v>23</v>
      </c>
      <c r="N2" s="3"/>
      <c r="O2" s="3" t="s">
        <v>81</v>
      </c>
      <c r="P2" s="3" t="s">
        <v>538</v>
      </c>
      <c r="Q2" s="3" t="s">
        <v>83</v>
      </c>
    </row>
    <row r="3" spans="1:17" x14ac:dyDescent="0.35">
      <c r="A3" s="2" t="str">
        <f>HYPERLINK("https://vtmf.veevavault.com/ui/#doc_info/29333440/1/0", "77242113UCO3001-CZE-DD5-CZ10008-Monitoring Visit Follow-up Letter-SQVR_FL-23 May 2025 (v1.0)")</f>
        <v>77242113UCO3001-CZE-DD5-CZ10008-Monitoring Visit Follow-up Letter-SQVR_FL-23 May 2025 (v1.0)</v>
      </c>
      <c r="B3" s="3" t="s">
        <v>38</v>
      </c>
      <c r="C3" s="3" t="s">
        <v>18</v>
      </c>
      <c r="D3" s="3" t="s">
        <v>18</v>
      </c>
      <c r="E3" s="3" t="s">
        <v>39</v>
      </c>
      <c r="F3" s="3"/>
      <c r="G3" s="2" t="str">
        <f>HYPERLINK("https://vtmf.veevavault.com/ui/#doc_info/29333440/1/0", "VTMF-23579848")</f>
        <v>VTMF-23579848</v>
      </c>
      <c r="H3" s="3"/>
      <c r="I3" s="3" t="s">
        <v>40</v>
      </c>
      <c r="J3" s="3" t="s">
        <v>38</v>
      </c>
      <c r="K3" s="4">
        <v>45819.621446759258</v>
      </c>
      <c r="L3" s="5">
        <v>45819</v>
      </c>
      <c r="M3" s="3" t="s">
        <v>23</v>
      </c>
      <c r="N3" s="3" t="s">
        <v>41</v>
      </c>
      <c r="O3" s="3" t="s">
        <v>25</v>
      </c>
      <c r="P3" s="3" t="s">
        <v>539</v>
      </c>
      <c r="Q3" s="3" t="s">
        <v>27</v>
      </c>
    </row>
    <row r="4" spans="1:17" x14ac:dyDescent="0.35">
      <c r="A4" s="2" t="str">
        <f>HYPERLINK("https://vtmf.veevavault.com/ui/#doc_info/29244951/1/0", "77242113UCO3001-CZE-DD5-CZ10008-Pre Trial Monitoring Report-23 May 2025 (v1.0)")</f>
        <v>77242113UCO3001-CZE-DD5-CZ10008-Pre Trial Monitoring Report-23 May 2025 (v1.0)</v>
      </c>
      <c r="B4" s="3" t="s">
        <v>38</v>
      </c>
      <c r="C4" s="3" t="s">
        <v>18</v>
      </c>
      <c r="D4" s="3" t="s">
        <v>131</v>
      </c>
      <c r="E4" s="3" t="s">
        <v>134</v>
      </c>
      <c r="F4" s="3"/>
      <c r="G4" s="2" t="str">
        <f>HYPERLINK("https://vtmf.veevavault.com/ui/#doc_info/29244951/1/0", "VTMF-23506999")</f>
        <v>VTMF-23506999</v>
      </c>
      <c r="H4" s="3"/>
      <c r="I4" s="3" t="s">
        <v>40</v>
      </c>
      <c r="J4" s="3" t="s">
        <v>38</v>
      </c>
      <c r="K4" s="4">
        <v>45810.633668981478</v>
      </c>
      <c r="L4" s="5">
        <v>45810</v>
      </c>
      <c r="M4" s="3" t="s">
        <v>23</v>
      </c>
      <c r="N4" s="3" t="s">
        <v>97</v>
      </c>
      <c r="O4" s="3" t="s">
        <v>25</v>
      </c>
      <c r="P4" s="3" t="s">
        <v>539</v>
      </c>
      <c r="Q4" s="3" t="s">
        <v>27</v>
      </c>
    </row>
    <row r="5" spans="1:17" x14ac:dyDescent="0.35">
      <c r="A5" s="2" t="str">
        <f>HYPERLINK("https://vtmf.veevavault.com/ui/#doc_info/29173993/1/0", "77242113UCO3001-CZE-DD5-CZ10008-Site Confirmation Letter-SQVR_CL-23 May 2025 (v1.0)")</f>
        <v>77242113UCO3001-CZE-DD5-CZ10008-Site Confirmation Letter-SQVR_CL-23 May 2025 (v1.0)</v>
      </c>
      <c r="B5" s="3" t="s">
        <v>38</v>
      </c>
      <c r="C5" s="3" t="s">
        <v>18</v>
      </c>
      <c r="D5" s="3" t="s">
        <v>18</v>
      </c>
      <c r="E5" s="3" t="s">
        <v>47</v>
      </c>
      <c r="F5" s="3"/>
      <c r="G5" s="2" t="str">
        <f>HYPERLINK("https://vtmf.veevavault.com/ui/#doc_info/29173993/1/0", "VTMF-23448255")</f>
        <v>VTMF-23448255</v>
      </c>
      <c r="H5" s="3"/>
      <c r="I5" s="3" t="s">
        <v>40</v>
      </c>
      <c r="J5" s="3" t="s">
        <v>38</v>
      </c>
      <c r="K5" s="4">
        <v>45798.971250000002</v>
      </c>
      <c r="L5" s="5">
        <v>45798</v>
      </c>
      <c r="M5" s="3" t="s">
        <v>23</v>
      </c>
      <c r="N5" s="3" t="s">
        <v>41</v>
      </c>
      <c r="O5" s="3" t="s">
        <v>25</v>
      </c>
      <c r="P5" s="3" t="s">
        <v>539</v>
      </c>
      <c r="Q5" s="3" t="s">
        <v>27</v>
      </c>
    </row>
  </sheetData>
  <autoFilter ref="A1:Q5" xr:uid="{00000000-0009-0000-0000-00000F000000}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Q4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HYPERLINK("https://vtmf.veevavault.com/ui/#doc_info/29187792/1/0", "77242113UCO3001-CZE-DD5-CZ10011-Monitoring Visit Follow-up Letter-SQVR_FL-19 May 2025 (v1.0)")</f>
        <v>77242113UCO3001-CZE-DD5-CZ10011-Monitoring Visit Follow-up Letter-SQVR_FL-19 May 2025 (v1.0)</v>
      </c>
      <c r="B2" s="3" t="s">
        <v>38</v>
      </c>
      <c r="C2" s="3" t="s">
        <v>18</v>
      </c>
      <c r="D2" s="3" t="s">
        <v>18</v>
      </c>
      <c r="E2" s="3" t="s">
        <v>39</v>
      </c>
      <c r="F2" s="3"/>
      <c r="G2" s="2" t="str">
        <f>HYPERLINK("https://vtmf.veevavault.com/ui/#doc_info/29187792/1/0", "VTMF-23459323")</f>
        <v>VTMF-23459323</v>
      </c>
      <c r="H2" s="3"/>
      <c r="I2" s="3" t="s">
        <v>40</v>
      </c>
      <c r="J2" s="3" t="s">
        <v>38</v>
      </c>
      <c r="K2" s="4">
        <v>45800.481157407397</v>
      </c>
      <c r="L2" s="5">
        <v>45800</v>
      </c>
      <c r="M2" s="3" t="s">
        <v>23</v>
      </c>
      <c r="N2" s="3" t="s">
        <v>41</v>
      </c>
      <c r="O2" s="3" t="s">
        <v>25</v>
      </c>
      <c r="P2" s="3" t="s">
        <v>540</v>
      </c>
      <c r="Q2" s="3" t="s">
        <v>27</v>
      </c>
    </row>
    <row r="3" spans="1:17" x14ac:dyDescent="0.35">
      <c r="A3" s="2" t="str">
        <f>HYPERLINK("https://vtmf.veevavault.com/ui/#doc_info/29179890/1/0", "77242113UCO3001-CZE-DD5-CZ10011-Pre Trial Monitoring Report-19 May 2025 (v1.0)")</f>
        <v>77242113UCO3001-CZE-DD5-CZ10011-Pre Trial Monitoring Report-19 May 2025 (v1.0)</v>
      </c>
      <c r="B3" s="3" t="s">
        <v>38</v>
      </c>
      <c r="C3" s="3" t="s">
        <v>18</v>
      </c>
      <c r="D3" s="3" t="s">
        <v>131</v>
      </c>
      <c r="E3" s="3" t="s">
        <v>134</v>
      </c>
      <c r="F3" s="3"/>
      <c r="G3" s="2" t="str">
        <f>HYPERLINK("https://vtmf.veevavault.com/ui/#doc_info/29179890/1/0", "VTMF-23453295")</f>
        <v>VTMF-23453295</v>
      </c>
      <c r="H3" s="3"/>
      <c r="I3" s="3" t="s">
        <v>40</v>
      </c>
      <c r="J3" s="3" t="s">
        <v>38</v>
      </c>
      <c r="K3" s="4">
        <v>45799.639282407406</v>
      </c>
      <c r="L3" s="5">
        <v>45799</v>
      </c>
      <c r="M3" s="3" t="s">
        <v>23</v>
      </c>
      <c r="N3" s="3" t="s">
        <v>97</v>
      </c>
      <c r="O3" s="3" t="s">
        <v>25</v>
      </c>
      <c r="P3" s="3" t="s">
        <v>540</v>
      </c>
      <c r="Q3" s="3" t="s">
        <v>27</v>
      </c>
    </row>
    <row r="4" spans="1:17" x14ac:dyDescent="0.35">
      <c r="A4" s="2" t="str">
        <f>HYPERLINK("https://vtmf.veevavault.com/ui/#doc_info/29173012/1/0", "77242113UCO3001-CZE-DD5-CZ10011-Site Confirmation Letter-SQVR_CL-19 May 2025 (v1.0)")</f>
        <v>77242113UCO3001-CZE-DD5-CZ10011-Site Confirmation Letter-SQVR_CL-19 May 2025 (v1.0)</v>
      </c>
      <c r="B4" s="3" t="s">
        <v>38</v>
      </c>
      <c r="C4" s="3" t="s">
        <v>18</v>
      </c>
      <c r="D4" s="3" t="s">
        <v>18</v>
      </c>
      <c r="E4" s="3" t="s">
        <v>47</v>
      </c>
      <c r="F4" s="3"/>
      <c r="G4" s="2" t="str">
        <f>HYPERLINK("https://vtmf.veevavault.com/ui/#doc_info/29173012/1/0", "VTMF-23447235")</f>
        <v>VTMF-23447235</v>
      </c>
      <c r="H4" s="3"/>
      <c r="I4" s="3" t="s">
        <v>40</v>
      </c>
      <c r="J4" s="3" t="s">
        <v>38</v>
      </c>
      <c r="K4" s="4">
        <v>45798.949930555558</v>
      </c>
      <c r="L4" s="5">
        <v>45798</v>
      </c>
      <c r="M4" s="3" t="s">
        <v>23</v>
      </c>
      <c r="N4" s="3" t="s">
        <v>41</v>
      </c>
      <c r="O4" s="3" t="s">
        <v>25</v>
      </c>
      <c r="P4" s="3" t="s">
        <v>540</v>
      </c>
      <c r="Q4" s="3" t="s">
        <v>27</v>
      </c>
    </row>
  </sheetData>
  <autoFilter ref="A1:Q4" xr:uid="{00000000-0009-0000-0000-000010000000}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Q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HYPERLINK("https://vtmf.veevavault.com/ui/#doc_info/29633572/1/0", "77242113UCO3001-CZE-DD5-CZ10017-Sites Evaluated but not Selected-05 Jul 2025 (v1.0)")</f>
        <v>77242113UCO3001-CZE-DD5-CZ10017-Sites Evaluated but not Selected-05 Jul 2025 (v1.0)</v>
      </c>
      <c r="B2" s="3" t="s">
        <v>130</v>
      </c>
      <c r="C2" s="3" t="s">
        <v>18</v>
      </c>
      <c r="D2" s="3" t="s">
        <v>131</v>
      </c>
      <c r="E2" s="3" t="s">
        <v>526</v>
      </c>
      <c r="F2" s="3" t="s">
        <v>541</v>
      </c>
      <c r="G2" s="2" t="str">
        <f>HYPERLINK("https://vtmf.veevavault.com/ui/#doc_info/29633572/1/0", "VTMF-23839530")</f>
        <v>VTMF-23839530</v>
      </c>
      <c r="H2" s="3"/>
      <c r="I2" s="3" t="s">
        <v>22</v>
      </c>
      <c r="J2" s="3" t="s">
        <v>130</v>
      </c>
      <c r="K2" s="4">
        <v>45864.016319444447</v>
      </c>
      <c r="L2" s="5">
        <v>45864</v>
      </c>
      <c r="M2" s="3" t="s">
        <v>23</v>
      </c>
      <c r="N2" s="3"/>
      <c r="O2" s="3" t="s">
        <v>81</v>
      </c>
      <c r="P2" s="3" t="s">
        <v>542</v>
      </c>
      <c r="Q2" s="3" t="s">
        <v>83</v>
      </c>
    </row>
    <row r="3" spans="1:17" x14ac:dyDescent="0.35">
      <c r="A3" s="2" t="str">
        <f>HYPERLINK("https://vtmf.veevavault.com/ui/#doc_info/29246641/1/0", "77242113UCO3001-CZE-DD5-CZ10017-Monitoring Visit Follow-up Letter-SQVR_FL-22 May 2025 (v1.0)")</f>
        <v>77242113UCO3001-CZE-DD5-CZ10017-Monitoring Visit Follow-up Letter-SQVR_FL-22 May 2025 (v1.0)</v>
      </c>
      <c r="B3" s="3" t="s">
        <v>38</v>
      </c>
      <c r="C3" s="3" t="s">
        <v>18</v>
      </c>
      <c r="D3" s="3" t="s">
        <v>18</v>
      </c>
      <c r="E3" s="3" t="s">
        <v>39</v>
      </c>
      <c r="F3" s="3"/>
      <c r="G3" s="2" t="str">
        <f>HYPERLINK("https://vtmf.veevavault.com/ui/#doc_info/29246641/1/0", "VTMF-23508342")</f>
        <v>VTMF-23508342</v>
      </c>
      <c r="H3" s="3"/>
      <c r="I3" s="3" t="s">
        <v>40</v>
      </c>
      <c r="J3" s="3" t="s">
        <v>38</v>
      </c>
      <c r="K3" s="4">
        <v>45810.777777777781</v>
      </c>
      <c r="L3" s="5">
        <v>45810</v>
      </c>
      <c r="M3" s="3" t="s">
        <v>23</v>
      </c>
      <c r="N3" s="3" t="s">
        <v>41</v>
      </c>
      <c r="O3" s="3" t="s">
        <v>25</v>
      </c>
      <c r="P3" s="3" t="s">
        <v>543</v>
      </c>
      <c r="Q3" s="3" t="s">
        <v>27</v>
      </c>
    </row>
    <row r="4" spans="1:17" x14ac:dyDescent="0.35">
      <c r="A4" s="2" t="str">
        <f>HYPERLINK("https://vtmf.veevavault.com/ui/#doc_info/29230217/1/0", "77242113UCO3001-CZE-DD5-CZ10017-Pre Trial Monitoring Report-22 May 2025 (v1.0)")</f>
        <v>77242113UCO3001-CZE-DD5-CZ10017-Pre Trial Monitoring Report-22 May 2025 (v1.0)</v>
      </c>
      <c r="B4" s="3" t="s">
        <v>38</v>
      </c>
      <c r="C4" s="3" t="s">
        <v>18</v>
      </c>
      <c r="D4" s="3" t="s">
        <v>131</v>
      </c>
      <c r="E4" s="3" t="s">
        <v>134</v>
      </c>
      <c r="F4" s="3"/>
      <c r="G4" s="2" t="str">
        <f>HYPERLINK("https://vtmf.veevavault.com/ui/#doc_info/29230217/1/0", "VTMF-23494199")</f>
        <v>VTMF-23494199</v>
      </c>
      <c r="H4" s="3"/>
      <c r="I4" s="3" t="s">
        <v>40</v>
      </c>
      <c r="J4" s="3" t="s">
        <v>38</v>
      </c>
      <c r="K4" s="4">
        <v>45806.940150462957</v>
      </c>
      <c r="L4" s="5">
        <v>45806</v>
      </c>
      <c r="M4" s="3" t="s">
        <v>23</v>
      </c>
      <c r="N4" s="3" t="s">
        <v>97</v>
      </c>
      <c r="O4" s="3" t="s">
        <v>25</v>
      </c>
      <c r="P4" s="3" t="s">
        <v>543</v>
      </c>
      <c r="Q4" s="3" t="s">
        <v>27</v>
      </c>
    </row>
    <row r="5" spans="1:17" x14ac:dyDescent="0.35">
      <c r="A5" s="2" t="str">
        <f>HYPERLINK("https://vtmf.veevavault.com/ui/#doc_info/29174002/1/0", "77242113UCO3001-CZE-DD5-CZ10017-Site Confirmation Letter-SQVR_CL-22 May 2025 (v1.0)")</f>
        <v>77242113UCO3001-CZE-DD5-CZ10017-Site Confirmation Letter-SQVR_CL-22 May 2025 (v1.0)</v>
      </c>
      <c r="B5" s="3" t="s">
        <v>38</v>
      </c>
      <c r="C5" s="3" t="s">
        <v>18</v>
      </c>
      <c r="D5" s="3" t="s">
        <v>18</v>
      </c>
      <c r="E5" s="3" t="s">
        <v>47</v>
      </c>
      <c r="F5" s="3"/>
      <c r="G5" s="2" t="str">
        <f>HYPERLINK("https://vtmf.veevavault.com/ui/#doc_info/29174002/1/0", "VTMF-23448266")</f>
        <v>VTMF-23448266</v>
      </c>
      <c r="H5" s="3"/>
      <c r="I5" s="3" t="s">
        <v>40</v>
      </c>
      <c r="J5" s="3" t="s">
        <v>38</v>
      </c>
      <c r="K5" s="4">
        <v>45798.974131944437</v>
      </c>
      <c r="L5" s="5">
        <v>45798</v>
      </c>
      <c r="M5" s="3" t="s">
        <v>23</v>
      </c>
      <c r="N5" s="3" t="s">
        <v>41</v>
      </c>
      <c r="O5" s="3" t="s">
        <v>25</v>
      </c>
      <c r="P5" s="3" t="s">
        <v>543</v>
      </c>
      <c r="Q5" s="3" t="s">
        <v>27</v>
      </c>
    </row>
  </sheetData>
  <autoFilter ref="A1:Q5" xr:uid="{00000000-0009-0000-0000-000011000000}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Q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HYPERLINK("https://vtmf.veevavault.com/ui/#doc_info/29633578/1/0", "77242113UCO3001-CZE-DD6-CZ10018-Sites Evaluated but not Selected-05 Jul 2025 (v1.0)")</f>
        <v>77242113UCO3001-CZE-DD6-CZ10018-Sites Evaluated but not Selected-05 Jul 2025 (v1.0)</v>
      </c>
      <c r="B2" s="3" t="s">
        <v>130</v>
      </c>
      <c r="C2" s="3" t="s">
        <v>18</v>
      </c>
      <c r="D2" s="3" t="s">
        <v>131</v>
      </c>
      <c r="E2" s="3" t="s">
        <v>526</v>
      </c>
      <c r="F2" s="3" t="s">
        <v>544</v>
      </c>
      <c r="G2" s="2" t="str">
        <f>HYPERLINK("https://vtmf.veevavault.com/ui/#doc_info/29633578/1/0", "VTMF-23839540")</f>
        <v>VTMF-23839540</v>
      </c>
      <c r="H2" s="3"/>
      <c r="I2" s="3" t="s">
        <v>22</v>
      </c>
      <c r="J2" s="3" t="s">
        <v>130</v>
      </c>
      <c r="K2" s="4">
        <v>45864.019537037027</v>
      </c>
      <c r="L2" s="5">
        <v>45864</v>
      </c>
      <c r="M2" s="3" t="s">
        <v>23</v>
      </c>
      <c r="N2" s="3"/>
      <c r="O2" s="3" t="s">
        <v>81</v>
      </c>
      <c r="P2" s="3" t="s">
        <v>545</v>
      </c>
      <c r="Q2" s="3" t="s">
        <v>83</v>
      </c>
    </row>
    <row r="3" spans="1:17" x14ac:dyDescent="0.35">
      <c r="A3" s="2" t="str">
        <f>HYPERLINK("https://vtmf.veevavault.com/ui/#doc_info/29187794/1/0", "77242113UCO3001-CZE-DD5-CZ10018-Monitoring Visit Follow-up Letter-SQVR_FL-20 May 2025 (v1.0)")</f>
        <v>77242113UCO3001-CZE-DD5-CZ10018-Monitoring Visit Follow-up Letter-SQVR_FL-20 May 2025 (v1.0)</v>
      </c>
      <c r="B3" s="3" t="s">
        <v>38</v>
      </c>
      <c r="C3" s="3" t="s">
        <v>18</v>
      </c>
      <c r="D3" s="3" t="s">
        <v>18</v>
      </c>
      <c r="E3" s="3" t="s">
        <v>39</v>
      </c>
      <c r="F3" s="3"/>
      <c r="G3" s="2" t="str">
        <f>HYPERLINK("https://vtmf.veevavault.com/ui/#doc_info/29187794/1/0", "VTMF-23459328")</f>
        <v>VTMF-23459328</v>
      </c>
      <c r="H3" s="3"/>
      <c r="I3" s="3" t="s">
        <v>40</v>
      </c>
      <c r="J3" s="3" t="s">
        <v>38</v>
      </c>
      <c r="K3" s="4">
        <v>45800.481412037043</v>
      </c>
      <c r="L3" s="5">
        <v>45800</v>
      </c>
      <c r="M3" s="3" t="s">
        <v>23</v>
      </c>
      <c r="N3" s="3" t="s">
        <v>41</v>
      </c>
      <c r="O3" s="3" t="s">
        <v>25</v>
      </c>
      <c r="P3" s="3" t="s">
        <v>546</v>
      </c>
      <c r="Q3" s="3" t="s">
        <v>27</v>
      </c>
    </row>
    <row r="4" spans="1:17" x14ac:dyDescent="0.35">
      <c r="A4" s="2" t="str">
        <f>HYPERLINK("https://vtmf.veevavault.com/ui/#doc_info/29186935/1/0", "77242113UCO3001-CZE-DD5-CZ10018-Pre Trial Monitoring Report-20 May 2025 (v1.0)")</f>
        <v>77242113UCO3001-CZE-DD5-CZ10018-Pre Trial Monitoring Report-20 May 2025 (v1.0)</v>
      </c>
      <c r="B4" s="3" t="s">
        <v>38</v>
      </c>
      <c r="C4" s="3" t="s">
        <v>18</v>
      </c>
      <c r="D4" s="3" t="s">
        <v>131</v>
      </c>
      <c r="E4" s="3" t="s">
        <v>134</v>
      </c>
      <c r="F4" s="3"/>
      <c r="G4" s="2" t="str">
        <f>HYPERLINK("https://vtmf.veevavault.com/ui/#doc_info/29186935/1/0", "VTMF-23458563")</f>
        <v>VTMF-23458563</v>
      </c>
      <c r="H4" s="3"/>
      <c r="I4" s="3" t="s">
        <v>40</v>
      </c>
      <c r="J4" s="3" t="s">
        <v>38</v>
      </c>
      <c r="K4" s="4">
        <v>45800.393900462957</v>
      </c>
      <c r="L4" s="5">
        <v>45800</v>
      </c>
      <c r="M4" s="3" t="s">
        <v>23</v>
      </c>
      <c r="N4" s="3" t="s">
        <v>97</v>
      </c>
      <c r="O4" s="3" t="s">
        <v>25</v>
      </c>
      <c r="P4" s="3" t="s">
        <v>546</v>
      </c>
      <c r="Q4" s="3" t="s">
        <v>27</v>
      </c>
    </row>
    <row r="5" spans="1:17" x14ac:dyDescent="0.35">
      <c r="A5" s="2" t="str">
        <f>HYPERLINK("https://vtmf.veevavault.com/ui/#doc_info/29173242/1/0", "77242113UCO3001-CZE-DD5-CZ10018-Site Confirmation Letter-SQVR_CL-20 May 2025 (v1.0)")</f>
        <v>77242113UCO3001-CZE-DD5-CZ10018-Site Confirmation Letter-SQVR_CL-20 May 2025 (v1.0)</v>
      </c>
      <c r="B5" s="3" t="s">
        <v>38</v>
      </c>
      <c r="C5" s="3" t="s">
        <v>18</v>
      </c>
      <c r="D5" s="3" t="s">
        <v>18</v>
      </c>
      <c r="E5" s="3" t="s">
        <v>47</v>
      </c>
      <c r="F5" s="3"/>
      <c r="G5" s="2" t="str">
        <f>HYPERLINK("https://vtmf.veevavault.com/ui/#doc_info/29173242/1/0", "VTMF-23447450")</f>
        <v>VTMF-23447450</v>
      </c>
      <c r="H5" s="3"/>
      <c r="I5" s="3" t="s">
        <v>40</v>
      </c>
      <c r="J5" s="3" t="s">
        <v>38</v>
      </c>
      <c r="K5" s="4">
        <v>45798.950335648151</v>
      </c>
      <c r="L5" s="5">
        <v>45798</v>
      </c>
      <c r="M5" s="3" t="s">
        <v>23</v>
      </c>
      <c r="N5" s="3" t="s">
        <v>41</v>
      </c>
      <c r="O5" s="3" t="s">
        <v>25</v>
      </c>
      <c r="P5" s="3" t="s">
        <v>546</v>
      </c>
      <c r="Q5" s="3" t="s">
        <v>27</v>
      </c>
    </row>
  </sheetData>
  <autoFilter ref="A1:Q5" xr:uid="{00000000-0009-0000-0000-000012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48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HYPERLINK("https://vtmf.veevavault.com/ui/#doc_info/31289353/1/0", "77242113UCO3001-CZE-DD5-CZ10003-Non-IP Shipment Documentation-12 Feb 2026 (v1.0)")</f>
        <v>77242113UCO3001-CZE-DD5-CZ10003-Non-IP Shipment Documentation-12 Feb 2026 (v1.0)</v>
      </c>
      <c r="B2" s="3" t="s">
        <v>17</v>
      </c>
      <c r="C2" s="3" t="s">
        <v>28</v>
      </c>
      <c r="D2" s="3" t="s">
        <v>29</v>
      </c>
      <c r="E2" s="3" t="s">
        <v>30</v>
      </c>
      <c r="F2" s="3" t="s">
        <v>135</v>
      </c>
      <c r="G2" s="2" t="str">
        <f>HYPERLINK("https://vtmf.veevavault.com/ui/#doc_info/31289353/1/0", "VTMF-25234828")</f>
        <v>VTMF-25234828</v>
      </c>
      <c r="H2" s="3"/>
      <c r="I2" s="3" t="s">
        <v>22</v>
      </c>
      <c r="J2" s="3" t="s">
        <v>17</v>
      </c>
      <c r="K2" s="4">
        <v>46108.647928240738</v>
      </c>
      <c r="L2" s="5">
        <v>46125</v>
      </c>
      <c r="M2" s="3" t="s">
        <v>23</v>
      </c>
      <c r="N2" s="3" t="s">
        <v>32</v>
      </c>
      <c r="O2" s="3" t="s">
        <v>25</v>
      </c>
      <c r="P2" s="3" t="s">
        <v>136</v>
      </c>
      <c r="Q2" s="3" t="s">
        <v>27</v>
      </c>
    </row>
    <row r="3" spans="1:17" x14ac:dyDescent="0.35">
      <c r="A3" s="2" t="str">
        <f>HYPERLINK("https://vtmf.veevavault.com/ui/#doc_info/31276801/1/0", "77242113UCO3001-CZE-DD5-CZ10003-Relevant Communications-25 Mar 2026 (v1.0)")</f>
        <v>77242113UCO3001-CZE-DD5-CZ10003-Relevant Communications-25 Mar 2026 (v1.0)</v>
      </c>
      <c r="B3" s="3" t="s">
        <v>35</v>
      </c>
      <c r="C3" s="3" t="s">
        <v>18</v>
      </c>
      <c r="D3" s="3" t="s">
        <v>19</v>
      </c>
      <c r="E3" s="3" t="s">
        <v>20</v>
      </c>
      <c r="F3" s="3" t="s">
        <v>137</v>
      </c>
      <c r="G3" s="2" t="str">
        <f>HYPERLINK("https://vtmf.veevavault.com/ui/#doc_info/31276801/1/0", "VTMF-25224252")</f>
        <v>VTMF-25224252</v>
      </c>
      <c r="H3" s="3"/>
      <c r="I3" s="3" t="s">
        <v>22</v>
      </c>
      <c r="J3" s="3" t="s">
        <v>35</v>
      </c>
      <c r="K3" s="4">
        <v>46107.399629629632</v>
      </c>
      <c r="L3" s="5">
        <v>46107</v>
      </c>
      <c r="M3" s="3" t="s">
        <v>23</v>
      </c>
      <c r="N3" s="3" t="s">
        <v>24</v>
      </c>
      <c r="O3" s="3" t="s">
        <v>25</v>
      </c>
      <c r="P3" s="3" t="s">
        <v>136</v>
      </c>
      <c r="Q3" s="3" t="s">
        <v>27</v>
      </c>
    </row>
    <row r="4" spans="1:17" x14ac:dyDescent="0.35">
      <c r="A4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4" s="3" t="s">
        <v>35</v>
      </c>
      <c r="C4" s="3" t="s">
        <v>18</v>
      </c>
      <c r="D4" s="3" t="s">
        <v>19</v>
      </c>
      <c r="E4" s="3" t="s">
        <v>20</v>
      </c>
      <c r="F4" s="3" t="s">
        <v>44</v>
      </c>
      <c r="G4" s="2" t="str">
        <f>HYPERLINK("https://vtmf.veevavault.com/ui/#doc_info/30957580/1/0", "VTMF-24952860")</f>
        <v>VTMF-24952860</v>
      </c>
      <c r="H4" s="3"/>
      <c r="I4" s="3" t="s">
        <v>35</v>
      </c>
      <c r="J4" s="3" t="s">
        <v>35</v>
      </c>
      <c r="K4" s="4">
        <v>46063.445960648147</v>
      </c>
      <c r="L4" s="5">
        <v>46063</v>
      </c>
      <c r="M4" s="3" t="s">
        <v>23</v>
      </c>
      <c r="N4" s="3" t="s">
        <v>24</v>
      </c>
      <c r="O4" s="3" t="s">
        <v>25</v>
      </c>
      <c r="P4" s="3" t="s">
        <v>45</v>
      </c>
      <c r="Q4" s="3" t="s">
        <v>27</v>
      </c>
    </row>
    <row r="5" spans="1:17" x14ac:dyDescent="0.35">
      <c r="A5" s="2" t="str">
        <f>HYPERLINK("https://vtmf.veevavault.com/ui/#doc_info/30927151/1/0", "77242113UCO3001-CZE-DD5-CZ10003-VR Correction Form-05 Dec 2025 (v1.0)")</f>
        <v>77242113UCO3001-CZE-DD5-CZ10003-VR Correction Form-05 Dec 2025 (v1.0)</v>
      </c>
      <c r="B5" s="3" t="s">
        <v>38</v>
      </c>
      <c r="C5" s="3" t="s">
        <v>18</v>
      </c>
      <c r="D5" s="3" t="s">
        <v>19</v>
      </c>
      <c r="E5" s="3" t="s">
        <v>138</v>
      </c>
      <c r="F5" s="3"/>
      <c r="G5" s="2" t="str">
        <f>HYPERLINK("https://vtmf.veevavault.com/ui/#doc_info/30927151/1/0", "VTMF-24927728")</f>
        <v>VTMF-24927728</v>
      </c>
      <c r="H5" s="3"/>
      <c r="I5" s="3" t="s">
        <v>139</v>
      </c>
      <c r="J5" s="3" t="s">
        <v>38</v>
      </c>
      <c r="K5" s="4">
        <v>46058.396585648137</v>
      </c>
      <c r="L5" s="5">
        <v>46058</v>
      </c>
      <c r="M5" s="3" t="s">
        <v>23</v>
      </c>
      <c r="N5" s="3"/>
      <c r="O5" s="3" t="s">
        <v>25</v>
      </c>
      <c r="P5" s="3" t="s">
        <v>136</v>
      </c>
      <c r="Q5" s="3" t="s">
        <v>27</v>
      </c>
    </row>
    <row r="6" spans="1:17" x14ac:dyDescent="0.35">
      <c r="A6" s="2" t="str">
        <f>HYPERLINK("https://vtmf.veevavault.com/ui/#doc_info/30748940/1/0", "77242113UCO3001-CZE-DD5-CZ10003-Relevant Communications-07 Jan 2026 (v1.0)")</f>
        <v>77242113UCO3001-CZE-DD5-CZ10003-Relevant Communications-07 Jan 2026 (v1.0)</v>
      </c>
      <c r="B6" s="3" t="s">
        <v>56</v>
      </c>
      <c r="C6" s="3" t="s">
        <v>18</v>
      </c>
      <c r="D6" s="3" t="s">
        <v>19</v>
      </c>
      <c r="E6" s="3" t="s">
        <v>20</v>
      </c>
      <c r="F6" s="3" t="s">
        <v>140</v>
      </c>
      <c r="G6" s="2" t="str">
        <f>HYPERLINK("https://vtmf.veevavault.com/ui/#doc_info/30748940/1/0", "VTMF-24776980")</f>
        <v>VTMF-24776980</v>
      </c>
      <c r="H6" s="3"/>
      <c r="I6" s="3" t="s">
        <v>22</v>
      </c>
      <c r="J6" s="3" t="s">
        <v>56</v>
      </c>
      <c r="K6" s="4">
        <v>46031.582812499997</v>
      </c>
      <c r="L6" s="5">
        <v>46031</v>
      </c>
      <c r="M6" s="3" t="s">
        <v>23</v>
      </c>
      <c r="N6" s="3" t="s">
        <v>24</v>
      </c>
      <c r="O6" s="3" t="s">
        <v>25</v>
      </c>
      <c r="P6" s="3" t="s">
        <v>136</v>
      </c>
      <c r="Q6" s="3" t="s">
        <v>27</v>
      </c>
    </row>
    <row r="7" spans="1:17" x14ac:dyDescent="0.35">
      <c r="A7" s="2" t="str">
        <f>HYPERLINK("https://vtmf.veevavault.com/ui/#doc_info/30742791/1/0", "77242113UCO3001-CZE-DD5-CZ10003-Recruitment Plan-08 Jan 2026 (v1.0)")</f>
        <v>77242113UCO3001-CZE-DD5-CZ10003-Recruitment Plan-08 Jan 2026 (v1.0)</v>
      </c>
      <c r="B7" s="3" t="s">
        <v>35</v>
      </c>
      <c r="C7" s="3" t="s">
        <v>48</v>
      </c>
      <c r="D7" s="3" t="s">
        <v>49</v>
      </c>
      <c r="E7" s="3" t="s">
        <v>50</v>
      </c>
      <c r="F7" s="3" t="s">
        <v>141</v>
      </c>
      <c r="G7" s="2" t="str">
        <f>HYPERLINK("https://vtmf.veevavault.com/ui/#doc_info/30742791/1/0", "VTMF-24771580")</f>
        <v>VTMF-24771580</v>
      </c>
      <c r="H7" s="3"/>
      <c r="I7" s="3" t="s">
        <v>22</v>
      </c>
      <c r="J7" s="3" t="s">
        <v>35</v>
      </c>
      <c r="K7" s="4">
        <v>46030.769780092603</v>
      </c>
      <c r="L7" s="5">
        <v>46030</v>
      </c>
      <c r="M7" s="3" t="s">
        <v>23</v>
      </c>
      <c r="N7" s="3" t="s">
        <v>52</v>
      </c>
      <c r="O7" s="3" t="s">
        <v>25</v>
      </c>
      <c r="P7" s="3" t="s">
        <v>136</v>
      </c>
      <c r="Q7" s="3" t="s">
        <v>27</v>
      </c>
    </row>
    <row r="8" spans="1:17" x14ac:dyDescent="0.35">
      <c r="A8" s="2" t="str">
        <f>HYPERLINK("https://vtmf.veevavault.com/ui/#doc_info/30733297/1/0", "77242113UCO3001-CZE-DD5-CZ10003-Other Curriculum Vitae-12 Dec 2025 (v1.0)")</f>
        <v>77242113UCO3001-CZE-DD5-CZ10003-Other Curriculum Vitae-12 Dec 2025 (v1.0)</v>
      </c>
      <c r="B8" s="3" t="s">
        <v>56</v>
      </c>
      <c r="C8" s="3" t="s">
        <v>18</v>
      </c>
      <c r="D8" s="3" t="s">
        <v>57</v>
      </c>
      <c r="E8" s="3" t="s">
        <v>58</v>
      </c>
      <c r="F8" s="3" t="s">
        <v>142</v>
      </c>
      <c r="G8" s="2" t="str">
        <f>HYPERLINK("https://vtmf.veevavault.com/ui/#doc_info/30733297/1/0", "VTMF-24763877")</f>
        <v>VTMF-24763877</v>
      </c>
      <c r="H8" s="3"/>
      <c r="I8" s="3" t="s">
        <v>22</v>
      </c>
      <c r="J8" s="3" t="s">
        <v>56</v>
      </c>
      <c r="K8" s="4">
        <v>46029.645891203712</v>
      </c>
      <c r="L8" s="5">
        <v>46029</v>
      </c>
      <c r="M8" s="3" t="s">
        <v>23</v>
      </c>
      <c r="N8" s="3" t="s">
        <v>60</v>
      </c>
      <c r="O8" s="3" t="s">
        <v>25</v>
      </c>
      <c r="P8" s="3" t="s">
        <v>136</v>
      </c>
      <c r="Q8" s="3" t="s">
        <v>27</v>
      </c>
    </row>
    <row r="9" spans="1:17" x14ac:dyDescent="0.35">
      <c r="A9" s="2" t="str">
        <f>HYPERLINK("https://vtmf.veevavault.com/ui/#doc_info/30733300/1/0", "77242113UCO3001-CZE-DD5-CZ10003-Other Curriculum Vitae-12 Dec 2025 (v1.0)")</f>
        <v>77242113UCO3001-CZE-DD5-CZ10003-Other Curriculum Vitae-12 Dec 2025 (v1.0)</v>
      </c>
      <c r="B9" s="3" t="s">
        <v>56</v>
      </c>
      <c r="C9" s="3" t="s">
        <v>18</v>
      </c>
      <c r="D9" s="3" t="s">
        <v>57</v>
      </c>
      <c r="E9" s="3" t="s">
        <v>58</v>
      </c>
      <c r="F9" s="3" t="s">
        <v>143</v>
      </c>
      <c r="G9" s="2" t="str">
        <f>HYPERLINK("https://vtmf.veevavault.com/ui/#doc_info/30733300/1/0", "VTMF-24763880")</f>
        <v>VTMF-24763880</v>
      </c>
      <c r="H9" s="3"/>
      <c r="I9" s="3" t="s">
        <v>22</v>
      </c>
      <c r="J9" s="3" t="s">
        <v>56</v>
      </c>
      <c r="K9" s="4">
        <v>46029.646249999998</v>
      </c>
      <c r="L9" s="5">
        <v>46029</v>
      </c>
      <c r="M9" s="3" t="s">
        <v>23</v>
      </c>
      <c r="N9" s="3" t="s">
        <v>60</v>
      </c>
      <c r="O9" s="3" t="s">
        <v>25</v>
      </c>
      <c r="P9" s="3" t="s">
        <v>136</v>
      </c>
      <c r="Q9" s="3" t="s">
        <v>27</v>
      </c>
    </row>
    <row r="10" spans="1:17" x14ac:dyDescent="0.35">
      <c r="A10" s="2" t="str">
        <f>HYPERLINK("https://vtmf.veevavault.com/ui/#doc_info/30715204/1/0", "77242113UCO3001-CZE-DD5-CZ10003-Non-IP Shipment Documentation-05 Dec 2025 (v1.0)")</f>
        <v>77242113UCO3001-CZE-DD5-CZ10003-Non-IP Shipment Documentation-05 Dec 2025 (v1.0)</v>
      </c>
      <c r="B10" s="3" t="s">
        <v>17</v>
      </c>
      <c r="C10" s="3" t="s">
        <v>28</v>
      </c>
      <c r="D10" s="3" t="s">
        <v>29</v>
      </c>
      <c r="E10" s="3" t="s">
        <v>30</v>
      </c>
      <c r="F10" s="3" t="s">
        <v>54</v>
      </c>
      <c r="G10" s="2" t="str">
        <f>HYPERLINK("https://vtmf.veevavault.com/ui/#doc_info/30715204/1/0", "VTMF-24749745")</f>
        <v>VTMF-24749745</v>
      </c>
      <c r="H10" s="3"/>
      <c r="I10" s="3" t="s">
        <v>22</v>
      </c>
      <c r="J10" s="3" t="s">
        <v>17</v>
      </c>
      <c r="K10" s="4">
        <v>46027.472662037027</v>
      </c>
      <c r="L10" s="5">
        <v>46027</v>
      </c>
      <c r="M10" s="3" t="s">
        <v>23</v>
      </c>
      <c r="N10" s="3" t="s">
        <v>32</v>
      </c>
      <c r="O10" s="3" t="s">
        <v>25</v>
      </c>
      <c r="P10" s="3" t="s">
        <v>136</v>
      </c>
      <c r="Q10" s="3" t="s">
        <v>27</v>
      </c>
    </row>
    <row r="11" spans="1:17" x14ac:dyDescent="0.35">
      <c r="A11" s="2" t="str">
        <f>HYPERLINK("https://vtmf.veevavault.com/ui/#doc_info/30715205/1/0", "77242113UCO3001-CZE-DD5-CZ10003-Non-IP Shipment Documentation-05 Dec 2025 (v1.0)")</f>
        <v>77242113UCO3001-CZE-DD5-CZ10003-Non-IP Shipment Documentation-05 Dec 2025 (v1.0)</v>
      </c>
      <c r="B11" s="3" t="s">
        <v>17</v>
      </c>
      <c r="C11" s="3" t="s">
        <v>28</v>
      </c>
      <c r="D11" s="3" t="s">
        <v>29</v>
      </c>
      <c r="E11" s="3" t="s">
        <v>30</v>
      </c>
      <c r="F11" s="3" t="s">
        <v>144</v>
      </c>
      <c r="G11" s="2" t="str">
        <f>HYPERLINK("https://vtmf.veevavault.com/ui/#doc_info/30715205/1/0", "VTMF-24749746")</f>
        <v>VTMF-24749746</v>
      </c>
      <c r="H11" s="3"/>
      <c r="I11" s="3" t="s">
        <v>22</v>
      </c>
      <c r="J11" s="3" t="s">
        <v>17</v>
      </c>
      <c r="K11" s="4">
        <v>46027.472662037027</v>
      </c>
      <c r="L11" s="5">
        <v>46027</v>
      </c>
      <c r="M11" s="3" t="s">
        <v>23</v>
      </c>
      <c r="N11" s="3" t="s">
        <v>32</v>
      </c>
      <c r="O11" s="3" t="s">
        <v>25</v>
      </c>
      <c r="P11" s="3" t="s">
        <v>136</v>
      </c>
      <c r="Q11" s="3" t="s">
        <v>27</v>
      </c>
    </row>
    <row r="12" spans="1:17" x14ac:dyDescent="0.35">
      <c r="A12" s="2" t="str">
        <f>HYPERLINK("https://vtmf.veevavault.com/ui/#doc_info/30715206/1/0", "77242113UCO3001-CZE-DD5-CZ10003-Non-IP Shipment Documentation-05 Dec 2025 (v1.0)")</f>
        <v>77242113UCO3001-CZE-DD5-CZ10003-Non-IP Shipment Documentation-05 Dec 2025 (v1.0)</v>
      </c>
      <c r="B12" s="3" t="s">
        <v>17</v>
      </c>
      <c r="C12" s="3" t="s">
        <v>28</v>
      </c>
      <c r="D12" s="3" t="s">
        <v>29</v>
      </c>
      <c r="E12" s="3" t="s">
        <v>30</v>
      </c>
      <c r="F12" s="3" t="s">
        <v>53</v>
      </c>
      <c r="G12" s="2" t="str">
        <f>HYPERLINK("https://vtmf.veevavault.com/ui/#doc_info/30715206/1/0", "VTMF-24749747")</f>
        <v>VTMF-24749747</v>
      </c>
      <c r="H12" s="3"/>
      <c r="I12" s="3" t="s">
        <v>22</v>
      </c>
      <c r="J12" s="3" t="s">
        <v>17</v>
      </c>
      <c r="K12" s="4">
        <v>46027.472662037027</v>
      </c>
      <c r="L12" s="5">
        <v>46027</v>
      </c>
      <c r="M12" s="3" t="s">
        <v>23</v>
      </c>
      <c r="N12" s="3" t="s">
        <v>32</v>
      </c>
      <c r="O12" s="3" t="s">
        <v>25</v>
      </c>
      <c r="P12" s="3" t="s">
        <v>136</v>
      </c>
      <c r="Q12" s="3" t="s">
        <v>27</v>
      </c>
    </row>
    <row r="13" spans="1:17" x14ac:dyDescent="0.35">
      <c r="A13" s="2" t="str">
        <f>HYPERLINK("https://vtmf.veevavault.com/ui/#doc_info/30715797/1/0", "77242113UCO3001-CZE-DD5-CZ10003-Other Curriculum Vitae-05 Dec 2025 (v1.0)")</f>
        <v>77242113UCO3001-CZE-DD5-CZ10003-Other Curriculum Vitae-05 Dec 2025 (v1.0)</v>
      </c>
      <c r="B13" s="3" t="s">
        <v>56</v>
      </c>
      <c r="C13" s="3" t="s">
        <v>18</v>
      </c>
      <c r="D13" s="3" t="s">
        <v>57</v>
      </c>
      <c r="E13" s="3" t="s">
        <v>58</v>
      </c>
      <c r="F13" s="3" t="s">
        <v>145</v>
      </c>
      <c r="G13" s="2" t="str">
        <f>HYPERLINK("https://vtmf.veevavault.com/ui/#doc_info/30715797/1/0", "VTMF-24750319")</f>
        <v>VTMF-24750319</v>
      </c>
      <c r="H13" s="3"/>
      <c r="I13" s="3" t="s">
        <v>22</v>
      </c>
      <c r="J13" s="3" t="s">
        <v>56</v>
      </c>
      <c r="K13" s="4">
        <v>46027.563668981478</v>
      </c>
      <c r="L13" s="5">
        <v>46027</v>
      </c>
      <c r="M13" s="3" t="s">
        <v>23</v>
      </c>
      <c r="N13" s="3" t="s">
        <v>60</v>
      </c>
      <c r="O13" s="3" t="s">
        <v>25</v>
      </c>
      <c r="P13" s="3" t="s">
        <v>136</v>
      </c>
      <c r="Q13" s="3" t="s">
        <v>27</v>
      </c>
    </row>
    <row r="14" spans="1:17" x14ac:dyDescent="0.35">
      <c r="A14" s="2" t="str">
        <f>HYPERLINK("https://vtmf.veevavault.com/ui/#doc_info/30715799/1/0", "77242113UCO3001-CZE-DD5-CZ10003-Other Curriculum Vitae-05 Dec 2025 (v1.0)")</f>
        <v>77242113UCO3001-CZE-DD5-CZ10003-Other Curriculum Vitae-05 Dec 2025 (v1.0)</v>
      </c>
      <c r="B14" s="3" t="s">
        <v>56</v>
      </c>
      <c r="C14" s="3" t="s">
        <v>18</v>
      </c>
      <c r="D14" s="3" t="s">
        <v>57</v>
      </c>
      <c r="E14" s="3" t="s">
        <v>58</v>
      </c>
      <c r="F14" s="3" t="s">
        <v>146</v>
      </c>
      <c r="G14" s="2" t="str">
        <f>HYPERLINK("https://vtmf.veevavault.com/ui/#doc_info/30715799/1/0", "VTMF-24750332")</f>
        <v>VTMF-24750332</v>
      </c>
      <c r="H14" s="3"/>
      <c r="I14" s="3" t="s">
        <v>22</v>
      </c>
      <c r="J14" s="3" t="s">
        <v>56</v>
      </c>
      <c r="K14" s="4">
        <v>46027.565162037034</v>
      </c>
      <c r="L14" s="5">
        <v>46027</v>
      </c>
      <c r="M14" s="3" t="s">
        <v>23</v>
      </c>
      <c r="N14" s="3" t="s">
        <v>60</v>
      </c>
      <c r="O14" s="3" t="s">
        <v>25</v>
      </c>
      <c r="P14" s="3" t="s">
        <v>136</v>
      </c>
      <c r="Q14" s="3" t="s">
        <v>27</v>
      </c>
    </row>
    <row r="15" spans="1:17" x14ac:dyDescent="0.35">
      <c r="A15" s="2" t="str">
        <f>HYPERLINK("https://vtmf.veevavault.com/ui/#doc_info/30715722/1/0", "77242113UCO3001-CZE-DD5-CZ10003-Site Training Documentation-01 Dec 2025 (v1.0)")</f>
        <v>77242113UCO3001-CZE-DD5-CZ10003-Site Training Documentation-01 Dec 2025 (v1.0)</v>
      </c>
      <c r="B15" s="3" t="s">
        <v>56</v>
      </c>
      <c r="C15" s="3" t="s">
        <v>18</v>
      </c>
      <c r="D15" s="3" t="s">
        <v>68</v>
      </c>
      <c r="E15" s="3" t="s">
        <v>69</v>
      </c>
      <c r="F15" s="3" t="s">
        <v>147</v>
      </c>
      <c r="G15" s="2" t="str">
        <f>HYPERLINK("https://vtmf.veevavault.com/ui/#doc_info/30715722/1/0", "VTMF-24750169")</f>
        <v>VTMF-24750169</v>
      </c>
      <c r="H15" s="3"/>
      <c r="I15" s="3" t="s">
        <v>22</v>
      </c>
      <c r="J15" s="3" t="s">
        <v>56</v>
      </c>
      <c r="K15" s="4">
        <v>46027.538171296299</v>
      </c>
      <c r="L15" s="5">
        <v>46027</v>
      </c>
      <c r="M15" s="3" t="s">
        <v>23</v>
      </c>
      <c r="N15" s="3" t="s">
        <v>60</v>
      </c>
      <c r="O15" s="3" t="s">
        <v>25</v>
      </c>
      <c r="P15" s="3" t="s">
        <v>136</v>
      </c>
      <c r="Q15" s="3" t="s">
        <v>27</v>
      </c>
    </row>
    <row r="16" spans="1:17" x14ac:dyDescent="0.35">
      <c r="A16" s="2" t="str">
        <f>HYPERLINK("https://vtmf.veevavault.com/ui/#doc_info/30715939/1/0", "77242113UCO3001-CZE-DD5-CZ10003-Site Training Documentation-05 Aug 2025 (v1.0)")</f>
        <v>77242113UCO3001-CZE-DD5-CZ10003-Site Training Documentation-05 Aug 2025 (v1.0)</v>
      </c>
      <c r="B16" s="3" t="s">
        <v>56</v>
      </c>
      <c r="C16" s="3" t="s">
        <v>18</v>
      </c>
      <c r="D16" s="3" t="s">
        <v>68</v>
      </c>
      <c r="E16" s="3" t="s">
        <v>69</v>
      </c>
      <c r="F16" s="3" t="s">
        <v>148</v>
      </c>
      <c r="G16" s="2" t="str">
        <f>HYPERLINK("https://vtmf.veevavault.com/ui/#doc_info/30715939/1/0", "VTMF-24750465")</f>
        <v>VTMF-24750465</v>
      </c>
      <c r="H16" s="3"/>
      <c r="I16" s="3" t="s">
        <v>22</v>
      </c>
      <c r="J16" s="3" t="s">
        <v>56</v>
      </c>
      <c r="K16" s="4">
        <v>46027.58258101852</v>
      </c>
      <c r="L16" s="5">
        <v>46027</v>
      </c>
      <c r="M16" s="3" t="s">
        <v>23</v>
      </c>
      <c r="N16" s="3" t="s">
        <v>60</v>
      </c>
      <c r="O16" s="3" t="s">
        <v>25</v>
      </c>
      <c r="P16" s="3" t="s">
        <v>136</v>
      </c>
      <c r="Q16" s="3" t="s">
        <v>27</v>
      </c>
    </row>
    <row r="17" spans="1:17" x14ac:dyDescent="0.35">
      <c r="A17" s="2" t="str">
        <f>HYPERLINK("https://vtmf.veevavault.com/ui/#doc_info/30715942/1/0", "77242113UCO3001-CZE-DD5-CZ10003-Site Training Documentation-05 Aug 2025 (v1.0)")</f>
        <v>77242113UCO3001-CZE-DD5-CZ10003-Site Training Documentation-05 Aug 2025 (v1.0)</v>
      </c>
      <c r="B17" s="3" t="s">
        <v>56</v>
      </c>
      <c r="C17" s="3" t="s">
        <v>18</v>
      </c>
      <c r="D17" s="3" t="s">
        <v>68</v>
      </c>
      <c r="E17" s="3" t="s">
        <v>69</v>
      </c>
      <c r="F17" s="3" t="s">
        <v>149</v>
      </c>
      <c r="G17" s="2" t="str">
        <f>HYPERLINK("https://vtmf.veevavault.com/ui/#doc_info/30715942/1/0", "VTMF-24750473")</f>
        <v>VTMF-24750473</v>
      </c>
      <c r="H17" s="3"/>
      <c r="I17" s="3" t="s">
        <v>22</v>
      </c>
      <c r="J17" s="3" t="s">
        <v>56</v>
      </c>
      <c r="K17" s="4">
        <v>46027.584085648137</v>
      </c>
      <c r="L17" s="5">
        <v>46027</v>
      </c>
      <c r="M17" s="3" t="s">
        <v>23</v>
      </c>
      <c r="N17" s="3" t="s">
        <v>60</v>
      </c>
      <c r="O17" s="3" t="s">
        <v>25</v>
      </c>
      <c r="P17" s="3" t="s">
        <v>136</v>
      </c>
      <c r="Q17" s="3" t="s">
        <v>27</v>
      </c>
    </row>
    <row r="18" spans="1:17" x14ac:dyDescent="0.35">
      <c r="A18" s="2" t="str">
        <f>HYPERLINK("https://vtmf.veevavault.com/ui/#doc_info/30715981/1/0", "77242113UCO3001-CZE-DD5-CZ10003-Site Training Documentation-05 Aug 2025 (v1.0)")</f>
        <v>77242113UCO3001-CZE-DD5-CZ10003-Site Training Documentation-05 Aug 2025 (v1.0)</v>
      </c>
      <c r="B18" s="3" t="s">
        <v>56</v>
      </c>
      <c r="C18" s="3" t="s">
        <v>18</v>
      </c>
      <c r="D18" s="3" t="s">
        <v>68</v>
      </c>
      <c r="E18" s="3" t="s">
        <v>69</v>
      </c>
      <c r="F18" s="3" t="s">
        <v>150</v>
      </c>
      <c r="G18" s="2" t="str">
        <f>HYPERLINK("https://vtmf.veevavault.com/ui/#doc_info/30715981/1/0", "VTMF-24750548")</f>
        <v>VTMF-24750548</v>
      </c>
      <c r="H18" s="3"/>
      <c r="I18" s="3" t="s">
        <v>22</v>
      </c>
      <c r="J18" s="3" t="s">
        <v>56</v>
      </c>
      <c r="K18" s="4">
        <v>46027.593831018523</v>
      </c>
      <c r="L18" s="5">
        <v>46027</v>
      </c>
      <c r="M18" s="3" t="s">
        <v>23</v>
      </c>
      <c r="N18" s="3" t="s">
        <v>60</v>
      </c>
      <c r="O18" s="3" t="s">
        <v>25</v>
      </c>
      <c r="P18" s="3" t="s">
        <v>136</v>
      </c>
      <c r="Q18" s="3" t="s">
        <v>27</v>
      </c>
    </row>
    <row r="19" spans="1:17" x14ac:dyDescent="0.35">
      <c r="A19" s="2" t="str">
        <f>HYPERLINK("https://vtmf.veevavault.com/ui/#doc_info/30715987/1/0", "77242113UCO3001-CZE-DD5-CZ10003-Site Training Documentation-05 Aug 2025 (v1.0)")</f>
        <v>77242113UCO3001-CZE-DD5-CZ10003-Site Training Documentation-05 Aug 2025 (v1.0)</v>
      </c>
      <c r="B19" s="3" t="s">
        <v>56</v>
      </c>
      <c r="C19" s="3" t="s">
        <v>18</v>
      </c>
      <c r="D19" s="3" t="s">
        <v>68</v>
      </c>
      <c r="E19" s="3" t="s">
        <v>69</v>
      </c>
      <c r="F19" s="3" t="s">
        <v>151</v>
      </c>
      <c r="G19" s="2" t="str">
        <f>HYPERLINK("https://vtmf.veevavault.com/ui/#doc_info/30715987/1/0", "VTMF-24750561")</f>
        <v>VTMF-24750561</v>
      </c>
      <c r="H19" s="3"/>
      <c r="I19" s="3" t="s">
        <v>22</v>
      </c>
      <c r="J19" s="3" t="s">
        <v>56</v>
      </c>
      <c r="K19" s="4">
        <v>46027.59542824074</v>
      </c>
      <c r="L19" s="5">
        <v>46027</v>
      </c>
      <c r="M19" s="3" t="s">
        <v>23</v>
      </c>
      <c r="N19" s="3" t="s">
        <v>60</v>
      </c>
      <c r="O19" s="3" t="s">
        <v>25</v>
      </c>
      <c r="P19" s="3" t="s">
        <v>136</v>
      </c>
      <c r="Q19" s="3" t="s">
        <v>27</v>
      </c>
    </row>
    <row r="20" spans="1:17" x14ac:dyDescent="0.35">
      <c r="A20" s="2" t="str">
        <f>HYPERLINK("https://vtmf.veevavault.com/ui/#doc_info/30715714/1/0", "77242113UCO3001-CZE-DD5-CZ10003-Site Training Documentation-14 Nov 2025 (v1.0)")</f>
        <v>77242113UCO3001-CZE-DD5-CZ10003-Site Training Documentation-14 Nov 2025 (v1.0)</v>
      </c>
      <c r="B20" s="3" t="s">
        <v>56</v>
      </c>
      <c r="C20" s="3" t="s">
        <v>18</v>
      </c>
      <c r="D20" s="3" t="s">
        <v>68</v>
      </c>
      <c r="E20" s="3" t="s">
        <v>69</v>
      </c>
      <c r="F20" s="3" t="s">
        <v>152</v>
      </c>
      <c r="G20" s="2" t="str">
        <f>HYPERLINK("https://vtmf.veevavault.com/ui/#doc_info/30715714/1/0", "VTMF-24750157")</f>
        <v>VTMF-24750157</v>
      </c>
      <c r="H20" s="3"/>
      <c r="I20" s="3" t="s">
        <v>22</v>
      </c>
      <c r="J20" s="3" t="s">
        <v>56</v>
      </c>
      <c r="K20" s="4">
        <v>46027.534166666657</v>
      </c>
      <c r="L20" s="5">
        <v>46027</v>
      </c>
      <c r="M20" s="3" t="s">
        <v>23</v>
      </c>
      <c r="N20" s="3" t="s">
        <v>60</v>
      </c>
      <c r="O20" s="3" t="s">
        <v>25</v>
      </c>
      <c r="P20" s="3" t="s">
        <v>136</v>
      </c>
      <c r="Q20" s="3" t="s">
        <v>27</v>
      </c>
    </row>
    <row r="21" spans="1:17" x14ac:dyDescent="0.35">
      <c r="A21" s="2" t="str">
        <f>HYPERLINK("https://vtmf.veevavault.com/ui/#doc_info/30715806/1/0", "77242113UCO3001-CZE-DD5-CZ10003-Sub-Investigator Curriculum Vitae-18 Nov 2025 (v1.0)")</f>
        <v>77242113UCO3001-CZE-DD5-CZ10003-Sub-Investigator Curriculum Vitae-18 Nov 2025 (v1.0)</v>
      </c>
      <c r="B21" s="3" t="s">
        <v>56</v>
      </c>
      <c r="C21" s="3" t="s">
        <v>18</v>
      </c>
      <c r="D21" s="3" t="s">
        <v>57</v>
      </c>
      <c r="E21" s="3" t="s">
        <v>75</v>
      </c>
      <c r="F21" s="3" t="s">
        <v>153</v>
      </c>
      <c r="G21" s="2" t="str">
        <f>HYPERLINK("https://vtmf.veevavault.com/ui/#doc_info/30715806/1/0", "VTMF-24750344")</f>
        <v>VTMF-24750344</v>
      </c>
      <c r="H21" s="3"/>
      <c r="I21" s="3" t="s">
        <v>22</v>
      </c>
      <c r="J21" s="3" t="s">
        <v>56</v>
      </c>
      <c r="K21" s="4">
        <v>46027.566354166673</v>
      </c>
      <c r="L21" s="5">
        <v>46027</v>
      </c>
      <c r="M21" s="3" t="s">
        <v>23</v>
      </c>
      <c r="N21" s="3" t="s">
        <v>67</v>
      </c>
      <c r="O21" s="3" t="s">
        <v>25</v>
      </c>
      <c r="P21" s="3" t="s">
        <v>136</v>
      </c>
      <c r="Q21" s="3" t="s">
        <v>27</v>
      </c>
    </row>
    <row r="22" spans="1:17" x14ac:dyDescent="0.35">
      <c r="A22" s="2" t="str">
        <f>HYPERLINK("https://vtmf.veevavault.com/ui/#doc_info/30715300/1/0", "77242113UCO3001-CZE-DD5-CZ10003-Temperature Monitor Validation/Calibration Cert.-22 Oct 2025 (v1.0)")</f>
        <v>77242113UCO3001-CZE-DD5-CZ10003-Temperature Monitor Validation/Calibration Cert.-22 Oct 2025 (v1.0)</v>
      </c>
      <c r="B22" s="3" t="s">
        <v>17</v>
      </c>
      <c r="C22" s="3" t="s">
        <v>28</v>
      </c>
      <c r="D22" s="3" t="s">
        <v>77</v>
      </c>
      <c r="E22" s="3" t="s">
        <v>78</v>
      </c>
      <c r="F22" s="3" t="s">
        <v>154</v>
      </c>
      <c r="G22" s="2" t="str">
        <f>HYPERLINK("https://vtmf.veevavault.com/ui/#doc_info/30715300/1/0", "VTMF-24749947")</f>
        <v>VTMF-24749947</v>
      </c>
      <c r="H22" s="3"/>
      <c r="I22" s="3" t="s">
        <v>22</v>
      </c>
      <c r="J22" s="3" t="s">
        <v>17</v>
      </c>
      <c r="K22" s="4">
        <v>46027.500879629632</v>
      </c>
      <c r="L22" s="5">
        <v>46027</v>
      </c>
      <c r="M22" s="3" t="s">
        <v>23</v>
      </c>
      <c r="N22" s="3" t="s">
        <v>80</v>
      </c>
      <c r="O22" s="3" t="s">
        <v>81</v>
      </c>
      <c r="P22" s="3" t="s">
        <v>155</v>
      </c>
      <c r="Q22" s="3" t="s">
        <v>83</v>
      </c>
    </row>
    <row r="23" spans="1:17" x14ac:dyDescent="0.35">
      <c r="A23" s="2" t="str">
        <f>HYPERLINK("https://vtmf.veevavault.com/ui/#doc_info/30715401/1/0", "77242113UCO3001-CZE-DD5-CZ10003-Temperature Monitor Validation/Calibration Cert.-22 Oct 2025 (v1.0)")</f>
        <v>77242113UCO3001-CZE-DD5-CZ10003-Temperature Monitor Validation/Calibration Cert.-22 Oct 2025 (v1.0)</v>
      </c>
      <c r="B23" s="3" t="s">
        <v>17</v>
      </c>
      <c r="C23" s="3" t="s">
        <v>28</v>
      </c>
      <c r="D23" s="3" t="s">
        <v>77</v>
      </c>
      <c r="E23" s="3" t="s">
        <v>78</v>
      </c>
      <c r="F23" s="3" t="s">
        <v>156</v>
      </c>
      <c r="G23" s="2" t="str">
        <f>HYPERLINK("https://vtmf.veevavault.com/ui/#doc_info/30715401/1/0", "VTMF-24749948")</f>
        <v>VTMF-24749948</v>
      </c>
      <c r="H23" s="3"/>
      <c r="I23" s="3" t="s">
        <v>22</v>
      </c>
      <c r="J23" s="3" t="s">
        <v>17</v>
      </c>
      <c r="K23" s="4">
        <v>46027.500879629632</v>
      </c>
      <c r="L23" s="5">
        <v>46027</v>
      </c>
      <c r="M23" s="3" t="s">
        <v>23</v>
      </c>
      <c r="N23" s="3" t="s">
        <v>80</v>
      </c>
      <c r="O23" s="3" t="s">
        <v>81</v>
      </c>
      <c r="P23" s="3" t="s">
        <v>155</v>
      </c>
      <c r="Q23" s="3" t="s">
        <v>83</v>
      </c>
    </row>
    <row r="24" spans="1:17" x14ac:dyDescent="0.35">
      <c r="A24" s="2" t="str">
        <f>HYPERLINK("https://vtmf.veevavault.com/ui/#doc_info/30708825/1/0", "77242113UCO3001-CZE-DD5-CZ10003-Certification of Electronic Signature-05 Dec 2025 (v1.0)")</f>
        <v>77242113UCO3001-CZE-DD5-CZ10003-Certification of Electronic Signature-05 Dec 2025 (v1.0)</v>
      </c>
      <c r="B24" s="3" t="s">
        <v>35</v>
      </c>
      <c r="C24" s="3" t="s">
        <v>84</v>
      </c>
      <c r="D24" s="3" t="s">
        <v>85</v>
      </c>
      <c r="E24" s="3" t="s">
        <v>86</v>
      </c>
      <c r="F24" s="3" t="s">
        <v>157</v>
      </c>
      <c r="G24" s="2" t="str">
        <f>HYPERLINK("https://vtmf.veevavault.com/ui/#doc_info/30708825/1/0", "VTMF-24744280")</f>
        <v>VTMF-24744280</v>
      </c>
      <c r="H24" s="3"/>
      <c r="I24" s="3" t="s">
        <v>35</v>
      </c>
      <c r="J24" s="3" t="s">
        <v>35</v>
      </c>
      <c r="K24" s="4">
        <v>46024.633564814823</v>
      </c>
      <c r="L24" s="5">
        <v>46024</v>
      </c>
      <c r="M24" s="3" t="s">
        <v>23</v>
      </c>
      <c r="N24" s="3" t="s">
        <v>60</v>
      </c>
      <c r="O24" s="3" t="s">
        <v>25</v>
      </c>
      <c r="P24" s="3" t="s">
        <v>136</v>
      </c>
      <c r="Q24" s="3" t="s">
        <v>27</v>
      </c>
    </row>
    <row r="25" spans="1:17" x14ac:dyDescent="0.35">
      <c r="A25" s="2" t="str">
        <f>HYPERLINK("https://vtmf.veevavault.com/ui/#doc_info/30708958/1/0", "77242113UCO3001-CZE-DD5-CZ10003-Clinical Trial Agreement-05 Dec 2025 (v1.0)")</f>
        <v>77242113UCO3001-CZE-DD5-CZ10003-Clinical Trial Agreement-05 Dec 2025 (v1.0)</v>
      </c>
      <c r="B25" s="3" t="s">
        <v>35</v>
      </c>
      <c r="C25" s="3" t="s">
        <v>18</v>
      </c>
      <c r="D25" s="3" t="s">
        <v>57</v>
      </c>
      <c r="E25" s="3" t="s">
        <v>158</v>
      </c>
      <c r="F25" s="3" t="s">
        <v>159</v>
      </c>
      <c r="G25" s="2" t="str">
        <f>HYPERLINK("https://vtmf.veevavault.com/ui/#doc_info/30708958/1/0", "VTMF-24744402")</f>
        <v>VTMF-24744402</v>
      </c>
      <c r="H25" s="3"/>
      <c r="I25" s="3" t="s">
        <v>35</v>
      </c>
      <c r="J25" s="3" t="s">
        <v>35</v>
      </c>
      <c r="K25" s="4">
        <v>46024.668113425927</v>
      </c>
      <c r="L25" s="5">
        <v>46024</v>
      </c>
      <c r="M25" s="3" t="s">
        <v>23</v>
      </c>
      <c r="N25" s="3" t="s">
        <v>97</v>
      </c>
      <c r="O25" s="3" t="s">
        <v>25</v>
      </c>
      <c r="P25" s="3" t="s">
        <v>136</v>
      </c>
      <c r="Q25" s="3" t="s">
        <v>27</v>
      </c>
    </row>
    <row r="26" spans="1:17" x14ac:dyDescent="0.35">
      <c r="A26" s="2" t="str">
        <f>HYPERLINK("https://vtmf.veevavault.com/ui/#doc_info/30708821/1/0", "77242113UCO3001-CZE-DD5-CZ10003-Source Data-05 Dec 2025 (v1.0)")</f>
        <v>77242113UCO3001-CZE-DD5-CZ10003-Source Data-05 Dec 2025 (v1.0)</v>
      </c>
      <c r="B26" s="3" t="s">
        <v>35</v>
      </c>
      <c r="C26" s="3" t="s">
        <v>18</v>
      </c>
      <c r="D26" s="3" t="s">
        <v>18</v>
      </c>
      <c r="E26" s="3" t="s">
        <v>88</v>
      </c>
      <c r="F26" s="3" t="s">
        <v>160</v>
      </c>
      <c r="G26" s="2" t="str">
        <f>HYPERLINK("https://vtmf.veevavault.com/ui/#doc_info/30708821/1/0", "VTMF-24744271")</f>
        <v>VTMF-24744271</v>
      </c>
      <c r="H26" s="3"/>
      <c r="I26" s="3" t="s">
        <v>22</v>
      </c>
      <c r="J26" s="3" t="s">
        <v>35</v>
      </c>
      <c r="K26" s="4">
        <v>46024.631736111107</v>
      </c>
      <c r="L26" s="5">
        <v>46024</v>
      </c>
      <c r="M26" s="3" t="s">
        <v>23</v>
      </c>
      <c r="N26" s="3" t="s">
        <v>60</v>
      </c>
      <c r="O26" s="3" t="s">
        <v>25</v>
      </c>
      <c r="P26" s="3" t="s">
        <v>136</v>
      </c>
      <c r="Q26" s="3" t="s">
        <v>27</v>
      </c>
    </row>
    <row r="27" spans="1:17" x14ac:dyDescent="0.35">
      <c r="A27" s="2" t="str">
        <f>HYPERLINK("https://vtmf.veevavault.com/ui/#doc_info/30689497/1/0", "77242113UCO3001-CZE-DD5-CZ10003-Acceptance of Investigator Brochure-05 Dec 2025 (v1.0)")</f>
        <v>77242113UCO3001-CZE-DD5-CZ10003-Acceptance of Investigator Brochure-05 Dec 2025 (v1.0)</v>
      </c>
      <c r="B27" s="3" t="s">
        <v>35</v>
      </c>
      <c r="C27" s="3" t="s">
        <v>18</v>
      </c>
      <c r="D27" s="3" t="s">
        <v>57</v>
      </c>
      <c r="E27" s="3" t="s">
        <v>92</v>
      </c>
      <c r="F27" s="3" t="s">
        <v>161</v>
      </c>
      <c r="G27" s="2" t="str">
        <f>HYPERLINK("https://vtmf.veevavault.com/ui/#doc_info/30689497/1/0", "VTMF-24731556")</f>
        <v>VTMF-24731556</v>
      </c>
      <c r="H27" s="3"/>
      <c r="I27" s="3" t="s">
        <v>35</v>
      </c>
      <c r="J27" s="3" t="s">
        <v>35</v>
      </c>
      <c r="K27" s="4">
        <v>46020.944386574083</v>
      </c>
      <c r="L27" s="5">
        <v>46020</v>
      </c>
      <c r="M27" s="3" t="s">
        <v>23</v>
      </c>
      <c r="N27" s="3" t="s">
        <v>67</v>
      </c>
      <c r="O27" s="3" t="s">
        <v>25</v>
      </c>
      <c r="P27" s="3" t="s">
        <v>136</v>
      </c>
      <c r="Q27" s="3" t="s">
        <v>27</v>
      </c>
    </row>
    <row r="28" spans="1:17" x14ac:dyDescent="0.35">
      <c r="A28" s="2" t="str">
        <f>HYPERLINK("https://vtmf.veevavault.com/ui/#doc_info/30607696/1/0", "77242113UCO3001-CZE-DD5-CZ10003-Monitoring Visit Follow-up Letter-SIVR_FL-05 Dec 2025 (v1.0)")</f>
        <v>77242113UCO3001-CZE-DD5-CZ10003-Monitoring Visit Follow-up Letter-SIVR_FL-05 Dec 2025 (v1.0)</v>
      </c>
      <c r="B28" s="3" t="s">
        <v>38</v>
      </c>
      <c r="C28" s="3" t="s">
        <v>18</v>
      </c>
      <c r="D28" s="3" t="s">
        <v>18</v>
      </c>
      <c r="E28" s="3" t="s">
        <v>39</v>
      </c>
      <c r="F28" s="3"/>
      <c r="G28" s="2" t="str">
        <f>HYPERLINK("https://vtmf.veevavault.com/ui/#doc_info/30607696/1/0", "VTMF-24662636")</f>
        <v>VTMF-24662636</v>
      </c>
      <c r="H28" s="3"/>
      <c r="I28" s="3" t="s">
        <v>40</v>
      </c>
      <c r="J28" s="3" t="s">
        <v>38</v>
      </c>
      <c r="K28" s="4">
        <v>46006.773819444446</v>
      </c>
      <c r="L28" s="5">
        <v>46006</v>
      </c>
      <c r="M28" s="3" t="s">
        <v>23</v>
      </c>
      <c r="N28" s="3" t="s">
        <v>41</v>
      </c>
      <c r="O28" s="3" t="s">
        <v>25</v>
      </c>
      <c r="P28" s="3" t="s">
        <v>136</v>
      </c>
      <c r="Q28" s="3" t="s">
        <v>27</v>
      </c>
    </row>
    <row r="29" spans="1:17" x14ac:dyDescent="0.35">
      <c r="A29" s="2" t="str">
        <f>HYPERLINK("https://vtmf.veevavault.com/ui/#doc_info/30609907/1/0", "77242113UCO3001-CZE-DD5-CZ10003-Principal Investigator Curriculum Vitae-18 Nov 2025 (v1.0)")</f>
        <v>77242113UCO3001-CZE-DD5-CZ10003-Principal Investigator Curriculum Vitae-18 Nov 2025 (v1.0)</v>
      </c>
      <c r="B29" s="3" t="s">
        <v>35</v>
      </c>
      <c r="C29" s="3" t="s">
        <v>18</v>
      </c>
      <c r="D29" s="3" t="s">
        <v>57</v>
      </c>
      <c r="E29" s="3" t="s">
        <v>65</v>
      </c>
      <c r="F29" s="3" t="s">
        <v>162</v>
      </c>
      <c r="G29" s="2" t="str">
        <f>HYPERLINK("https://vtmf.veevavault.com/ui/#doc_info/30609907/1/0", "VTMF-24664329")</f>
        <v>VTMF-24664329</v>
      </c>
      <c r="H29" s="3"/>
      <c r="I29" s="3" t="s">
        <v>22</v>
      </c>
      <c r="J29" s="3" t="s">
        <v>35</v>
      </c>
      <c r="K29" s="4">
        <v>46006.984085648153</v>
      </c>
      <c r="L29" s="5">
        <v>46006</v>
      </c>
      <c r="M29" s="3" t="s">
        <v>23</v>
      </c>
      <c r="N29" s="3" t="s">
        <v>67</v>
      </c>
      <c r="O29" s="3" t="s">
        <v>25</v>
      </c>
      <c r="P29" s="3" t="s">
        <v>136</v>
      </c>
      <c r="Q29" s="3" t="s">
        <v>27</v>
      </c>
    </row>
    <row r="30" spans="1:17" x14ac:dyDescent="0.35">
      <c r="A30" s="2" t="str">
        <f>HYPERLINK("https://vtmf.veevavault.com/ui/#doc_info/30609705/1/0", "77242113UCO3001-CZE-DD5-CZ10003-Principal Investigator Financial Disclosure Form-05 Dec 2025 (v1.0)")</f>
        <v>77242113UCO3001-CZE-DD5-CZ10003-Principal Investigator Financial Disclosure Form-05 Dec 2025 (v1.0)</v>
      </c>
      <c r="B30" s="3" t="s">
        <v>35</v>
      </c>
      <c r="C30" s="3" t="s">
        <v>18</v>
      </c>
      <c r="D30" s="3" t="s">
        <v>57</v>
      </c>
      <c r="E30" s="3" t="s">
        <v>98</v>
      </c>
      <c r="F30" s="3" t="s">
        <v>163</v>
      </c>
      <c r="G30" s="2" t="str">
        <f>HYPERLINK("https://vtmf.veevavault.com/ui/#doc_info/30609705/1/0", "VTMF-24664094")</f>
        <v>VTMF-24664094</v>
      </c>
      <c r="H30" s="3"/>
      <c r="I30" s="3" t="s">
        <v>35</v>
      </c>
      <c r="J30" s="3" t="s">
        <v>35</v>
      </c>
      <c r="K30" s="4">
        <v>46006.931875000002</v>
      </c>
      <c r="L30" s="5">
        <v>46006</v>
      </c>
      <c r="M30" s="3" t="s">
        <v>23</v>
      </c>
      <c r="N30" s="3" t="s">
        <v>100</v>
      </c>
      <c r="O30" s="3" t="s">
        <v>25</v>
      </c>
      <c r="P30" s="3" t="s">
        <v>136</v>
      </c>
      <c r="Q30" s="3" t="s">
        <v>27</v>
      </c>
    </row>
    <row r="31" spans="1:17" x14ac:dyDescent="0.35">
      <c r="A31" s="2" t="str">
        <f>HYPERLINK("https://vtmf.veevavault.com/ui/#doc_info/30604106/1/0", "77242113UCO3001-CZE-DD5-CZ10003-Site Signature Sheet-05 Dec 2025 (v1.0)")</f>
        <v>77242113UCO3001-CZE-DD5-CZ10003-Site Signature Sheet-05 Dec 2025 (v1.0)</v>
      </c>
      <c r="B31" s="3" t="s">
        <v>35</v>
      </c>
      <c r="C31" s="3" t="s">
        <v>18</v>
      </c>
      <c r="D31" s="3" t="s">
        <v>57</v>
      </c>
      <c r="E31" s="3" t="s">
        <v>104</v>
      </c>
      <c r="F31" s="3" t="s">
        <v>164</v>
      </c>
      <c r="G31" s="2" t="str">
        <f>HYPERLINK("https://vtmf.veevavault.com/ui/#doc_info/30604106/1/0", "VTMF-24659492")</f>
        <v>VTMF-24659492</v>
      </c>
      <c r="H31" s="3"/>
      <c r="I31" s="3" t="s">
        <v>22</v>
      </c>
      <c r="J31" s="3" t="s">
        <v>35</v>
      </c>
      <c r="K31" s="4">
        <v>46006.453877314823</v>
      </c>
      <c r="L31" s="5">
        <v>46006</v>
      </c>
      <c r="M31" s="3" t="s">
        <v>23</v>
      </c>
      <c r="N31" s="3" t="s">
        <v>106</v>
      </c>
      <c r="O31" s="3" t="s">
        <v>25</v>
      </c>
      <c r="P31" s="3" t="s">
        <v>136</v>
      </c>
      <c r="Q31" s="3" t="s">
        <v>27</v>
      </c>
    </row>
    <row r="32" spans="1:17" x14ac:dyDescent="0.35">
      <c r="A32" s="2" t="str">
        <f>HYPERLINK("https://vtmf.veevavault.com/ui/#doc_info/30604413/1/0", "77242113UCO3001-CZE-DD5-CZ10003-Source Data-05 Dec 2025 (v1.0)")</f>
        <v>77242113UCO3001-CZE-DD5-CZ10003-Source Data-05 Dec 2025 (v1.0)</v>
      </c>
      <c r="B32" s="3" t="s">
        <v>35</v>
      </c>
      <c r="C32" s="3" t="s">
        <v>18</v>
      </c>
      <c r="D32" s="3" t="s">
        <v>18</v>
      </c>
      <c r="E32" s="3" t="s">
        <v>88</v>
      </c>
      <c r="F32" s="3" t="s">
        <v>165</v>
      </c>
      <c r="G32" s="2" t="str">
        <f>HYPERLINK("https://vtmf.veevavault.com/ui/#doc_info/30604413/1/0", "VTMF-24659840")</f>
        <v>VTMF-24659840</v>
      </c>
      <c r="H32" s="3"/>
      <c r="I32" s="3" t="s">
        <v>22</v>
      </c>
      <c r="J32" s="3" t="s">
        <v>35</v>
      </c>
      <c r="K32" s="4">
        <v>46006.490057870367</v>
      </c>
      <c r="L32" s="5">
        <v>46006</v>
      </c>
      <c r="M32" s="3" t="s">
        <v>23</v>
      </c>
      <c r="N32" s="3" t="s">
        <v>60</v>
      </c>
      <c r="O32" s="3" t="s">
        <v>25</v>
      </c>
      <c r="P32" s="3" t="s">
        <v>136</v>
      </c>
      <c r="Q32" s="3" t="s">
        <v>27</v>
      </c>
    </row>
    <row r="33" spans="1:17" x14ac:dyDescent="0.35">
      <c r="A33" s="2" t="str">
        <f>HYPERLINK("https://vtmf.veevavault.com/ui/#doc_info/30609911/1/0", "77242113UCO3001-CZE-DD5-CZ10003-Sub-Investigator Curriculum Vitae-18 Nov 2025 (v1.0)")</f>
        <v>77242113UCO3001-CZE-DD5-CZ10003-Sub-Investigator Curriculum Vitae-18 Nov 2025 (v1.0)</v>
      </c>
      <c r="B33" s="3" t="s">
        <v>35</v>
      </c>
      <c r="C33" s="3" t="s">
        <v>18</v>
      </c>
      <c r="D33" s="3" t="s">
        <v>57</v>
      </c>
      <c r="E33" s="3" t="s">
        <v>75</v>
      </c>
      <c r="F33" s="3" t="s">
        <v>166</v>
      </c>
      <c r="G33" s="2" t="str">
        <f>HYPERLINK("https://vtmf.veevavault.com/ui/#doc_info/30609911/1/0", "VTMF-24664341")</f>
        <v>VTMF-24664341</v>
      </c>
      <c r="H33" s="3"/>
      <c r="I33" s="3" t="s">
        <v>35</v>
      </c>
      <c r="J33" s="3" t="s">
        <v>35</v>
      </c>
      <c r="K33" s="4">
        <v>46006.987453703703</v>
      </c>
      <c r="L33" s="5">
        <v>46006</v>
      </c>
      <c r="M33" s="3" t="s">
        <v>23</v>
      </c>
      <c r="N33" s="3" t="s">
        <v>67</v>
      </c>
      <c r="O33" s="3" t="s">
        <v>25</v>
      </c>
      <c r="P33" s="3" t="s">
        <v>136</v>
      </c>
      <c r="Q33" s="3" t="s">
        <v>27</v>
      </c>
    </row>
    <row r="34" spans="1:17" x14ac:dyDescent="0.35">
      <c r="A34" s="2" t="str">
        <f>HYPERLINK("https://vtmf.veevavault.com/ui/#doc_info/30608140/1/0", "77242113UCO3001-CZE-DD5-CZ10003-Trial Initiation Monitoring Report-05 Dec 2025 (v1.0)")</f>
        <v>77242113UCO3001-CZE-DD5-CZ10003-Trial Initiation Monitoring Report-05 Dec 2025 (v1.0)</v>
      </c>
      <c r="B34" s="3" t="s">
        <v>38</v>
      </c>
      <c r="C34" s="3" t="s">
        <v>18</v>
      </c>
      <c r="D34" s="3" t="s">
        <v>68</v>
      </c>
      <c r="E34" s="3" t="s">
        <v>90</v>
      </c>
      <c r="F34" s="3"/>
      <c r="G34" s="2" t="str">
        <f>HYPERLINK("https://vtmf.veevavault.com/ui/#doc_info/30608140/1/0", "VTMF-24662862")</f>
        <v>VTMF-24662862</v>
      </c>
      <c r="H34" s="3"/>
      <c r="I34" s="3" t="s">
        <v>40</v>
      </c>
      <c r="J34" s="3" t="s">
        <v>38</v>
      </c>
      <c r="K34" s="4">
        <v>46006.813368055547</v>
      </c>
      <c r="L34" s="5">
        <v>46006</v>
      </c>
      <c r="M34" s="3" t="s">
        <v>23</v>
      </c>
      <c r="N34" s="3" t="s">
        <v>91</v>
      </c>
      <c r="O34" s="3" t="s">
        <v>25</v>
      </c>
      <c r="P34" s="3" t="s">
        <v>136</v>
      </c>
      <c r="Q34" s="3" t="s">
        <v>27</v>
      </c>
    </row>
    <row r="35" spans="1:17" x14ac:dyDescent="0.35">
      <c r="A35" s="2" t="str">
        <f>HYPERLINK("https://vtmf.veevavault.com/ui/#doc_info/30577604/1/0", "77242113UCO3001-CZE-DD5-CZ10003-IP Site Release Documentation-10 Dec 2025 (v1.0)")</f>
        <v>77242113UCO3001-CZE-DD5-CZ10003-IP Site Release Documentation-10 Dec 2025 (v1.0)</v>
      </c>
      <c r="B35" s="3" t="s">
        <v>94</v>
      </c>
      <c r="C35" s="3" t="s">
        <v>18</v>
      </c>
      <c r="D35" s="3" t="s">
        <v>57</v>
      </c>
      <c r="E35" s="3" t="s">
        <v>95</v>
      </c>
      <c r="F35" s="3" t="s">
        <v>167</v>
      </c>
      <c r="G35" s="2" t="str">
        <f>HYPERLINK("https://vtmf.veevavault.com/ui/#doc_info/30577604/1/0", "VTMF-24636643")</f>
        <v>VTMF-24636643</v>
      </c>
      <c r="H35" s="3"/>
      <c r="I35" s="3" t="s">
        <v>22</v>
      </c>
      <c r="J35" s="3" t="s">
        <v>94</v>
      </c>
      <c r="K35" s="4">
        <v>46001.7503125</v>
      </c>
      <c r="L35" s="5">
        <v>46001</v>
      </c>
      <c r="M35" s="3" t="s">
        <v>23</v>
      </c>
      <c r="N35" s="3" t="s">
        <v>97</v>
      </c>
      <c r="O35" s="3" t="s">
        <v>25</v>
      </c>
      <c r="P35" s="3" t="s">
        <v>136</v>
      </c>
      <c r="Q35" s="3" t="s">
        <v>27</v>
      </c>
    </row>
    <row r="36" spans="1:17" x14ac:dyDescent="0.35">
      <c r="A36" s="2" t="str">
        <f>HYPERLINK("https://vtmf.veevavault.com/ui/#doc_info/30575883/1/0", "77242113UCO3001-CZE-DD5-CZ10003-Protocol Signature Page-05 Dec 2025 (v1.0)")</f>
        <v>77242113UCO3001-CZE-DD5-CZ10003-Protocol Signature Page-05 Dec 2025 (v1.0)</v>
      </c>
      <c r="B36" s="3" t="s">
        <v>35</v>
      </c>
      <c r="C36" s="3" t="s">
        <v>18</v>
      </c>
      <c r="D36" s="3" t="s">
        <v>57</v>
      </c>
      <c r="E36" s="3" t="s">
        <v>101</v>
      </c>
      <c r="F36" s="3" t="s">
        <v>168</v>
      </c>
      <c r="G36" s="2" t="str">
        <f>HYPERLINK("https://vtmf.veevavault.com/ui/#doc_info/30575883/1/0", "VTMF-24635450")</f>
        <v>VTMF-24635450</v>
      </c>
      <c r="H36" s="3"/>
      <c r="I36" s="3" t="s">
        <v>22</v>
      </c>
      <c r="J36" s="3" t="s">
        <v>35</v>
      </c>
      <c r="K36" s="4">
        <v>46001.657997685194</v>
      </c>
      <c r="L36" s="5">
        <v>46001</v>
      </c>
      <c r="M36" s="3" t="s">
        <v>23</v>
      </c>
      <c r="N36" s="3" t="s">
        <v>103</v>
      </c>
      <c r="O36" s="3" t="s">
        <v>25</v>
      </c>
      <c r="P36" s="3" t="s">
        <v>136</v>
      </c>
      <c r="Q36" s="3" t="s">
        <v>27</v>
      </c>
    </row>
    <row r="37" spans="1:17" x14ac:dyDescent="0.35">
      <c r="A37" s="2" t="str">
        <f>HYPERLINK("https://vtmf.veevavault.com/ui/#doc_info/30534746/1/0", "77242113UCO3001-CZE-DD5-CZ10003-Site Confirmation Letter-SIVR_CL-05 Dec 2025 (v1.0)")</f>
        <v>77242113UCO3001-CZE-DD5-CZ10003-Site Confirmation Letter-SIVR_CL-05 Dec 2025 (v1.0)</v>
      </c>
      <c r="B37" s="3" t="s">
        <v>38</v>
      </c>
      <c r="C37" s="3" t="s">
        <v>18</v>
      </c>
      <c r="D37" s="3" t="s">
        <v>18</v>
      </c>
      <c r="E37" s="3" t="s">
        <v>47</v>
      </c>
      <c r="F37" s="3"/>
      <c r="G37" s="2" t="str">
        <f>HYPERLINK("https://vtmf.veevavault.com/ui/#doc_info/30534746/1/0", "VTMF-24600118")</f>
        <v>VTMF-24600118</v>
      </c>
      <c r="H37" s="3"/>
      <c r="I37" s="3" t="s">
        <v>40</v>
      </c>
      <c r="J37" s="3" t="s">
        <v>38</v>
      </c>
      <c r="K37" s="4">
        <v>45995.565034722233</v>
      </c>
      <c r="L37" s="5">
        <v>45995</v>
      </c>
      <c r="M37" s="3" t="s">
        <v>23</v>
      </c>
      <c r="N37" s="3" t="s">
        <v>41</v>
      </c>
      <c r="O37" s="3" t="s">
        <v>25</v>
      </c>
      <c r="P37" s="3" t="s">
        <v>136</v>
      </c>
      <c r="Q37" s="3" t="s">
        <v>27</v>
      </c>
    </row>
    <row r="38" spans="1:17" x14ac:dyDescent="0.35">
      <c r="A38" s="2" t="str">
        <f>HYPERLINK("https://vtmf.veevavault.com/ui/#doc_info/30383642/1/0", "77242113CRD3001-CZE-DD6-CZ10003-Electronic Source Data Compliance Assessment Questionnaire (ESDCAQ)- (v1.0)")</f>
        <v>77242113CRD3001-CZE-DD6-CZ10003-Electronic Source Data Compliance Assessment Questionnaire (ESDCAQ)- (v1.0)</v>
      </c>
      <c r="B38" s="3" t="s">
        <v>114</v>
      </c>
      <c r="C38" s="3" t="s">
        <v>18</v>
      </c>
      <c r="D38" s="3" t="s">
        <v>57</v>
      </c>
      <c r="E38" s="3" t="s">
        <v>115</v>
      </c>
      <c r="F38" s="3" t="s">
        <v>116</v>
      </c>
      <c r="G38" s="2" t="str">
        <f>HYPERLINK("https://vtmf.veevavault.com/ui/#doc_info/30383642/1/0", "VTMF-24472911")</f>
        <v>VTMF-24472911</v>
      </c>
      <c r="H38" s="3"/>
      <c r="I38" s="3" t="s">
        <v>117</v>
      </c>
      <c r="J38" s="3" t="s">
        <v>114</v>
      </c>
      <c r="K38" s="4">
        <v>45975.479745370372</v>
      </c>
      <c r="L38" s="5">
        <v>45975</v>
      </c>
      <c r="M38" s="3" t="s">
        <v>23</v>
      </c>
      <c r="N38" s="3" t="s">
        <v>118</v>
      </c>
      <c r="O38" s="3" t="s">
        <v>81</v>
      </c>
      <c r="P38" s="3" t="s">
        <v>155</v>
      </c>
      <c r="Q38" s="3" t="s">
        <v>83</v>
      </c>
    </row>
    <row r="39" spans="1:17" x14ac:dyDescent="0.35">
      <c r="A39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39" s="3" t="s">
        <v>119</v>
      </c>
      <c r="C39" s="3" t="s">
        <v>48</v>
      </c>
      <c r="D39" s="3" t="s">
        <v>19</v>
      </c>
      <c r="E39" s="3" t="s">
        <v>20</v>
      </c>
      <c r="F39" s="3" t="s">
        <v>120</v>
      </c>
      <c r="G39" s="2" t="str">
        <f>HYPERLINK("https://vtmf.veevavault.com/ui/#doc_info/29980647/1/0", "VTMF-24136357")</f>
        <v>VTMF-24136357</v>
      </c>
      <c r="H39" s="3"/>
      <c r="I39" s="3" t="s">
        <v>22</v>
      </c>
      <c r="J39" s="3" t="s">
        <v>119</v>
      </c>
      <c r="K39" s="4">
        <v>45918.85465277778</v>
      </c>
      <c r="L39" s="5">
        <v>45919</v>
      </c>
      <c r="M39" s="3" t="s">
        <v>23</v>
      </c>
      <c r="N39" s="3" t="s">
        <v>121</v>
      </c>
      <c r="O39" s="3" t="s">
        <v>122</v>
      </c>
      <c r="P39" s="3" t="s">
        <v>123</v>
      </c>
      <c r="Q39" s="3" t="s">
        <v>27</v>
      </c>
    </row>
    <row r="40" spans="1:17" x14ac:dyDescent="0.35">
      <c r="A40" s="2" t="str">
        <f>HYPERLINK("https://vtmf.veevavault.com/ui/#doc_info/29708212/1/0", "77242113UCO3001-CZE-DD5-CZ10003-Principal Investigator Curriculum Vitae-14 Jul 2025 (v1.0)")</f>
        <v>77242113UCO3001-CZE-DD5-CZ10003-Principal Investigator Curriculum Vitae-14 Jul 2025 (v1.0)</v>
      </c>
      <c r="B40" s="3" t="s">
        <v>94</v>
      </c>
      <c r="C40" s="3" t="s">
        <v>18</v>
      </c>
      <c r="D40" s="3" t="s">
        <v>57</v>
      </c>
      <c r="E40" s="3" t="s">
        <v>65</v>
      </c>
      <c r="F40" s="3" t="s">
        <v>169</v>
      </c>
      <c r="G40" s="2" t="str">
        <f>HYPERLINK("https://vtmf.veevavault.com/ui/#doc_info/29708212/1/0", "VTMF-23902846")</f>
        <v>VTMF-23902846</v>
      </c>
      <c r="H40" s="3"/>
      <c r="I40" s="3" t="s">
        <v>126</v>
      </c>
      <c r="J40" s="3" t="s">
        <v>94</v>
      </c>
      <c r="K40" s="4">
        <v>45875.311886574083</v>
      </c>
      <c r="L40" s="5">
        <v>45875</v>
      </c>
      <c r="M40" s="3" t="s">
        <v>23</v>
      </c>
      <c r="N40" s="3" t="s">
        <v>67</v>
      </c>
      <c r="O40" s="3" t="s">
        <v>25</v>
      </c>
      <c r="P40" s="3" t="s">
        <v>136</v>
      </c>
      <c r="Q40" s="3" t="s">
        <v>27</v>
      </c>
    </row>
    <row r="41" spans="1:17" x14ac:dyDescent="0.35">
      <c r="A41" s="2" t="str">
        <f>HYPERLINK("https://vtmf.veevavault.com/ui/#doc_info/29708237/1/0", "77242113UCO3001-CZE-DD5-CZ10003-Site/Staff Qualification Supporting Information (v1.0)")</f>
        <v>77242113UCO3001-CZE-DD5-CZ10003-Site/Staff Qualification Supporting Information (v1.0)</v>
      </c>
      <c r="B41" s="3" t="s">
        <v>94</v>
      </c>
      <c r="C41" s="3" t="s">
        <v>18</v>
      </c>
      <c r="D41" s="3" t="s">
        <v>57</v>
      </c>
      <c r="E41" s="3" t="s">
        <v>124</v>
      </c>
      <c r="F41" s="3" t="s">
        <v>170</v>
      </c>
      <c r="G41" s="2" t="str">
        <f>HYPERLINK("https://vtmf.veevavault.com/ui/#doc_info/29708237/1/0", "VTMF-23902891")</f>
        <v>VTMF-23902891</v>
      </c>
      <c r="H41" s="3"/>
      <c r="I41" s="3" t="s">
        <v>126</v>
      </c>
      <c r="J41" s="3" t="s">
        <v>94</v>
      </c>
      <c r="K41" s="4">
        <v>45875.321863425917</v>
      </c>
      <c r="L41" s="5">
        <v>45875</v>
      </c>
      <c r="M41" s="3" t="s">
        <v>23</v>
      </c>
      <c r="N41" s="3" t="s">
        <v>60</v>
      </c>
      <c r="O41" s="3" t="s">
        <v>25</v>
      </c>
      <c r="P41" s="3" t="s">
        <v>136</v>
      </c>
      <c r="Q41" s="3" t="s">
        <v>27</v>
      </c>
    </row>
    <row r="42" spans="1:17" x14ac:dyDescent="0.35">
      <c r="A42" s="2" t="str">
        <f>HYPERLINK("https://vtmf.veevavault.com/ui/#doc_info/29699303/1/0", "77242113UCO3001-CZE-DD5-CZ10003-Principal Investigator Financial Disclosure Form-23 Jul 2025 (v1.0)")</f>
        <v>77242113UCO3001-CZE-DD5-CZ10003-Principal Investigator Financial Disclosure Form-23 Jul 2025 (v1.0)</v>
      </c>
      <c r="B42" s="3" t="s">
        <v>94</v>
      </c>
      <c r="C42" s="3" t="s">
        <v>18</v>
      </c>
      <c r="D42" s="3" t="s">
        <v>57</v>
      </c>
      <c r="E42" s="3" t="s">
        <v>98</v>
      </c>
      <c r="F42" s="3" t="s">
        <v>171</v>
      </c>
      <c r="G42" s="2" t="str">
        <f>HYPERLINK("https://vtmf.veevavault.com/ui/#doc_info/29699303/1/0", "VTMF-23895162")</f>
        <v>VTMF-23895162</v>
      </c>
      <c r="H42" s="3"/>
      <c r="I42" s="3" t="s">
        <v>126</v>
      </c>
      <c r="J42" s="3" t="s">
        <v>94</v>
      </c>
      <c r="K42" s="4">
        <v>45874.30572916667</v>
      </c>
      <c r="L42" s="5">
        <v>45874</v>
      </c>
      <c r="M42" s="3" t="s">
        <v>23</v>
      </c>
      <c r="N42" s="3" t="s">
        <v>100</v>
      </c>
      <c r="O42" s="3" t="s">
        <v>25</v>
      </c>
      <c r="P42" s="3" t="s">
        <v>136</v>
      </c>
      <c r="Q42" s="3" t="s">
        <v>27</v>
      </c>
    </row>
    <row r="43" spans="1:17" x14ac:dyDescent="0.35">
      <c r="A43" s="2" t="str">
        <f>HYPERLINK("https://vtmf.veevavault.com/ui/#doc_info/29699291/1/0", "77242113UCO3001-CZE-DD5-CZ10003-Site/Staff Qualification Supporting Information (v1.0)")</f>
        <v>77242113UCO3001-CZE-DD5-CZ10003-Site/Staff Qualification Supporting Information (v1.0)</v>
      </c>
      <c r="B43" s="3" t="s">
        <v>94</v>
      </c>
      <c r="C43" s="3" t="s">
        <v>18</v>
      </c>
      <c r="D43" s="3" t="s">
        <v>57</v>
      </c>
      <c r="E43" s="3" t="s">
        <v>124</v>
      </c>
      <c r="F43" s="3" t="s">
        <v>172</v>
      </c>
      <c r="G43" s="2" t="str">
        <f>HYPERLINK("https://vtmf.veevavault.com/ui/#doc_info/29699291/1/0", "VTMF-23895219")</f>
        <v>VTMF-23895219</v>
      </c>
      <c r="H43" s="3"/>
      <c r="I43" s="3" t="s">
        <v>22</v>
      </c>
      <c r="J43" s="3" t="s">
        <v>94</v>
      </c>
      <c r="K43" s="4">
        <v>45874.320104166669</v>
      </c>
      <c r="L43" s="5">
        <v>45874</v>
      </c>
      <c r="M43" s="3" t="s">
        <v>23</v>
      </c>
      <c r="N43" s="3" t="s">
        <v>60</v>
      </c>
      <c r="O43" s="3" t="s">
        <v>25</v>
      </c>
      <c r="P43" s="3" t="s">
        <v>136</v>
      </c>
      <c r="Q43" s="3" t="s">
        <v>27</v>
      </c>
    </row>
    <row r="44" spans="1:17" x14ac:dyDescent="0.35">
      <c r="A44" s="2" t="str">
        <f>HYPERLINK("https://vtmf.veevavault.com/ui/#doc_info/29352981/1/0", "77242113UCO3001-CZE-DD5-CZ10003-Feasibility Documentation-13 Jun 2025 (v1.0)")</f>
        <v>77242113UCO3001-CZE-DD5-CZ10003-Feasibility Documentation-13 Jun 2025 (v1.0)</v>
      </c>
      <c r="B44" s="3" t="s">
        <v>130</v>
      </c>
      <c r="C44" s="3" t="s">
        <v>18</v>
      </c>
      <c r="D44" s="3" t="s">
        <v>131</v>
      </c>
      <c r="E44" s="3" t="s">
        <v>132</v>
      </c>
      <c r="F44" s="3" t="s">
        <v>173</v>
      </c>
      <c r="G44" s="2" t="str">
        <f>HYPERLINK("https://vtmf.veevavault.com/ui/#doc_info/29352981/1/0", "VTMF-23596696")</f>
        <v>VTMF-23596696</v>
      </c>
      <c r="H44" s="3"/>
      <c r="I44" s="3" t="s">
        <v>22</v>
      </c>
      <c r="J44" s="3" t="s">
        <v>130</v>
      </c>
      <c r="K44" s="4">
        <v>45821.755243055559</v>
      </c>
      <c r="L44" s="5">
        <v>45821</v>
      </c>
      <c r="M44" s="3" t="s">
        <v>23</v>
      </c>
      <c r="N44" s="3" t="s">
        <v>60</v>
      </c>
      <c r="O44" s="3" t="s">
        <v>81</v>
      </c>
      <c r="P44" s="3" t="s">
        <v>155</v>
      </c>
      <c r="Q44" s="3" t="s">
        <v>83</v>
      </c>
    </row>
    <row r="45" spans="1:17" x14ac:dyDescent="0.35">
      <c r="A45" s="2" t="str">
        <f>HYPERLINK("https://vtmf.veevavault.com/ui/#doc_info/29352995/1/0", "77242113UCO3001-CZE-DD5-CZ10003-Feasibility Documentation-13 Jun 2025 (v1.0)")</f>
        <v>77242113UCO3001-CZE-DD5-CZ10003-Feasibility Documentation-13 Jun 2025 (v1.0)</v>
      </c>
      <c r="B45" s="3" t="s">
        <v>130</v>
      </c>
      <c r="C45" s="3" t="s">
        <v>18</v>
      </c>
      <c r="D45" s="3" t="s">
        <v>131</v>
      </c>
      <c r="E45" s="3" t="s">
        <v>132</v>
      </c>
      <c r="F45" s="3" t="s">
        <v>174</v>
      </c>
      <c r="G45" s="2" t="str">
        <f>HYPERLINK("https://vtmf.veevavault.com/ui/#doc_info/29352995/1/0", "VTMF-23596716")</f>
        <v>VTMF-23596716</v>
      </c>
      <c r="H45" s="3"/>
      <c r="I45" s="3" t="s">
        <v>22</v>
      </c>
      <c r="J45" s="3" t="s">
        <v>130</v>
      </c>
      <c r="K45" s="4">
        <v>45821.759953703702</v>
      </c>
      <c r="L45" s="5">
        <v>45821</v>
      </c>
      <c r="M45" s="3" t="s">
        <v>23</v>
      </c>
      <c r="N45" s="3" t="s">
        <v>60</v>
      </c>
      <c r="O45" s="3" t="s">
        <v>81</v>
      </c>
      <c r="P45" s="3" t="s">
        <v>175</v>
      </c>
      <c r="Q45" s="3" t="s">
        <v>83</v>
      </c>
    </row>
    <row r="46" spans="1:17" x14ac:dyDescent="0.35">
      <c r="A46" s="2" t="str">
        <f>HYPERLINK("https://vtmf.veevavault.com/ui/#doc_info/29243924/1/0", "77242113UCO3001-CZE-DD5-CZ10003-Monitoring Visit Follow-up Letter-SQVR_FL-26 May 2025 (v1.0)")</f>
        <v>77242113UCO3001-CZE-DD5-CZ10003-Monitoring Visit Follow-up Letter-SQVR_FL-26 May 2025 (v1.0)</v>
      </c>
      <c r="B46" s="3" t="s">
        <v>38</v>
      </c>
      <c r="C46" s="3" t="s">
        <v>18</v>
      </c>
      <c r="D46" s="3" t="s">
        <v>18</v>
      </c>
      <c r="E46" s="3" t="s">
        <v>39</v>
      </c>
      <c r="F46" s="3"/>
      <c r="G46" s="2" t="str">
        <f>HYPERLINK("https://vtmf.veevavault.com/ui/#doc_info/29243924/1/0", "VTMF-23506191")</f>
        <v>VTMF-23506191</v>
      </c>
      <c r="H46" s="3"/>
      <c r="I46" s="3" t="s">
        <v>40</v>
      </c>
      <c r="J46" s="3" t="s">
        <v>38</v>
      </c>
      <c r="K46" s="4">
        <v>45810.522152777783</v>
      </c>
      <c r="L46" s="5">
        <v>45810</v>
      </c>
      <c r="M46" s="3" t="s">
        <v>23</v>
      </c>
      <c r="N46" s="3" t="s">
        <v>41</v>
      </c>
      <c r="O46" s="3" t="s">
        <v>25</v>
      </c>
      <c r="P46" s="3" t="s">
        <v>136</v>
      </c>
      <c r="Q46" s="3" t="s">
        <v>27</v>
      </c>
    </row>
    <row r="47" spans="1:17" x14ac:dyDescent="0.35">
      <c r="A47" s="2" t="str">
        <f>HYPERLINK("https://vtmf.veevavault.com/ui/#doc_info/29246634/1/0", "77242113UCO3001-CZE-DD5-CZ10003-Pre Trial Monitoring Report-26 May 2025 (v1.0)")</f>
        <v>77242113UCO3001-CZE-DD5-CZ10003-Pre Trial Monitoring Report-26 May 2025 (v1.0)</v>
      </c>
      <c r="B47" s="3" t="s">
        <v>38</v>
      </c>
      <c r="C47" s="3" t="s">
        <v>18</v>
      </c>
      <c r="D47" s="3" t="s">
        <v>131</v>
      </c>
      <c r="E47" s="3" t="s">
        <v>134</v>
      </c>
      <c r="F47" s="3"/>
      <c r="G47" s="2" t="str">
        <f>HYPERLINK("https://vtmf.veevavault.com/ui/#doc_info/29246634/1/0", "VTMF-23508333")</f>
        <v>VTMF-23508333</v>
      </c>
      <c r="H47" s="3"/>
      <c r="I47" s="3" t="s">
        <v>40</v>
      </c>
      <c r="J47" s="3" t="s">
        <v>38</v>
      </c>
      <c r="K47" s="4">
        <v>45810.776180555556</v>
      </c>
      <c r="L47" s="5">
        <v>45810</v>
      </c>
      <c r="M47" s="3" t="s">
        <v>23</v>
      </c>
      <c r="N47" s="3" t="s">
        <v>97</v>
      </c>
      <c r="O47" s="3" t="s">
        <v>25</v>
      </c>
      <c r="P47" s="3" t="s">
        <v>136</v>
      </c>
      <c r="Q47" s="3" t="s">
        <v>27</v>
      </c>
    </row>
    <row r="48" spans="1:17" x14ac:dyDescent="0.35">
      <c r="A48" s="2" t="str">
        <f>HYPERLINK("https://vtmf.veevavault.com/ui/#doc_info/29197610/1/0", "77242113UCO3001-CZE-DD5-CZ10003-Site Confirmation Letter-SQVR_CL-26 May 2025 (v1.0)")</f>
        <v>77242113UCO3001-CZE-DD5-CZ10003-Site Confirmation Letter-SQVR_CL-26 May 2025 (v1.0)</v>
      </c>
      <c r="B48" s="3" t="s">
        <v>38</v>
      </c>
      <c r="C48" s="3" t="s">
        <v>18</v>
      </c>
      <c r="D48" s="3" t="s">
        <v>18</v>
      </c>
      <c r="E48" s="3" t="s">
        <v>47</v>
      </c>
      <c r="F48" s="3"/>
      <c r="G48" s="2" t="str">
        <f>HYPERLINK("https://vtmf.veevavault.com/ui/#doc_info/29197610/1/0", "VTMF-23467977")</f>
        <v>VTMF-23467977</v>
      </c>
      <c r="H48" s="3"/>
      <c r="I48" s="3" t="s">
        <v>40</v>
      </c>
      <c r="J48" s="3" t="s">
        <v>38</v>
      </c>
      <c r="K48" s="4">
        <v>45802.850300925929</v>
      </c>
      <c r="L48" s="5">
        <v>45802</v>
      </c>
      <c r="M48" s="3" t="s">
        <v>23</v>
      </c>
      <c r="N48" s="3" t="s">
        <v>41</v>
      </c>
      <c r="O48" s="3" t="s">
        <v>25</v>
      </c>
      <c r="P48" s="3" t="s">
        <v>136</v>
      </c>
      <c r="Q48" s="3" t="s">
        <v>27</v>
      </c>
    </row>
  </sheetData>
  <autoFilter ref="A1:Q48" xr:uid="{00000000-0009-0000-0000-000001000000}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Q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HYPERLINK("https://vtmf.veevavault.com/ui/#doc_info/29246637/1/0", "77242113UCO3001-CZE-DD5-CZ10019-Monitoring Visit Follow-up Letter-SQVR_FL-21 May 2025 (v1.0)")</f>
        <v>77242113UCO3001-CZE-DD5-CZ10019-Monitoring Visit Follow-up Letter-SQVR_FL-21 May 2025 (v1.0)</v>
      </c>
      <c r="B2" s="3" t="s">
        <v>38</v>
      </c>
      <c r="C2" s="3" t="s">
        <v>18</v>
      </c>
      <c r="D2" s="3" t="s">
        <v>18</v>
      </c>
      <c r="E2" s="3" t="s">
        <v>39</v>
      </c>
      <c r="F2" s="3"/>
      <c r="G2" s="2" t="str">
        <f>HYPERLINK("https://vtmf.veevavault.com/ui/#doc_info/29246637/1/0", "VTMF-23508337")</f>
        <v>VTMF-23508337</v>
      </c>
      <c r="H2" s="3"/>
      <c r="I2" s="3" t="s">
        <v>40</v>
      </c>
      <c r="J2" s="3" t="s">
        <v>38</v>
      </c>
      <c r="K2" s="4">
        <v>45810.776990740742</v>
      </c>
      <c r="L2" s="5">
        <v>45810</v>
      </c>
      <c r="M2" s="3" t="s">
        <v>23</v>
      </c>
      <c r="N2" s="3" t="s">
        <v>41</v>
      </c>
      <c r="O2" s="3" t="s">
        <v>25</v>
      </c>
      <c r="P2" s="3" t="s">
        <v>547</v>
      </c>
      <c r="Q2" s="3" t="s">
        <v>27</v>
      </c>
    </row>
    <row r="3" spans="1:17" x14ac:dyDescent="0.35">
      <c r="A3" s="2" t="str">
        <f>HYPERLINK("https://vtmf.veevavault.com/ui/#doc_info/29230387/1/0", "77242113UCO3001-CZE-DD5-CZ10019-Pre Trial Monitoring Report-21 May 2025 (v1.0)")</f>
        <v>77242113UCO3001-CZE-DD5-CZ10019-Pre Trial Monitoring Report-21 May 2025 (v1.0)</v>
      </c>
      <c r="B3" s="3" t="s">
        <v>38</v>
      </c>
      <c r="C3" s="3" t="s">
        <v>18</v>
      </c>
      <c r="D3" s="3" t="s">
        <v>131</v>
      </c>
      <c r="E3" s="3" t="s">
        <v>134</v>
      </c>
      <c r="F3" s="3"/>
      <c r="G3" s="2" t="str">
        <f>HYPERLINK("https://vtmf.veevavault.com/ui/#doc_info/29230387/1/0", "VTMF-23494374")</f>
        <v>VTMF-23494374</v>
      </c>
      <c r="H3" s="3"/>
      <c r="I3" s="3" t="s">
        <v>40</v>
      </c>
      <c r="J3" s="3" t="s">
        <v>38</v>
      </c>
      <c r="K3" s="4">
        <v>45806.979085648149</v>
      </c>
      <c r="L3" s="5">
        <v>45806</v>
      </c>
      <c r="M3" s="3" t="s">
        <v>23</v>
      </c>
      <c r="N3" s="3" t="s">
        <v>97</v>
      </c>
      <c r="O3" s="3" t="s">
        <v>25</v>
      </c>
      <c r="P3" s="3" t="s">
        <v>547</v>
      </c>
      <c r="Q3" s="3" t="s">
        <v>27</v>
      </c>
    </row>
    <row r="4" spans="1:17" x14ac:dyDescent="0.35">
      <c r="A4" s="2" t="str">
        <f>HYPERLINK("https://vtmf.veevavault.com/ui/#doc_info/29174000/1/0", "77242113UCO3001-CZE-DD5-CZ10019-Site Confirmation Letter-SQVR_CL-21 May 2025 (v1.0)")</f>
        <v>77242113UCO3001-CZE-DD5-CZ10019-Site Confirmation Letter-SQVR_CL-21 May 2025 (v1.0)</v>
      </c>
      <c r="B4" s="3" t="s">
        <v>38</v>
      </c>
      <c r="C4" s="3" t="s">
        <v>18</v>
      </c>
      <c r="D4" s="3" t="s">
        <v>18</v>
      </c>
      <c r="E4" s="3" t="s">
        <v>47</v>
      </c>
      <c r="F4" s="3"/>
      <c r="G4" s="2" t="str">
        <f>HYPERLINK("https://vtmf.veevavault.com/ui/#doc_info/29174000/1/0", "VTMF-23448264")</f>
        <v>VTMF-23448264</v>
      </c>
      <c r="H4" s="3"/>
      <c r="I4" s="3" t="s">
        <v>40</v>
      </c>
      <c r="J4" s="3" t="s">
        <v>38</v>
      </c>
      <c r="K4" s="4">
        <v>45798.973715277767</v>
      </c>
      <c r="L4" s="5">
        <v>45798</v>
      </c>
      <c r="M4" s="3" t="s">
        <v>23</v>
      </c>
      <c r="N4" s="3" t="s">
        <v>41</v>
      </c>
      <c r="O4" s="3" t="s">
        <v>25</v>
      </c>
      <c r="P4" s="3" t="s">
        <v>547</v>
      </c>
      <c r="Q4" s="3" t="s">
        <v>27</v>
      </c>
    </row>
    <row r="5" spans="1:17" x14ac:dyDescent="0.35">
      <c r="A5" s="2" t="str">
        <f>HYPERLINK("https://vtmf.veevavault.com/ui/#doc_info/24009889/1/0", "54179060CLL2032-CZE-BH5-CZ10003-Confidentiality Agreement-16 Jan 2023 (v1.0)")</f>
        <v>54179060CLL2032-CZE-BH5-CZ10003-Confidentiality Agreement-16 Jan 2023 (v1.0)</v>
      </c>
      <c r="B5" s="3" t="s">
        <v>548</v>
      </c>
      <c r="C5" s="3" t="s">
        <v>18</v>
      </c>
      <c r="D5" s="3" t="s">
        <v>131</v>
      </c>
      <c r="E5" s="3" t="s">
        <v>269</v>
      </c>
      <c r="F5" s="3" t="s">
        <v>549</v>
      </c>
      <c r="G5" s="2" t="str">
        <f>HYPERLINK("https://vtmf.veevavault.com/ui/#doc_info/24009889/1/0", "VTMF-19036212")</f>
        <v>VTMF-19036212</v>
      </c>
      <c r="H5" s="3"/>
      <c r="I5" s="3" t="s">
        <v>550</v>
      </c>
      <c r="J5" s="3" t="s">
        <v>548</v>
      </c>
      <c r="K5" s="4">
        <v>45055.506493055553</v>
      </c>
      <c r="L5" s="5">
        <v>45055</v>
      </c>
      <c r="M5" s="3" t="s">
        <v>23</v>
      </c>
      <c r="N5" s="3" t="s">
        <v>97</v>
      </c>
      <c r="O5" s="3" t="s">
        <v>410</v>
      </c>
      <c r="P5" s="3" t="s">
        <v>551</v>
      </c>
      <c r="Q5" s="3" t="s">
        <v>552</v>
      </c>
    </row>
  </sheetData>
  <autoFilter ref="A1:Q5" xr:uid="{00000000-0009-0000-0000-000013000000}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Q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HYPERLINK("https://vtmf.veevavault.com/ui/#doc_info/29633580/1/0", "77242113UCO3001-CZE-DD5-CZ10023-Sites Evaluated but not Selected-05 Jul 2025 (v1.0)")</f>
        <v>77242113UCO3001-CZE-DD5-CZ10023-Sites Evaluated but not Selected-05 Jul 2025 (v1.0)</v>
      </c>
      <c r="B2" s="3" t="s">
        <v>130</v>
      </c>
      <c r="C2" s="3" t="s">
        <v>18</v>
      </c>
      <c r="D2" s="3" t="s">
        <v>131</v>
      </c>
      <c r="E2" s="3" t="s">
        <v>526</v>
      </c>
      <c r="F2" s="3" t="s">
        <v>553</v>
      </c>
      <c r="G2" s="2" t="str">
        <f>HYPERLINK("https://vtmf.veevavault.com/ui/#doc_info/29633580/1/0", "VTMF-23839542")</f>
        <v>VTMF-23839542</v>
      </c>
      <c r="H2" s="3"/>
      <c r="I2" s="3" t="s">
        <v>22</v>
      </c>
      <c r="J2" s="3" t="s">
        <v>130</v>
      </c>
      <c r="K2" s="4">
        <v>45864.022083333337</v>
      </c>
      <c r="L2" s="5">
        <v>45864</v>
      </c>
      <c r="M2" s="3" t="s">
        <v>23</v>
      </c>
      <c r="N2" s="3"/>
      <c r="O2" s="3" t="s">
        <v>81</v>
      </c>
      <c r="P2" s="3" t="s">
        <v>554</v>
      </c>
      <c r="Q2" s="3" t="s">
        <v>83</v>
      </c>
    </row>
    <row r="3" spans="1:17" x14ac:dyDescent="0.35">
      <c r="A3" s="2" t="str">
        <f>HYPERLINK("https://vtmf.veevavault.com/ui/#doc_info/29225510/1/0", "77242113UCO3001-CZE-DD5-CZ10023-Monitoring Visit Follow-up Letter-SQVR_FL-26 May 2025 (v1.0)")</f>
        <v>77242113UCO3001-CZE-DD5-CZ10023-Monitoring Visit Follow-up Letter-SQVR_FL-26 May 2025 (v1.0)</v>
      </c>
      <c r="B3" s="3" t="s">
        <v>38</v>
      </c>
      <c r="C3" s="3" t="s">
        <v>18</v>
      </c>
      <c r="D3" s="3" t="s">
        <v>18</v>
      </c>
      <c r="E3" s="3" t="s">
        <v>39</v>
      </c>
      <c r="F3" s="3"/>
      <c r="G3" s="2" t="str">
        <f>HYPERLINK("https://vtmf.veevavault.com/ui/#doc_info/29225510/1/0", "VTMF-23490221")</f>
        <v>VTMF-23490221</v>
      </c>
      <c r="H3" s="3"/>
      <c r="I3" s="3" t="s">
        <v>40</v>
      </c>
      <c r="J3" s="3" t="s">
        <v>38</v>
      </c>
      <c r="K3" s="4">
        <v>45806.438668981478</v>
      </c>
      <c r="L3" s="5">
        <v>45806</v>
      </c>
      <c r="M3" s="3" t="s">
        <v>23</v>
      </c>
      <c r="N3" s="3" t="s">
        <v>41</v>
      </c>
      <c r="O3" s="3" t="s">
        <v>25</v>
      </c>
      <c r="P3" s="3" t="s">
        <v>555</v>
      </c>
      <c r="Q3" s="3" t="s">
        <v>27</v>
      </c>
    </row>
    <row r="4" spans="1:17" x14ac:dyDescent="0.35">
      <c r="A4" s="2" t="str">
        <f>HYPERLINK("https://vtmf.veevavault.com/ui/#doc_info/29230232/1/0", "77242113UCO3001-CZE-DD5-CZ10023-Pre Trial Monitoring Report-26 May 2025 (v1.0)")</f>
        <v>77242113UCO3001-CZE-DD5-CZ10023-Pre Trial Monitoring Report-26 May 2025 (v1.0)</v>
      </c>
      <c r="B4" s="3" t="s">
        <v>38</v>
      </c>
      <c r="C4" s="3" t="s">
        <v>18</v>
      </c>
      <c r="D4" s="3" t="s">
        <v>131</v>
      </c>
      <c r="E4" s="3" t="s">
        <v>134</v>
      </c>
      <c r="F4" s="3"/>
      <c r="G4" s="2" t="str">
        <f>HYPERLINK("https://vtmf.veevavault.com/ui/#doc_info/29230232/1/0", "VTMF-23494228")</f>
        <v>VTMF-23494228</v>
      </c>
      <c r="H4" s="3"/>
      <c r="I4" s="3" t="s">
        <v>40</v>
      </c>
      <c r="J4" s="3" t="s">
        <v>38</v>
      </c>
      <c r="K4" s="4">
        <v>45806.942754629628</v>
      </c>
      <c r="L4" s="5">
        <v>45806</v>
      </c>
      <c r="M4" s="3" t="s">
        <v>23</v>
      </c>
      <c r="N4" s="3" t="s">
        <v>97</v>
      </c>
      <c r="O4" s="3" t="s">
        <v>25</v>
      </c>
      <c r="P4" s="3" t="s">
        <v>555</v>
      </c>
      <c r="Q4" s="3" t="s">
        <v>27</v>
      </c>
    </row>
    <row r="5" spans="1:17" x14ac:dyDescent="0.35">
      <c r="A5" s="2" t="str">
        <f>HYPERLINK("https://vtmf.veevavault.com/ui/#doc_info/29173973/1/0", "77242113UCO3001-CZE-DD5-CZ10023-Site Confirmation Letter-SQVR_CL-26 May 2025 (v1.0)")</f>
        <v>77242113UCO3001-CZE-DD5-CZ10023-Site Confirmation Letter-SQVR_CL-26 May 2025 (v1.0)</v>
      </c>
      <c r="B5" s="3" t="s">
        <v>38</v>
      </c>
      <c r="C5" s="3" t="s">
        <v>18</v>
      </c>
      <c r="D5" s="3" t="s">
        <v>18</v>
      </c>
      <c r="E5" s="3" t="s">
        <v>47</v>
      </c>
      <c r="F5" s="3"/>
      <c r="G5" s="2" t="str">
        <f>HYPERLINK("https://vtmf.veevavault.com/ui/#doc_info/29173973/1/0", "VTMF-23448222")</f>
        <v>VTMF-23448222</v>
      </c>
      <c r="H5" s="3"/>
      <c r="I5" s="3" t="s">
        <v>40</v>
      </c>
      <c r="J5" s="3" t="s">
        <v>38</v>
      </c>
      <c r="K5" s="4">
        <v>45798.965069444443</v>
      </c>
      <c r="L5" s="5">
        <v>45798</v>
      </c>
      <c r="M5" s="3" t="s">
        <v>23</v>
      </c>
      <c r="N5" s="3" t="s">
        <v>41</v>
      </c>
      <c r="O5" s="3" t="s">
        <v>25</v>
      </c>
      <c r="P5" s="3" t="s">
        <v>555</v>
      </c>
      <c r="Q5" s="3" t="s">
        <v>27</v>
      </c>
    </row>
  </sheetData>
  <autoFilter ref="A1:Q5" xr:uid="{00000000-0009-0000-0000-000014000000}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Q7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HYPERLINK("https://vtmf.veevavault.com/ui/#doc_info/29633579/1/0", "77242113UCO3001-CZE-DD6-CZ10024-Sites Evaluated but not Selected-05 Jul 2025 (v1.0)")</f>
        <v>77242113UCO3001-CZE-DD6-CZ10024-Sites Evaluated but not Selected-05 Jul 2025 (v1.0)</v>
      </c>
      <c r="B2" s="3" t="s">
        <v>130</v>
      </c>
      <c r="C2" s="3" t="s">
        <v>18</v>
      </c>
      <c r="D2" s="3" t="s">
        <v>131</v>
      </c>
      <c r="E2" s="3" t="s">
        <v>526</v>
      </c>
      <c r="F2" s="3" t="s">
        <v>556</v>
      </c>
      <c r="G2" s="2" t="str">
        <f>HYPERLINK("https://vtmf.veevavault.com/ui/#doc_info/29633579/1/0", "VTMF-23839541")</f>
        <v>VTMF-23839541</v>
      </c>
      <c r="H2" s="3"/>
      <c r="I2" s="3" t="s">
        <v>22</v>
      </c>
      <c r="J2" s="3" t="s">
        <v>130</v>
      </c>
      <c r="K2" s="4">
        <v>45864.020682870367</v>
      </c>
      <c r="L2" s="5">
        <v>45864</v>
      </c>
      <c r="M2" s="3" t="s">
        <v>23</v>
      </c>
      <c r="N2" s="3"/>
      <c r="O2" s="3" t="s">
        <v>81</v>
      </c>
      <c r="P2" s="3" t="s">
        <v>557</v>
      </c>
      <c r="Q2" s="3" t="s">
        <v>83</v>
      </c>
    </row>
    <row r="3" spans="1:17" x14ac:dyDescent="0.35">
      <c r="A3" s="2" t="str">
        <f>HYPERLINK("https://vtmf.veevavault.com/ui/#doc_info/29333442/1/0", "77242113UCO3001-CZE-DD5-CZ10024-Monitoring Visit Follow-up Letter-SQVR_FL-26 May 2025 (v1.0)")</f>
        <v>77242113UCO3001-CZE-DD5-CZ10024-Monitoring Visit Follow-up Letter-SQVR_FL-26 May 2025 (v1.0)</v>
      </c>
      <c r="B3" s="3" t="s">
        <v>38</v>
      </c>
      <c r="C3" s="3" t="s">
        <v>18</v>
      </c>
      <c r="D3" s="3" t="s">
        <v>18</v>
      </c>
      <c r="E3" s="3" t="s">
        <v>39</v>
      </c>
      <c r="F3" s="3"/>
      <c r="G3" s="2" t="str">
        <f>HYPERLINK("https://vtmf.veevavault.com/ui/#doc_info/29333442/1/0", "VTMF-23579850")</f>
        <v>VTMF-23579850</v>
      </c>
      <c r="H3" s="3"/>
      <c r="I3" s="3" t="s">
        <v>40</v>
      </c>
      <c r="J3" s="3" t="s">
        <v>38</v>
      </c>
      <c r="K3" s="4">
        <v>45819.621724537043</v>
      </c>
      <c r="L3" s="5">
        <v>45819</v>
      </c>
      <c r="M3" s="3" t="s">
        <v>23</v>
      </c>
      <c r="N3" s="3" t="s">
        <v>41</v>
      </c>
      <c r="O3" s="3" t="s">
        <v>25</v>
      </c>
      <c r="P3" s="3" t="s">
        <v>558</v>
      </c>
      <c r="Q3" s="3" t="s">
        <v>27</v>
      </c>
    </row>
    <row r="4" spans="1:17" x14ac:dyDescent="0.35">
      <c r="A4" s="2" t="str">
        <f>HYPERLINK("https://vtmf.veevavault.com/ui/#doc_info/29324856/1/0", "77242113UCO3001-CZE-DD6-CZ10024-Non-IP Shipment Documentation-26 May 2025 (v1.0)")</f>
        <v>77242113UCO3001-CZE-DD6-CZ10024-Non-IP Shipment Documentation-26 May 2025 (v1.0)</v>
      </c>
      <c r="B4" s="3" t="s">
        <v>17</v>
      </c>
      <c r="C4" s="3" t="s">
        <v>28</v>
      </c>
      <c r="D4" s="3" t="s">
        <v>29</v>
      </c>
      <c r="E4" s="3" t="s">
        <v>30</v>
      </c>
      <c r="F4" s="3" t="s">
        <v>559</v>
      </c>
      <c r="G4" s="2" t="str">
        <f>HYPERLINK("https://vtmf.veevavault.com/ui/#doc_info/29324856/1/0", "VTMF-23573069")</f>
        <v>VTMF-23573069</v>
      </c>
      <c r="H4" s="3"/>
      <c r="I4" s="3" t="s">
        <v>22</v>
      </c>
      <c r="J4" s="3" t="s">
        <v>17</v>
      </c>
      <c r="K4" s="4">
        <v>45818.618437500001</v>
      </c>
      <c r="L4" s="5">
        <v>45818</v>
      </c>
      <c r="M4" s="3" t="s">
        <v>23</v>
      </c>
      <c r="N4" s="3" t="s">
        <v>32</v>
      </c>
      <c r="O4" s="3" t="s">
        <v>81</v>
      </c>
      <c r="P4" s="3" t="s">
        <v>557</v>
      </c>
      <c r="Q4" s="3" t="s">
        <v>83</v>
      </c>
    </row>
    <row r="5" spans="1:17" x14ac:dyDescent="0.35">
      <c r="A5" s="2" t="str">
        <f>HYPERLINK("https://vtmf.veevavault.com/ui/#doc_info/29246354/1/0", "77242113UCO3001-CZE-DD5-CZ10024-Pre Trial Monitoring Report-26 May 2025 (v1.0)")</f>
        <v>77242113UCO3001-CZE-DD5-CZ10024-Pre Trial Monitoring Report-26 May 2025 (v1.0)</v>
      </c>
      <c r="B5" s="3" t="s">
        <v>38</v>
      </c>
      <c r="C5" s="3" t="s">
        <v>18</v>
      </c>
      <c r="D5" s="3" t="s">
        <v>131</v>
      </c>
      <c r="E5" s="3" t="s">
        <v>134</v>
      </c>
      <c r="F5" s="3"/>
      <c r="G5" s="2" t="str">
        <f>HYPERLINK("https://vtmf.veevavault.com/ui/#doc_info/29246354/1/0", "VTMF-23508015")</f>
        <v>VTMF-23508015</v>
      </c>
      <c r="H5" s="3"/>
      <c r="I5" s="3" t="s">
        <v>40</v>
      </c>
      <c r="J5" s="3" t="s">
        <v>38</v>
      </c>
      <c r="K5" s="4">
        <v>45810.732997685183</v>
      </c>
      <c r="L5" s="5">
        <v>45810</v>
      </c>
      <c r="M5" s="3" t="s">
        <v>23</v>
      </c>
      <c r="N5" s="3" t="s">
        <v>97</v>
      </c>
      <c r="O5" s="3" t="s">
        <v>25</v>
      </c>
      <c r="P5" s="3" t="s">
        <v>558</v>
      </c>
      <c r="Q5" s="3" t="s">
        <v>27</v>
      </c>
    </row>
    <row r="6" spans="1:17" x14ac:dyDescent="0.35">
      <c r="A6" s="2" t="str">
        <f>HYPERLINK("https://vtmf.veevavault.com/ui/#doc_info/29231986/1/0", "77242113UCO3001-CZE-DD6-CZ10024-Confidentiality Agreement-11 Oct 2023 (v1.0)")</f>
        <v>77242113UCO3001-CZE-DD6-CZ10024-Confidentiality Agreement-11 Oct 2023 (v1.0)</v>
      </c>
      <c r="B6" s="3" t="s">
        <v>409</v>
      </c>
      <c r="C6" s="3" t="s">
        <v>18</v>
      </c>
      <c r="D6" s="3" t="s">
        <v>131</v>
      </c>
      <c r="E6" s="3" t="s">
        <v>269</v>
      </c>
      <c r="F6" s="3" t="s">
        <v>560</v>
      </c>
      <c r="G6" s="2" t="str">
        <f>HYPERLINK("https://vtmf.veevavault.com/ui/#doc_info/29231986/1/0", "VTMF-23495715")</f>
        <v>VTMF-23495715</v>
      </c>
      <c r="H6" s="3"/>
      <c r="I6" s="3" t="s">
        <v>22</v>
      </c>
      <c r="J6" s="3" t="s">
        <v>409</v>
      </c>
      <c r="K6" s="4">
        <v>45807.350914351853</v>
      </c>
      <c r="L6" s="5">
        <v>45807</v>
      </c>
      <c r="M6" s="3" t="s">
        <v>23</v>
      </c>
      <c r="N6" s="3" t="s">
        <v>97</v>
      </c>
      <c r="O6" s="3" t="s">
        <v>81</v>
      </c>
      <c r="P6" s="3" t="s">
        <v>557</v>
      </c>
      <c r="Q6" s="3" t="s">
        <v>83</v>
      </c>
    </row>
    <row r="7" spans="1:17" x14ac:dyDescent="0.35">
      <c r="A7" s="2" t="str">
        <f>HYPERLINK("https://vtmf.veevavault.com/ui/#doc_info/29180549/1/0", "77242113UCO3001-CZE-DD5-CZ10024-Site Confirmation Letter-SQVR_CL-26 May 2025 (v1.0)")</f>
        <v>77242113UCO3001-CZE-DD5-CZ10024-Site Confirmation Letter-SQVR_CL-26 May 2025 (v1.0)</v>
      </c>
      <c r="B7" s="3" t="s">
        <v>38</v>
      </c>
      <c r="C7" s="3" t="s">
        <v>18</v>
      </c>
      <c r="D7" s="3" t="s">
        <v>18</v>
      </c>
      <c r="E7" s="3" t="s">
        <v>47</v>
      </c>
      <c r="F7" s="3"/>
      <c r="G7" s="2" t="str">
        <f>HYPERLINK("https://vtmf.veevavault.com/ui/#doc_info/29180549/1/0", "VTMF-23453954")</f>
        <v>VTMF-23453954</v>
      </c>
      <c r="H7" s="3"/>
      <c r="I7" s="3" t="s">
        <v>40</v>
      </c>
      <c r="J7" s="3" t="s">
        <v>38</v>
      </c>
      <c r="K7" s="4">
        <v>45799.699270833327</v>
      </c>
      <c r="L7" s="5">
        <v>45799</v>
      </c>
      <c r="M7" s="3" t="s">
        <v>23</v>
      </c>
      <c r="N7" s="3" t="s">
        <v>41</v>
      </c>
      <c r="O7" s="3" t="s">
        <v>25</v>
      </c>
      <c r="P7" s="3" t="s">
        <v>558</v>
      </c>
      <c r="Q7" s="3" t="s">
        <v>27</v>
      </c>
    </row>
  </sheetData>
  <autoFilter ref="A1:Q7" xr:uid="{00000000-0009-0000-0000-000015000000}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Q6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HYPERLINK("https://vtmf.veevavault.com/ui/#doc_info/29633570/1/0", "77242113UCO3001-CZE-DD5-CZ10025-Sites Evaluated but not Selected-05 Jul 2025 (v1.0)")</f>
        <v>77242113UCO3001-CZE-DD5-CZ10025-Sites Evaluated but not Selected-05 Jul 2025 (v1.0)</v>
      </c>
      <c r="B2" s="3" t="s">
        <v>130</v>
      </c>
      <c r="C2" s="3" t="s">
        <v>18</v>
      </c>
      <c r="D2" s="3" t="s">
        <v>131</v>
      </c>
      <c r="E2" s="3" t="s">
        <v>526</v>
      </c>
      <c r="F2" s="3" t="s">
        <v>561</v>
      </c>
      <c r="G2" s="2" t="str">
        <f>HYPERLINK("https://vtmf.veevavault.com/ui/#doc_info/29633570/1/0", "VTMF-23839523")</f>
        <v>VTMF-23839523</v>
      </c>
      <c r="H2" s="3"/>
      <c r="I2" s="3" t="s">
        <v>22</v>
      </c>
      <c r="J2" s="3" t="s">
        <v>130</v>
      </c>
      <c r="K2" s="4">
        <v>45864.014965277784</v>
      </c>
      <c r="L2" s="5">
        <v>45864</v>
      </c>
      <c r="M2" s="3" t="s">
        <v>23</v>
      </c>
      <c r="N2" s="3"/>
      <c r="O2" s="3" t="s">
        <v>81</v>
      </c>
      <c r="P2" s="3" t="s">
        <v>562</v>
      </c>
      <c r="Q2" s="3" t="s">
        <v>83</v>
      </c>
    </row>
    <row r="3" spans="1:17" x14ac:dyDescent="0.35">
      <c r="A3" s="2" t="str">
        <f>HYPERLINK("https://vtmf.veevavault.com/ui/#doc_info/29339863/1/0", "77242113UCO3001-CZE-DD5-CZ10025-Monitoring Visit Follow-up Letter-SQVR_FL-27 May 2025 (v1.0)")</f>
        <v>77242113UCO3001-CZE-DD5-CZ10025-Monitoring Visit Follow-up Letter-SQVR_FL-27 May 2025 (v1.0)</v>
      </c>
      <c r="B3" s="3" t="s">
        <v>38</v>
      </c>
      <c r="C3" s="3" t="s">
        <v>18</v>
      </c>
      <c r="D3" s="3" t="s">
        <v>18</v>
      </c>
      <c r="E3" s="3" t="s">
        <v>39</v>
      </c>
      <c r="F3" s="3"/>
      <c r="G3" s="2" t="str">
        <f>HYPERLINK("https://vtmf.veevavault.com/ui/#doc_info/29339863/1/0", "VTMF-23585382")</f>
        <v>VTMF-23585382</v>
      </c>
      <c r="H3" s="3"/>
      <c r="I3" s="3" t="s">
        <v>40</v>
      </c>
      <c r="J3" s="3" t="s">
        <v>38</v>
      </c>
      <c r="K3" s="4">
        <v>45820.353506944448</v>
      </c>
      <c r="L3" s="5">
        <v>45820</v>
      </c>
      <c r="M3" s="3" t="s">
        <v>23</v>
      </c>
      <c r="N3" s="3" t="s">
        <v>41</v>
      </c>
      <c r="O3" s="3" t="s">
        <v>25</v>
      </c>
      <c r="P3" s="3" t="s">
        <v>563</v>
      </c>
      <c r="Q3" s="3" t="s">
        <v>27</v>
      </c>
    </row>
    <row r="4" spans="1:17" x14ac:dyDescent="0.35">
      <c r="A4" s="2" t="str">
        <f>HYPERLINK("https://vtmf.veevavault.com/ui/#doc_info/29324812/1/0", "77242113UCO3001-CZE-DD5-CZ10025-Non-IP Shipment Documentation-23 May 2025 (v1.0)")</f>
        <v>77242113UCO3001-CZE-DD5-CZ10025-Non-IP Shipment Documentation-23 May 2025 (v1.0)</v>
      </c>
      <c r="B4" s="3" t="s">
        <v>17</v>
      </c>
      <c r="C4" s="3" t="s">
        <v>28</v>
      </c>
      <c r="D4" s="3" t="s">
        <v>29</v>
      </c>
      <c r="E4" s="3" t="s">
        <v>30</v>
      </c>
      <c r="F4" s="3" t="s">
        <v>559</v>
      </c>
      <c r="G4" s="2" t="str">
        <f>HYPERLINK("https://vtmf.veevavault.com/ui/#doc_info/29324812/1/0", "VTMF-23572994")</f>
        <v>VTMF-23572994</v>
      </c>
      <c r="H4" s="3"/>
      <c r="I4" s="3" t="s">
        <v>22</v>
      </c>
      <c r="J4" s="3" t="s">
        <v>17</v>
      </c>
      <c r="K4" s="4">
        <v>45818.608217592591</v>
      </c>
      <c r="L4" s="5">
        <v>45818</v>
      </c>
      <c r="M4" s="3" t="s">
        <v>23</v>
      </c>
      <c r="N4" s="3" t="s">
        <v>32</v>
      </c>
      <c r="O4" s="3" t="s">
        <v>81</v>
      </c>
      <c r="P4" s="3" t="s">
        <v>562</v>
      </c>
      <c r="Q4" s="3" t="s">
        <v>83</v>
      </c>
    </row>
    <row r="5" spans="1:17" x14ac:dyDescent="0.35">
      <c r="A5" s="2" t="str">
        <f>HYPERLINK("https://vtmf.veevavault.com/ui/#doc_info/29251614/1/0", "77242113UCO3001-CZE-DD5-CZ10025-Pre Trial Monitoring Report-27 May 2025 (v1.0)")</f>
        <v>77242113UCO3001-CZE-DD5-CZ10025-Pre Trial Monitoring Report-27 May 2025 (v1.0)</v>
      </c>
      <c r="B5" s="3" t="s">
        <v>38</v>
      </c>
      <c r="C5" s="3" t="s">
        <v>18</v>
      </c>
      <c r="D5" s="3" t="s">
        <v>131</v>
      </c>
      <c r="E5" s="3" t="s">
        <v>134</v>
      </c>
      <c r="F5" s="3"/>
      <c r="G5" s="2" t="str">
        <f>HYPERLINK("https://vtmf.veevavault.com/ui/#doc_info/29251614/1/0", "VTMF-23512230")</f>
        <v>VTMF-23512230</v>
      </c>
      <c r="H5" s="3"/>
      <c r="I5" s="3" t="s">
        <v>40</v>
      </c>
      <c r="J5" s="3" t="s">
        <v>38</v>
      </c>
      <c r="K5" s="4">
        <v>45811.439571759263</v>
      </c>
      <c r="L5" s="5">
        <v>45811</v>
      </c>
      <c r="M5" s="3" t="s">
        <v>23</v>
      </c>
      <c r="N5" s="3" t="s">
        <v>97</v>
      </c>
      <c r="O5" s="3" t="s">
        <v>25</v>
      </c>
      <c r="P5" s="3" t="s">
        <v>563</v>
      </c>
      <c r="Q5" s="3" t="s">
        <v>27</v>
      </c>
    </row>
    <row r="6" spans="1:17" x14ac:dyDescent="0.35">
      <c r="A6" s="2" t="str">
        <f>HYPERLINK("https://vtmf.veevavault.com/ui/#doc_info/29176312/1/0", "77242113UCO3001-CZE-DD5-CZ10025-Site Confirmation Letter-SQVR_CL-23 May 2025 (v1.0)")</f>
        <v>77242113UCO3001-CZE-DD5-CZ10025-Site Confirmation Letter-SQVR_CL-23 May 2025 (v1.0)</v>
      </c>
      <c r="B6" s="3" t="s">
        <v>38</v>
      </c>
      <c r="C6" s="3" t="s">
        <v>18</v>
      </c>
      <c r="D6" s="3" t="s">
        <v>18</v>
      </c>
      <c r="E6" s="3" t="s">
        <v>47</v>
      </c>
      <c r="F6" s="3"/>
      <c r="G6" s="2" t="str">
        <f>HYPERLINK("https://vtmf.veevavault.com/ui/#doc_info/29176312/1/0", "VTMF-23450204")</f>
        <v>VTMF-23450204</v>
      </c>
      <c r="H6" s="3"/>
      <c r="I6" s="3" t="s">
        <v>40</v>
      </c>
      <c r="J6" s="3" t="s">
        <v>38</v>
      </c>
      <c r="K6" s="4">
        <v>45799.393993055557</v>
      </c>
      <c r="L6" s="5">
        <v>45799</v>
      </c>
      <c r="M6" s="3" t="s">
        <v>23</v>
      </c>
      <c r="N6" s="3" t="s">
        <v>41</v>
      </c>
      <c r="O6" s="3" t="s">
        <v>25</v>
      </c>
      <c r="P6" s="3" t="s">
        <v>563</v>
      </c>
      <c r="Q6" s="3" t="s">
        <v>27</v>
      </c>
    </row>
  </sheetData>
  <autoFilter ref="A1:Q6" xr:uid="{00000000-0009-0000-0000-000016000000}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Q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HYPERLINK("https://vtmf.veevavault.com/ui/#doc_info/29633584/1/0", "77242113UCO3001-CZE-DD5-CZ10026-Sites Evaluated but not Selected-05 Jul 2025 (v1.0)")</f>
        <v>77242113UCO3001-CZE-DD5-CZ10026-Sites Evaluated but not Selected-05 Jul 2025 (v1.0)</v>
      </c>
      <c r="B2" s="3" t="s">
        <v>130</v>
      </c>
      <c r="C2" s="3" t="s">
        <v>18</v>
      </c>
      <c r="D2" s="3" t="s">
        <v>131</v>
      </c>
      <c r="E2" s="3" t="s">
        <v>526</v>
      </c>
      <c r="F2" s="3" t="s">
        <v>564</v>
      </c>
      <c r="G2" s="2" t="str">
        <f>HYPERLINK("https://vtmf.veevavault.com/ui/#doc_info/29633584/1/0", "VTMF-23839546")</f>
        <v>VTMF-23839546</v>
      </c>
      <c r="H2" s="3"/>
      <c r="I2" s="3" t="s">
        <v>22</v>
      </c>
      <c r="J2" s="3" t="s">
        <v>130</v>
      </c>
      <c r="K2" s="4">
        <v>45864.024259259262</v>
      </c>
      <c r="L2" s="5">
        <v>45864</v>
      </c>
      <c r="M2" s="3" t="s">
        <v>23</v>
      </c>
      <c r="N2" s="3"/>
      <c r="O2" s="3" t="s">
        <v>81</v>
      </c>
      <c r="P2" s="3" t="s">
        <v>565</v>
      </c>
      <c r="Q2" s="3" t="s">
        <v>83</v>
      </c>
    </row>
    <row r="3" spans="1:17" x14ac:dyDescent="0.35">
      <c r="A3" s="2" t="str">
        <f>HYPERLINK("https://vtmf.veevavault.com/ui/#doc_info/29264247/1/0", "77242113UCO3001-CZE-DD5-CZ10026-Pre Trial Monitoring Report-28 May 2025 (v1.0)")</f>
        <v>77242113UCO3001-CZE-DD5-CZ10026-Pre Trial Monitoring Report-28 May 2025 (v1.0)</v>
      </c>
      <c r="B3" s="3" t="s">
        <v>38</v>
      </c>
      <c r="C3" s="3" t="s">
        <v>18</v>
      </c>
      <c r="D3" s="3" t="s">
        <v>131</v>
      </c>
      <c r="E3" s="3" t="s">
        <v>134</v>
      </c>
      <c r="F3" s="3"/>
      <c r="G3" s="2" t="str">
        <f>HYPERLINK("https://vtmf.veevavault.com/ui/#doc_info/29264247/1/0", "VTMF-23521368")</f>
        <v>VTMF-23521368</v>
      </c>
      <c r="H3" s="3"/>
      <c r="I3" s="3" t="s">
        <v>40</v>
      </c>
      <c r="J3" s="3" t="s">
        <v>38</v>
      </c>
      <c r="K3" s="4">
        <v>45812.502071759263</v>
      </c>
      <c r="L3" s="5">
        <v>45812</v>
      </c>
      <c r="M3" s="3" t="s">
        <v>23</v>
      </c>
      <c r="N3" s="3" t="s">
        <v>97</v>
      </c>
      <c r="O3" s="3" t="s">
        <v>25</v>
      </c>
      <c r="P3" s="3" t="s">
        <v>566</v>
      </c>
      <c r="Q3" s="3" t="s">
        <v>27</v>
      </c>
    </row>
    <row r="4" spans="1:17" x14ac:dyDescent="0.35">
      <c r="A4" s="2" t="str">
        <f>HYPERLINK("https://vtmf.veevavault.com/ui/#doc_info/29257727/1/0", "77242113UCO3001-CZE-DD5-CZ10026-Monitoring Visit Follow-up Letter-SQVR_FL-28 May 2025 (v1.0)")</f>
        <v>77242113UCO3001-CZE-DD5-CZ10026-Monitoring Visit Follow-up Letter-SQVR_FL-28 May 2025 (v1.0)</v>
      </c>
      <c r="B4" s="3" t="s">
        <v>38</v>
      </c>
      <c r="C4" s="3" t="s">
        <v>18</v>
      </c>
      <c r="D4" s="3" t="s">
        <v>18</v>
      </c>
      <c r="E4" s="3" t="s">
        <v>39</v>
      </c>
      <c r="F4" s="3"/>
      <c r="G4" s="2" t="str">
        <f>HYPERLINK("https://vtmf.veevavault.com/ui/#doc_info/29257727/1/0", "VTMF-23515486")</f>
        <v>VTMF-23515486</v>
      </c>
      <c r="H4" s="3"/>
      <c r="I4" s="3" t="s">
        <v>40</v>
      </c>
      <c r="J4" s="3" t="s">
        <v>38</v>
      </c>
      <c r="K4" s="4">
        <v>45811.781724537039</v>
      </c>
      <c r="L4" s="5">
        <v>45811</v>
      </c>
      <c r="M4" s="3" t="s">
        <v>23</v>
      </c>
      <c r="N4" s="3" t="s">
        <v>41</v>
      </c>
      <c r="O4" s="3" t="s">
        <v>25</v>
      </c>
      <c r="P4" s="3" t="s">
        <v>566</v>
      </c>
      <c r="Q4" s="3" t="s">
        <v>27</v>
      </c>
    </row>
    <row r="5" spans="1:17" x14ac:dyDescent="0.35">
      <c r="A5" s="2" t="str">
        <f>HYPERLINK("https://vtmf.veevavault.com/ui/#doc_info/29254999/1/0", "77242113UCO3001-CZE-DD5-CZ10026-Site Confirmation Letter--28 May 2025 (v1.0)")</f>
        <v>77242113UCO3001-CZE-DD5-CZ10026-Site Confirmation Letter--28 May 2025 (v1.0)</v>
      </c>
      <c r="B5" s="3" t="s">
        <v>567</v>
      </c>
      <c r="C5" s="3" t="s">
        <v>18</v>
      </c>
      <c r="D5" s="3" t="s">
        <v>18</v>
      </c>
      <c r="E5" s="3" t="s">
        <v>47</v>
      </c>
      <c r="F5" s="3" t="s">
        <v>568</v>
      </c>
      <c r="G5" s="2" t="str">
        <f>HYPERLINK("https://vtmf.veevavault.com/ui/#doc_info/29254999/1/0", "VTMF-23514923")</f>
        <v>VTMF-23514923</v>
      </c>
      <c r="H5" s="3"/>
      <c r="I5" s="3" t="s">
        <v>22</v>
      </c>
      <c r="J5" s="3" t="s">
        <v>567</v>
      </c>
      <c r="K5" s="4">
        <v>45811.720243055563</v>
      </c>
      <c r="L5" s="5">
        <v>45811</v>
      </c>
      <c r="M5" s="3" t="s">
        <v>23</v>
      </c>
      <c r="N5" s="3" t="s">
        <v>41</v>
      </c>
      <c r="O5" s="3" t="s">
        <v>25</v>
      </c>
      <c r="P5" s="3" t="s">
        <v>566</v>
      </c>
      <c r="Q5" s="3" t="s">
        <v>27</v>
      </c>
    </row>
  </sheetData>
  <autoFilter ref="A1:Q5" xr:uid="{00000000-0009-0000-0000-000017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Q44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HYPERLINK("https://vtmf.veevavault.com/ui/#doc_info/31468613/1/0", "77242113UCO3001-CZE-DD5-CZ10006-Relevant Communications-13 Apr 2026 (v1.0)")</f>
        <v>77242113UCO3001-CZE-DD5-CZ10006-Relevant Communications-13 Apr 2026 (v1.0)</v>
      </c>
      <c r="B2" s="3" t="s">
        <v>176</v>
      </c>
      <c r="C2" s="3" t="s">
        <v>18</v>
      </c>
      <c r="D2" s="3" t="s">
        <v>19</v>
      </c>
      <c r="E2" s="3" t="s">
        <v>20</v>
      </c>
      <c r="F2" s="3" t="s">
        <v>177</v>
      </c>
      <c r="G2" s="2" t="str">
        <f>HYPERLINK("https://vtmf.veevavault.com/ui/#doc_info/31468613/1/0", "VTMF-25392322")</f>
        <v>VTMF-25392322</v>
      </c>
      <c r="H2" s="3"/>
      <c r="I2" s="3" t="s">
        <v>22</v>
      </c>
      <c r="J2" s="3" t="s">
        <v>176</v>
      </c>
      <c r="K2" s="4">
        <v>46128.653240740743</v>
      </c>
      <c r="L2" s="5">
        <v>46128</v>
      </c>
      <c r="M2" s="3" t="s">
        <v>23</v>
      </c>
      <c r="N2" s="3" t="s">
        <v>24</v>
      </c>
      <c r="O2" s="3" t="s">
        <v>25</v>
      </c>
      <c r="P2" s="3" t="s">
        <v>178</v>
      </c>
      <c r="Q2" s="3" t="s">
        <v>27</v>
      </c>
    </row>
    <row r="3" spans="1:17" x14ac:dyDescent="0.35">
      <c r="A3" s="2" t="str">
        <f>HYPERLINK("https://vtmf.veevavault.com/ui/#doc_info/31450957/1/0", "77242113UCO3001-CZE-DD5-CZ10006-Non-IP Shipment Documentation-14 Apr 2026 (v1.0)")</f>
        <v>77242113UCO3001-CZE-DD5-CZ10006-Non-IP Shipment Documentation-14 Apr 2026 (v1.0)</v>
      </c>
      <c r="B3" s="3" t="s">
        <v>17</v>
      </c>
      <c r="C3" s="3" t="s">
        <v>28</v>
      </c>
      <c r="D3" s="3" t="s">
        <v>29</v>
      </c>
      <c r="E3" s="3" t="s">
        <v>30</v>
      </c>
      <c r="F3" s="3" t="s">
        <v>179</v>
      </c>
      <c r="G3" s="2" t="str">
        <f>HYPERLINK("https://vtmf.veevavault.com/ui/#doc_info/31450957/1/0", "VTMF-25377746")</f>
        <v>VTMF-25377746</v>
      </c>
      <c r="H3" s="3"/>
      <c r="I3" s="3" t="s">
        <v>22</v>
      </c>
      <c r="J3" s="3" t="s">
        <v>17</v>
      </c>
      <c r="K3" s="4">
        <v>46126.619976851849</v>
      </c>
      <c r="L3" s="5">
        <v>46127</v>
      </c>
      <c r="M3" s="3" t="s">
        <v>23</v>
      </c>
      <c r="N3" s="3" t="s">
        <v>32</v>
      </c>
      <c r="O3" s="3" t="s">
        <v>25</v>
      </c>
      <c r="P3" s="3" t="s">
        <v>178</v>
      </c>
      <c r="Q3" s="3" t="s">
        <v>27</v>
      </c>
    </row>
    <row r="4" spans="1:17" x14ac:dyDescent="0.35">
      <c r="A4" s="2" t="str">
        <f>HYPERLINK("https://vtmf.veevavault.com/ui/#doc_info/31437716/1/0", "77242113UCO3001-CZE-DD5-CZ10006-Relevant Communications-10 Apr 2026 (v1.0)")</f>
        <v>77242113UCO3001-CZE-DD5-CZ10006-Relevant Communications-10 Apr 2026 (v1.0)</v>
      </c>
      <c r="B4" s="3" t="s">
        <v>176</v>
      </c>
      <c r="C4" s="3" t="s">
        <v>18</v>
      </c>
      <c r="D4" s="3" t="s">
        <v>19</v>
      </c>
      <c r="E4" s="3" t="s">
        <v>20</v>
      </c>
      <c r="F4" s="3" t="s">
        <v>180</v>
      </c>
      <c r="G4" s="2" t="str">
        <f>HYPERLINK("https://vtmf.veevavault.com/ui/#doc_info/31437716/1/0", "VTMF-25367094")</f>
        <v>VTMF-25367094</v>
      </c>
      <c r="H4" s="3"/>
      <c r="I4" s="3" t="s">
        <v>22</v>
      </c>
      <c r="J4" s="3" t="s">
        <v>176</v>
      </c>
      <c r="K4" s="4">
        <v>46125.328321759262</v>
      </c>
      <c r="L4" s="5">
        <v>46125</v>
      </c>
      <c r="M4" s="3" t="s">
        <v>23</v>
      </c>
      <c r="N4" s="3" t="s">
        <v>24</v>
      </c>
      <c r="O4" s="3" t="s">
        <v>25</v>
      </c>
      <c r="P4" s="3" t="s">
        <v>178</v>
      </c>
      <c r="Q4" s="3" t="s">
        <v>27</v>
      </c>
    </row>
    <row r="5" spans="1:17" x14ac:dyDescent="0.35">
      <c r="A5" s="2" t="str">
        <f>HYPERLINK("https://vtmf.veevavault.com/ui/#doc_info/31322464/1/0", "77242113UCO3001-CZE-DD5-CZ10006-Monitoring Visit Follow-up Letter-SMVR_FL-12 Mar 2026 (v1.0)")</f>
        <v>77242113UCO3001-CZE-DD5-CZ10006-Monitoring Visit Follow-up Letter-SMVR_FL-12 Mar 2026 (v1.0)</v>
      </c>
      <c r="B5" s="3" t="s">
        <v>38</v>
      </c>
      <c r="C5" s="3" t="s">
        <v>18</v>
      </c>
      <c r="D5" s="3" t="s">
        <v>18</v>
      </c>
      <c r="E5" s="3" t="s">
        <v>39</v>
      </c>
      <c r="F5" s="3"/>
      <c r="G5" s="2" t="str">
        <f>HYPERLINK("https://vtmf.veevavault.com/ui/#doc_info/31322464/1/0", "VTMF-25260108")</f>
        <v>VTMF-25260108</v>
      </c>
      <c r="H5" s="3"/>
      <c r="I5" s="3" t="s">
        <v>40</v>
      </c>
      <c r="J5" s="3" t="s">
        <v>38</v>
      </c>
      <c r="K5" s="4">
        <v>46113.734953703701</v>
      </c>
      <c r="L5" s="5">
        <v>46113</v>
      </c>
      <c r="M5" s="3" t="s">
        <v>23</v>
      </c>
      <c r="N5" s="3" t="s">
        <v>41</v>
      </c>
      <c r="O5" s="3" t="s">
        <v>25</v>
      </c>
      <c r="P5" s="3" t="s">
        <v>178</v>
      </c>
      <c r="Q5" s="3" t="s">
        <v>27</v>
      </c>
    </row>
    <row r="6" spans="1:17" x14ac:dyDescent="0.35">
      <c r="A6" s="2" t="str">
        <f>HYPERLINK("https://vtmf.veevavault.com/ui/#doc_info/31277580/1/0", "77242113UCO3001-CZE-DD5-CZ10006-Monitoring Visit Report-12 Mar 2026 (v1.0)")</f>
        <v>77242113UCO3001-CZE-DD5-CZ10006-Monitoring Visit Report-12 Mar 2026 (v1.0)</v>
      </c>
      <c r="B6" s="3" t="s">
        <v>38</v>
      </c>
      <c r="C6" s="3" t="s">
        <v>18</v>
      </c>
      <c r="D6" s="3" t="s">
        <v>18</v>
      </c>
      <c r="E6" s="3" t="s">
        <v>42</v>
      </c>
      <c r="F6" s="3"/>
      <c r="G6" s="2" t="str">
        <f>HYPERLINK("https://vtmf.veevavault.com/ui/#doc_info/31277580/1/0", "VTMF-25225048")</f>
        <v>VTMF-25225048</v>
      </c>
      <c r="H6" s="3"/>
      <c r="I6" s="3" t="s">
        <v>40</v>
      </c>
      <c r="J6" s="3" t="s">
        <v>38</v>
      </c>
      <c r="K6" s="4">
        <v>46107.480844907397</v>
      </c>
      <c r="L6" s="5">
        <v>46107</v>
      </c>
      <c r="M6" s="3" t="s">
        <v>23</v>
      </c>
      <c r="N6" s="3" t="s">
        <v>43</v>
      </c>
      <c r="O6" s="3" t="s">
        <v>25</v>
      </c>
      <c r="P6" s="3" t="s">
        <v>178</v>
      </c>
      <c r="Q6" s="3" t="s">
        <v>27</v>
      </c>
    </row>
    <row r="7" spans="1:17" x14ac:dyDescent="0.35">
      <c r="A7" s="2" t="str">
        <f>HYPERLINK("https://vtmf.veevavault.com/ui/#doc_info/31270806/1/0", "77242113UCO3001-CZE-DD5-CZ10006-Relevant Communications-25 Mar 2026 (v1.0)")</f>
        <v>77242113UCO3001-CZE-DD5-CZ10006-Relevant Communications-25 Mar 2026 (v1.0)</v>
      </c>
      <c r="B7" s="3" t="s">
        <v>35</v>
      </c>
      <c r="C7" s="3" t="s">
        <v>18</v>
      </c>
      <c r="D7" s="3" t="s">
        <v>19</v>
      </c>
      <c r="E7" s="3" t="s">
        <v>20</v>
      </c>
      <c r="F7" s="3" t="s">
        <v>181</v>
      </c>
      <c r="G7" s="2" t="str">
        <f>HYPERLINK("https://vtmf.veevavault.com/ui/#doc_info/31270806/1/0", "VTMF-25219104")</f>
        <v>VTMF-25219104</v>
      </c>
      <c r="H7" s="3"/>
      <c r="I7" s="3" t="s">
        <v>22</v>
      </c>
      <c r="J7" s="3" t="s">
        <v>35</v>
      </c>
      <c r="K7" s="4">
        <v>46106.644224537027</v>
      </c>
      <c r="L7" s="5">
        <v>46106</v>
      </c>
      <c r="M7" s="3" t="s">
        <v>23</v>
      </c>
      <c r="N7" s="3" t="s">
        <v>24</v>
      </c>
      <c r="O7" s="3" t="s">
        <v>25</v>
      </c>
      <c r="P7" s="3" t="s">
        <v>178</v>
      </c>
      <c r="Q7" s="3" t="s">
        <v>27</v>
      </c>
    </row>
    <row r="8" spans="1:17" x14ac:dyDescent="0.35">
      <c r="A8" s="2" t="str">
        <f>HYPERLINK("https://vtmf.veevavault.com/ui/#doc_info/31157063/1/0", "77242113UCO3001-CZE-DD5-CZ10006-Site Confirmation Letter-SMVR_CL-12 Mar 2026 (v1.0)")</f>
        <v>77242113UCO3001-CZE-DD5-CZ10006-Site Confirmation Letter-SMVR_CL-12 Mar 2026 (v1.0)</v>
      </c>
      <c r="B8" s="3" t="s">
        <v>38</v>
      </c>
      <c r="C8" s="3" t="s">
        <v>18</v>
      </c>
      <c r="D8" s="3" t="s">
        <v>18</v>
      </c>
      <c r="E8" s="3" t="s">
        <v>47</v>
      </c>
      <c r="F8" s="3"/>
      <c r="G8" s="2" t="str">
        <f>HYPERLINK("https://vtmf.veevavault.com/ui/#doc_info/31157063/1/0", "VTMF-25121832")</f>
        <v>VTMF-25121832</v>
      </c>
      <c r="H8" s="3"/>
      <c r="I8" s="3" t="s">
        <v>40</v>
      </c>
      <c r="J8" s="3" t="s">
        <v>38</v>
      </c>
      <c r="K8" s="4">
        <v>46092.396655092591</v>
      </c>
      <c r="L8" s="5">
        <v>46092</v>
      </c>
      <c r="M8" s="3" t="s">
        <v>23</v>
      </c>
      <c r="N8" s="3" t="s">
        <v>41</v>
      </c>
      <c r="O8" s="3" t="s">
        <v>25</v>
      </c>
      <c r="P8" s="3" t="s">
        <v>178</v>
      </c>
      <c r="Q8" s="3" t="s">
        <v>27</v>
      </c>
    </row>
    <row r="9" spans="1:17" x14ac:dyDescent="0.35">
      <c r="A9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9" s="3" t="s">
        <v>35</v>
      </c>
      <c r="C9" s="3" t="s">
        <v>18</v>
      </c>
      <c r="D9" s="3" t="s">
        <v>19</v>
      </c>
      <c r="E9" s="3" t="s">
        <v>20</v>
      </c>
      <c r="F9" s="3" t="s">
        <v>44</v>
      </c>
      <c r="G9" s="2" t="str">
        <f>HYPERLINK("https://vtmf.veevavault.com/ui/#doc_info/30957580/1/0", "VTMF-24952860")</f>
        <v>VTMF-24952860</v>
      </c>
      <c r="H9" s="3"/>
      <c r="I9" s="3" t="s">
        <v>35</v>
      </c>
      <c r="J9" s="3" t="s">
        <v>35</v>
      </c>
      <c r="K9" s="4">
        <v>46063.445960648147</v>
      </c>
      <c r="L9" s="5">
        <v>46063</v>
      </c>
      <c r="M9" s="3" t="s">
        <v>23</v>
      </c>
      <c r="N9" s="3" t="s">
        <v>24</v>
      </c>
      <c r="O9" s="3" t="s">
        <v>25</v>
      </c>
      <c r="P9" s="3" t="s">
        <v>45</v>
      </c>
      <c r="Q9" s="3" t="s">
        <v>27</v>
      </c>
    </row>
    <row r="10" spans="1:17" x14ac:dyDescent="0.35">
      <c r="A10" s="2" t="str">
        <f>HYPERLINK("https://vtmf.veevavault.com/ui/#doc_info/30889041/1/0", "77242113UCO3001-CZE-DD5-CZ10006-Monitoring Visit Follow-up Letter-SIVR_FL-12 Jan 2026 (v1.0)")</f>
        <v>77242113UCO3001-CZE-DD5-CZ10006-Monitoring Visit Follow-up Letter-SIVR_FL-12 Jan 2026 (v1.0)</v>
      </c>
      <c r="B10" s="3" t="s">
        <v>38</v>
      </c>
      <c r="C10" s="3" t="s">
        <v>18</v>
      </c>
      <c r="D10" s="3" t="s">
        <v>18</v>
      </c>
      <c r="E10" s="3" t="s">
        <v>39</v>
      </c>
      <c r="F10" s="3"/>
      <c r="G10" s="2" t="str">
        <f>HYPERLINK("https://vtmf.veevavault.com/ui/#doc_info/30889041/1/0", "VTMF-24895504")</f>
        <v>VTMF-24895504</v>
      </c>
      <c r="H10" s="3"/>
      <c r="I10" s="3" t="s">
        <v>40</v>
      </c>
      <c r="J10" s="3" t="s">
        <v>38</v>
      </c>
      <c r="K10" s="4">
        <v>46052.732372685183</v>
      </c>
      <c r="L10" s="5">
        <v>46052</v>
      </c>
      <c r="M10" s="3" t="s">
        <v>23</v>
      </c>
      <c r="N10" s="3" t="s">
        <v>41</v>
      </c>
      <c r="O10" s="3" t="s">
        <v>25</v>
      </c>
      <c r="P10" s="3" t="s">
        <v>178</v>
      </c>
      <c r="Q10" s="3" t="s">
        <v>27</v>
      </c>
    </row>
    <row r="11" spans="1:17" x14ac:dyDescent="0.35">
      <c r="A11" s="2" t="str">
        <f>HYPERLINK("https://vtmf.veevavault.com/ui/#doc_info/30885589/1/0", "77242113UCO3001-CZE-DD5-CZ10006-Trial Initiation Monitoring Report-12 Jan 2026 (v1.0)")</f>
        <v>77242113UCO3001-CZE-DD5-CZ10006-Trial Initiation Monitoring Report-12 Jan 2026 (v1.0)</v>
      </c>
      <c r="B11" s="3" t="s">
        <v>38</v>
      </c>
      <c r="C11" s="3" t="s">
        <v>18</v>
      </c>
      <c r="D11" s="3" t="s">
        <v>68</v>
      </c>
      <c r="E11" s="3" t="s">
        <v>90</v>
      </c>
      <c r="F11" s="3"/>
      <c r="G11" s="2" t="str">
        <f>HYPERLINK("https://vtmf.veevavault.com/ui/#doc_info/30885589/1/0", "VTMF-24892596")</f>
        <v>VTMF-24892596</v>
      </c>
      <c r="H11" s="3"/>
      <c r="I11" s="3" t="s">
        <v>40</v>
      </c>
      <c r="J11" s="3" t="s">
        <v>38</v>
      </c>
      <c r="K11" s="4">
        <v>46052.441678240742</v>
      </c>
      <c r="L11" s="5">
        <v>46052</v>
      </c>
      <c r="M11" s="3" t="s">
        <v>23</v>
      </c>
      <c r="N11" s="3" t="s">
        <v>91</v>
      </c>
      <c r="O11" s="3" t="s">
        <v>25</v>
      </c>
      <c r="P11" s="3" t="s">
        <v>178</v>
      </c>
      <c r="Q11" s="3" t="s">
        <v>27</v>
      </c>
    </row>
    <row r="12" spans="1:17" x14ac:dyDescent="0.35">
      <c r="A12" s="2" t="str">
        <f>HYPERLINK("https://vtmf.veevavault.com/ui/#doc_info/30865768/1/0", "77242113UCO3001-CZE-DD5-CZ10006-Recruitment Plan-09 Jan 2026 (v1.0)")</f>
        <v>77242113UCO3001-CZE-DD5-CZ10006-Recruitment Plan-09 Jan 2026 (v1.0)</v>
      </c>
      <c r="B12" s="3" t="s">
        <v>176</v>
      </c>
      <c r="C12" s="3" t="s">
        <v>48</v>
      </c>
      <c r="D12" s="3" t="s">
        <v>49</v>
      </c>
      <c r="E12" s="3" t="s">
        <v>50</v>
      </c>
      <c r="F12" s="3" t="s">
        <v>182</v>
      </c>
      <c r="G12" s="2" t="str">
        <f>HYPERLINK("https://vtmf.veevavault.com/ui/#doc_info/30865768/1/0", "VTMF-24875424")</f>
        <v>VTMF-24875424</v>
      </c>
      <c r="H12" s="3"/>
      <c r="I12" s="3" t="s">
        <v>22</v>
      </c>
      <c r="J12" s="3" t="s">
        <v>176</v>
      </c>
      <c r="K12" s="4">
        <v>46050.635763888888</v>
      </c>
      <c r="L12" s="5">
        <v>46050</v>
      </c>
      <c r="M12" s="3" t="s">
        <v>23</v>
      </c>
      <c r="N12" s="3" t="s">
        <v>52</v>
      </c>
      <c r="O12" s="3" t="s">
        <v>25</v>
      </c>
      <c r="P12" s="3" t="s">
        <v>178</v>
      </c>
      <c r="Q12" s="3" t="s">
        <v>27</v>
      </c>
    </row>
    <row r="13" spans="1:17" x14ac:dyDescent="0.35">
      <c r="A13" s="2" t="str">
        <f>HYPERLINK("https://vtmf.veevavault.com/ui/#doc_info/30841829/1/0", "77242113CRD3001-CZE-DD6-CZ10006-Electronic Source Data Compliance Assessment Questionnaire (ESDCAQ)- (v1.0)")</f>
        <v>77242113CRD3001-CZE-DD6-CZ10006-Electronic Source Data Compliance Assessment Questionnaire (ESDCAQ)- (v1.0)</v>
      </c>
      <c r="B13" s="3" t="s">
        <v>114</v>
      </c>
      <c r="C13" s="3" t="s">
        <v>18</v>
      </c>
      <c r="D13" s="3" t="s">
        <v>57</v>
      </c>
      <c r="E13" s="3" t="s">
        <v>115</v>
      </c>
      <c r="F13" s="3" t="s">
        <v>116</v>
      </c>
      <c r="G13" s="2" t="str">
        <f>HYPERLINK("https://vtmf.veevavault.com/ui/#doc_info/30841829/1/0", "VTMF-24855009")</f>
        <v>VTMF-24855009</v>
      </c>
      <c r="H13" s="3"/>
      <c r="I13" s="3" t="s">
        <v>176</v>
      </c>
      <c r="J13" s="3" t="s">
        <v>114</v>
      </c>
      <c r="K13" s="4">
        <v>46046.062465277777</v>
      </c>
      <c r="L13" s="5">
        <v>46045</v>
      </c>
      <c r="M13" s="3" t="s">
        <v>23</v>
      </c>
      <c r="N13" s="3" t="s">
        <v>118</v>
      </c>
      <c r="O13" s="3" t="s">
        <v>81</v>
      </c>
      <c r="P13" s="3" t="s">
        <v>183</v>
      </c>
      <c r="Q13" s="3" t="s">
        <v>83</v>
      </c>
    </row>
    <row r="14" spans="1:17" x14ac:dyDescent="0.35">
      <c r="A14" s="2" t="str">
        <f>HYPERLINK("https://vtmf.veevavault.com/ui/#doc_info/30799499/1/0", "77242113UCO3001-CZE-DD5-CZ10006-Maintenance Logs (Device)-10 Nov 2025 (v1.0)")</f>
        <v>77242113UCO3001-CZE-DD5-CZ10006-Maintenance Logs (Device)-10 Nov 2025 (v1.0)</v>
      </c>
      <c r="B14" s="3" t="s">
        <v>184</v>
      </c>
      <c r="C14" s="3" t="s">
        <v>28</v>
      </c>
      <c r="D14" s="3" t="s">
        <v>77</v>
      </c>
      <c r="E14" s="3" t="s">
        <v>109</v>
      </c>
      <c r="F14" s="3" t="s">
        <v>185</v>
      </c>
      <c r="G14" s="2" t="str">
        <f>HYPERLINK("https://vtmf.veevavault.com/ui/#doc_info/30799499/1/0", "VTMF-24819781")</f>
        <v>VTMF-24819781</v>
      </c>
      <c r="H14" s="3"/>
      <c r="I14" s="3" t="s">
        <v>22</v>
      </c>
      <c r="J14" s="3" t="s">
        <v>184</v>
      </c>
      <c r="K14" s="4">
        <v>46040.938854166663</v>
      </c>
      <c r="L14" s="5">
        <v>46041</v>
      </c>
      <c r="M14" s="3" t="s">
        <v>23</v>
      </c>
      <c r="N14" s="3" t="s">
        <v>111</v>
      </c>
      <c r="O14" s="3" t="s">
        <v>81</v>
      </c>
      <c r="P14" s="3" t="s">
        <v>183</v>
      </c>
      <c r="Q14" s="3" t="s">
        <v>83</v>
      </c>
    </row>
    <row r="15" spans="1:17" x14ac:dyDescent="0.35">
      <c r="A15" s="2" t="str">
        <f>HYPERLINK("https://vtmf.veevavault.com/ui/#doc_info/30799512/1/0", "77242113UCO3001-CZE-DD5-CZ10006-Relevant Communications-12 Jan 2025 (v1.0)")</f>
        <v>77242113UCO3001-CZE-DD5-CZ10006-Relevant Communications-12 Jan 2025 (v1.0)</v>
      </c>
      <c r="B15" s="3" t="s">
        <v>176</v>
      </c>
      <c r="C15" s="3" t="s">
        <v>18</v>
      </c>
      <c r="D15" s="3" t="s">
        <v>19</v>
      </c>
      <c r="E15" s="3" t="s">
        <v>20</v>
      </c>
      <c r="F15" s="3" t="s">
        <v>186</v>
      </c>
      <c r="G15" s="2" t="str">
        <f>HYPERLINK("https://vtmf.veevavault.com/ui/#doc_info/30799512/1/0", "VTMF-24819707")</f>
        <v>VTMF-24819707</v>
      </c>
      <c r="H15" s="3"/>
      <c r="I15" s="3" t="s">
        <v>22</v>
      </c>
      <c r="J15" s="3" t="s">
        <v>176</v>
      </c>
      <c r="K15" s="4">
        <v>46040.8278125</v>
      </c>
      <c r="L15" s="5">
        <v>46040</v>
      </c>
      <c r="M15" s="3" t="s">
        <v>23</v>
      </c>
      <c r="N15" s="3" t="s">
        <v>24</v>
      </c>
      <c r="O15" s="3" t="s">
        <v>25</v>
      </c>
      <c r="P15" s="3" t="s">
        <v>178</v>
      </c>
      <c r="Q15" s="3" t="s">
        <v>27</v>
      </c>
    </row>
    <row r="16" spans="1:17" x14ac:dyDescent="0.35">
      <c r="A16" s="2" t="str">
        <f>HYPERLINK("https://vtmf.veevavault.com/ui/#doc_info/30799483/1/0", "77242113UCO3001-CZE-DD5-CZ10006-Non-IP Shipment Documentation-04 Dec 2025 (v1.0)")</f>
        <v>77242113UCO3001-CZE-DD5-CZ10006-Non-IP Shipment Documentation-04 Dec 2025 (v1.0)</v>
      </c>
      <c r="B16" s="3" t="s">
        <v>184</v>
      </c>
      <c r="C16" s="3" t="s">
        <v>28</v>
      </c>
      <c r="D16" s="3" t="s">
        <v>29</v>
      </c>
      <c r="E16" s="3" t="s">
        <v>30</v>
      </c>
      <c r="F16" s="3" t="s">
        <v>187</v>
      </c>
      <c r="G16" s="2" t="str">
        <f>HYPERLINK("https://vtmf.veevavault.com/ui/#doc_info/30799483/1/0", "VTMF-24819721")</f>
        <v>VTMF-24819721</v>
      </c>
      <c r="H16" s="3"/>
      <c r="I16" s="3" t="s">
        <v>22</v>
      </c>
      <c r="J16" s="3" t="s">
        <v>184</v>
      </c>
      <c r="K16" s="4">
        <v>46040.874178240738</v>
      </c>
      <c r="L16" s="5">
        <v>46040</v>
      </c>
      <c r="M16" s="3" t="s">
        <v>23</v>
      </c>
      <c r="N16" s="3" t="s">
        <v>32</v>
      </c>
      <c r="O16" s="3" t="s">
        <v>81</v>
      </c>
      <c r="P16" s="3" t="s">
        <v>183</v>
      </c>
      <c r="Q16" s="3" t="s">
        <v>83</v>
      </c>
    </row>
    <row r="17" spans="1:17" x14ac:dyDescent="0.35">
      <c r="A17" s="2" t="str">
        <f>HYPERLINK("https://vtmf.veevavault.com/ui/#doc_info/30799543/1/0", "77242113UCO3001-CZE-DD5-CZ10006-Non-IP Shipment Documentation-04 Dec 2025 (v1.0)")</f>
        <v>77242113UCO3001-CZE-DD5-CZ10006-Non-IP Shipment Documentation-04 Dec 2025 (v1.0)</v>
      </c>
      <c r="B17" s="3" t="s">
        <v>184</v>
      </c>
      <c r="C17" s="3" t="s">
        <v>28</v>
      </c>
      <c r="D17" s="3" t="s">
        <v>29</v>
      </c>
      <c r="E17" s="3" t="s">
        <v>30</v>
      </c>
      <c r="F17" s="3" t="s">
        <v>188</v>
      </c>
      <c r="G17" s="2" t="str">
        <f>HYPERLINK("https://vtmf.veevavault.com/ui/#doc_info/30799543/1/0", "VTMF-24819751")</f>
        <v>VTMF-24819751</v>
      </c>
      <c r="H17" s="3"/>
      <c r="I17" s="3" t="s">
        <v>22</v>
      </c>
      <c r="J17" s="3" t="s">
        <v>184</v>
      </c>
      <c r="K17" s="4">
        <v>46040.915486111109</v>
      </c>
      <c r="L17" s="5">
        <v>46040</v>
      </c>
      <c r="M17" s="3" t="s">
        <v>23</v>
      </c>
      <c r="N17" s="3" t="s">
        <v>32</v>
      </c>
      <c r="O17" s="3" t="s">
        <v>81</v>
      </c>
      <c r="P17" s="3" t="s">
        <v>183</v>
      </c>
      <c r="Q17" s="3" t="s">
        <v>83</v>
      </c>
    </row>
    <row r="18" spans="1:17" x14ac:dyDescent="0.35">
      <c r="A18" s="2" t="str">
        <f>HYPERLINK("https://vtmf.veevavault.com/ui/#doc_info/30785265/1/0", "77242113UCO3001-CZE-DD5-CZ10006-Financial Disclosure Form-11 Jan 2026 (v1.0)")</f>
        <v>77242113UCO3001-CZE-DD5-CZ10006-Financial Disclosure Form-11 Jan 2026 (v1.0)</v>
      </c>
      <c r="B18" s="3" t="s">
        <v>176</v>
      </c>
      <c r="C18" s="3" t="s">
        <v>18</v>
      </c>
      <c r="D18" s="3" t="s">
        <v>57</v>
      </c>
      <c r="E18" s="3" t="s">
        <v>189</v>
      </c>
      <c r="F18" s="3" t="s">
        <v>190</v>
      </c>
      <c r="G18" s="2" t="str">
        <f>HYPERLINK("https://vtmf.veevavault.com/ui/#doc_info/30785265/1/0", "VTMF-24807821")</f>
        <v>VTMF-24807821</v>
      </c>
      <c r="H18" s="3"/>
      <c r="I18" s="3" t="s">
        <v>22</v>
      </c>
      <c r="J18" s="3" t="s">
        <v>176</v>
      </c>
      <c r="K18" s="4">
        <v>46037.58666666667</v>
      </c>
      <c r="L18" s="5">
        <v>46037</v>
      </c>
      <c r="M18" s="3" t="s">
        <v>23</v>
      </c>
      <c r="N18" s="3" t="s">
        <v>191</v>
      </c>
      <c r="O18" s="3" t="s">
        <v>25</v>
      </c>
      <c r="P18" s="3" t="s">
        <v>178</v>
      </c>
      <c r="Q18" s="3" t="s">
        <v>27</v>
      </c>
    </row>
    <row r="19" spans="1:17" x14ac:dyDescent="0.35">
      <c r="A19" s="2" t="str">
        <f>HYPERLINK("https://vtmf.veevavault.com/ui/#doc_info/30786767/1/0", "77242113UCO3001-CZE-DD5-CZ10006-Non-IP Shipment Documentation-16 Dec 2025 (v1.0)")</f>
        <v>77242113UCO3001-CZE-DD5-CZ10006-Non-IP Shipment Documentation-16 Dec 2025 (v1.0)</v>
      </c>
      <c r="B19" s="3" t="s">
        <v>176</v>
      </c>
      <c r="C19" s="3" t="s">
        <v>28</v>
      </c>
      <c r="D19" s="3" t="s">
        <v>29</v>
      </c>
      <c r="E19" s="3" t="s">
        <v>30</v>
      </c>
      <c r="F19" s="3" t="s">
        <v>192</v>
      </c>
      <c r="G19" s="2" t="str">
        <f>HYPERLINK("https://vtmf.veevavault.com/ui/#doc_info/30786767/1/0", "VTMF-24809121")</f>
        <v>VTMF-24809121</v>
      </c>
      <c r="H19" s="3"/>
      <c r="I19" s="3" t="s">
        <v>22</v>
      </c>
      <c r="J19" s="3" t="s">
        <v>176</v>
      </c>
      <c r="K19" s="4">
        <v>46037.714050925933</v>
      </c>
      <c r="L19" s="5">
        <v>46037</v>
      </c>
      <c r="M19" s="3" t="s">
        <v>23</v>
      </c>
      <c r="N19" s="3" t="s">
        <v>32</v>
      </c>
      <c r="O19" s="3" t="s">
        <v>25</v>
      </c>
      <c r="P19" s="3" t="s">
        <v>178</v>
      </c>
      <c r="Q19" s="3" t="s">
        <v>27</v>
      </c>
    </row>
    <row r="20" spans="1:17" x14ac:dyDescent="0.35">
      <c r="A20" s="2" t="str">
        <f>HYPERLINK("https://vtmf.veevavault.com/ui/#doc_info/30786777/1/0", "77242113UCO3001-CZE-DD5-CZ10006-Non-IP Shipment Documentation-16 Dec 2025 (v1.0)")</f>
        <v>77242113UCO3001-CZE-DD5-CZ10006-Non-IP Shipment Documentation-16 Dec 2025 (v1.0)</v>
      </c>
      <c r="B20" s="3" t="s">
        <v>176</v>
      </c>
      <c r="C20" s="3" t="s">
        <v>28</v>
      </c>
      <c r="D20" s="3" t="s">
        <v>29</v>
      </c>
      <c r="E20" s="3" t="s">
        <v>30</v>
      </c>
      <c r="F20" s="3" t="s">
        <v>193</v>
      </c>
      <c r="G20" s="2" t="str">
        <f>HYPERLINK("https://vtmf.veevavault.com/ui/#doc_info/30786777/1/0", "VTMF-24809149")</f>
        <v>VTMF-24809149</v>
      </c>
      <c r="H20" s="3"/>
      <c r="I20" s="3" t="s">
        <v>22</v>
      </c>
      <c r="J20" s="3" t="s">
        <v>176</v>
      </c>
      <c r="K20" s="4">
        <v>46037.716400462959</v>
      </c>
      <c r="L20" s="5">
        <v>46037</v>
      </c>
      <c r="M20" s="3" t="s">
        <v>23</v>
      </c>
      <c r="N20" s="3" t="s">
        <v>32</v>
      </c>
      <c r="O20" s="3" t="s">
        <v>25</v>
      </c>
      <c r="P20" s="3" t="s">
        <v>178</v>
      </c>
      <c r="Q20" s="3" t="s">
        <v>27</v>
      </c>
    </row>
    <row r="21" spans="1:17" x14ac:dyDescent="0.35">
      <c r="A21" s="2" t="str">
        <f>HYPERLINK("https://vtmf.veevavault.com/ui/#doc_info/30786784/1/0", "77242113UCO3001-CZE-DD5-CZ10006-Non-IP Shipment Documentation-16 Dec 2025 (v1.0)")</f>
        <v>77242113UCO3001-CZE-DD5-CZ10006-Non-IP Shipment Documentation-16 Dec 2025 (v1.0)</v>
      </c>
      <c r="B21" s="3" t="s">
        <v>176</v>
      </c>
      <c r="C21" s="3" t="s">
        <v>28</v>
      </c>
      <c r="D21" s="3" t="s">
        <v>29</v>
      </c>
      <c r="E21" s="3" t="s">
        <v>30</v>
      </c>
      <c r="F21" s="3" t="s">
        <v>194</v>
      </c>
      <c r="G21" s="2" t="str">
        <f>HYPERLINK("https://vtmf.veevavault.com/ui/#doc_info/30786784/1/0", "VTMF-24809163")</f>
        <v>VTMF-24809163</v>
      </c>
      <c r="H21" s="3"/>
      <c r="I21" s="3" t="s">
        <v>22</v>
      </c>
      <c r="J21" s="3" t="s">
        <v>176</v>
      </c>
      <c r="K21" s="4">
        <v>46037.71802083333</v>
      </c>
      <c r="L21" s="5">
        <v>46037</v>
      </c>
      <c r="M21" s="3" t="s">
        <v>23</v>
      </c>
      <c r="N21" s="3" t="s">
        <v>32</v>
      </c>
      <c r="O21" s="3" t="s">
        <v>25</v>
      </c>
      <c r="P21" s="3" t="s">
        <v>178</v>
      </c>
      <c r="Q21" s="3" t="s">
        <v>27</v>
      </c>
    </row>
    <row r="22" spans="1:17" x14ac:dyDescent="0.35">
      <c r="A22" s="2" t="str">
        <f>HYPERLINK("https://vtmf.veevavault.com/ui/#doc_info/30759717/1/0", "77242113UCO3001-CZE-DD5-CZ10006-IP Site Release Documentation-12 Jan 2026 (v1.0)")</f>
        <v>77242113UCO3001-CZE-DD5-CZ10006-IP Site Release Documentation-12 Jan 2026 (v1.0)</v>
      </c>
      <c r="B22" s="3" t="s">
        <v>94</v>
      </c>
      <c r="C22" s="3" t="s">
        <v>18</v>
      </c>
      <c r="D22" s="3" t="s">
        <v>57</v>
      </c>
      <c r="E22" s="3" t="s">
        <v>95</v>
      </c>
      <c r="F22" s="3" t="s">
        <v>195</v>
      </c>
      <c r="G22" s="2" t="str">
        <f>HYPERLINK("https://vtmf.veevavault.com/ui/#doc_info/30759717/1/0", "VTMF-24786340")</f>
        <v>VTMF-24786340</v>
      </c>
      <c r="H22" s="3"/>
      <c r="I22" s="3" t="s">
        <v>22</v>
      </c>
      <c r="J22" s="3" t="s">
        <v>94</v>
      </c>
      <c r="K22" s="4">
        <v>46034.524155092593</v>
      </c>
      <c r="L22" s="5">
        <v>46034</v>
      </c>
      <c r="M22" s="3" t="s">
        <v>23</v>
      </c>
      <c r="N22" s="3" t="s">
        <v>97</v>
      </c>
      <c r="O22" s="3" t="s">
        <v>25</v>
      </c>
      <c r="P22" s="3" t="s">
        <v>178</v>
      </c>
      <c r="Q22" s="3" t="s">
        <v>27</v>
      </c>
    </row>
    <row r="23" spans="1:17" x14ac:dyDescent="0.35">
      <c r="A23" s="2" t="str">
        <f>HYPERLINK("https://vtmf.veevavault.com/ui/#doc_info/30744032/1/0", "77242113UCO3001-CZE-DD5-CZ10006-Source Data-08 Jan 2026 (v1.0)")</f>
        <v>77242113UCO3001-CZE-DD5-CZ10006-Source Data-08 Jan 2026 (v1.0)</v>
      </c>
      <c r="B23" s="3" t="s">
        <v>107</v>
      </c>
      <c r="C23" s="3" t="s">
        <v>18</v>
      </c>
      <c r="D23" s="3" t="s">
        <v>18</v>
      </c>
      <c r="E23" s="3" t="s">
        <v>88</v>
      </c>
      <c r="F23" s="3" t="s">
        <v>108</v>
      </c>
      <c r="G23" s="2" t="str">
        <f>HYPERLINK("https://vtmf.veevavault.com/ui/#doc_info/30744032/1/0", "VTMF-24772628")</f>
        <v>VTMF-24772628</v>
      </c>
      <c r="H23" s="3"/>
      <c r="I23" s="3" t="s">
        <v>22</v>
      </c>
      <c r="J23" s="3" t="s">
        <v>107</v>
      </c>
      <c r="K23" s="4">
        <v>46030.943159722221</v>
      </c>
      <c r="L23" s="5">
        <v>46031</v>
      </c>
      <c r="M23" s="3" t="s">
        <v>23</v>
      </c>
      <c r="N23" s="3" t="s">
        <v>60</v>
      </c>
      <c r="O23" s="3" t="s">
        <v>25</v>
      </c>
      <c r="P23" s="3" t="s">
        <v>178</v>
      </c>
      <c r="Q23" s="3" t="s">
        <v>27</v>
      </c>
    </row>
    <row r="24" spans="1:17" x14ac:dyDescent="0.35">
      <c r="A24" s="2" t="str">
        <f>HYPERLINK("https://vtmf.veevavault.com/ui/#doc_info/29235017/1/0", "77242113UCO3001-CZE-DD5-CZ10006-Non-IP Shipment Documentation-27 May 2025 (v1.0)")</f>
        <v>77242113UCO3001-CZE-DD5-CZ10006-Non-IP Shipment Documentation-27 May 2025 (v1.0)</v>
      </c>
      <c r="B24" s="3" t="s">
        <v>17</v>
      </c>
      <c r="C24" s="3" t="s">
        <v>28</v>
      </c>
      <c r="D24" s="3" t="s">
        <v>29</v>
      </c>
      <c r="E24" s="3" t="s">
        <v>30</v>
      </c>
      <c r="F24" s="3" t="s">
        <v>196</v>
      </c>
      <c r="G24" s="2" t="str">
        <f>HYPERLINK("https://vtmf.veevavault.com/ui/#doc_info/29235017/1/0", "VTMF-23498338")</f>
        <v>VTMF-23498338</v>
      </c>
      <c r="H24" s="3"/>
      <c r="I24" s="3" t="s">
        <v>22</v>
      </c>
      <c r="J24" s="3" t="s">
        <v>17</v>
      </c>
      <c r="K24" s="4">
        <v>45807.60125</v>
      </c>
      <c r="L24" s="5">
        <v>46030</v>
      </c>
      <c r="M24" s="3" t="s">
        <v>23</v>
      </c>
      <c r="N24" s="3" t="s">
        <v>32</v>
      </c>
      <c r="O24" s="3" t="s">
        <v>81</v>
      </c>
      <c r="P24" s="3" t="s">
        <v>183</v>
      </c>
      <c r="Q24" s="3" t="s">
        <v>83</v>
      </c>
    </row>
    <row r="25" spans="1:17" x14ac:dyDescent="0.35">
      <c r="A25" s="2" t="str">
        <f>HYPERLINK("https://vtmf.veevavault.com/ui/#doc_info/30731206/1/0", "77242113UCO3001-CZE-DD5-CZ10006-Site Training Documentation-17 Dec 2025 (v1.0)")</f>
        <v>77242113UCO3001-CZE-DD5-CZ10006-Site Training Documentation-17 Dec 2025 (v1.0)</v>
      </c>
      <c r="B25" s="3" t="s">
        <v>176</v>
      </c>
      <c r="C25" s="3" t="s">
        <v>18</v>
      </c>
      <c r="D25" s="3" t="s">
        <v>68</v>
      </c>
      <c r="E25" s="3" t="s">
        <v>69</v>
      </c>
      <c r="F25" s="3" t="s">
        <v>197</v>
      </c>
      <c r="G25" s="2" t="str">
        <f>HYPERLINK("https://vtmf.veevavault.com/ui/#doc_info/30731206/1/0", "VTMF-24763458")</f>
        <v>VTMF-24763458</v>
      </c>
      <c r="H25" s="3"/>
      <c r="I25" s="3" t="s">
        <v>22</v>
      </c>
      <c r="J25" s="3" t="s">
        <v>176</v>
      </c>
      <c r="K25" s="4">
        <v>46029.602152777778</v>
      </c>
      <c r="L25" s="5">
        <v>46029</v>
      </c>
      <c r="M25" s="3" t="s">
        <v>23</v>
      </c>
      <c r="N25" s="3" t="s">
        <v>60</v>
      </c>
      <c r="O25" s="3" t="s">
        <v>81</v>
      </c>
      <c r="P25" s="3" t="s">
        <v>183</v>
      </c>
      <c r="Q25" s="3" t="s">
        <v>83</v>
      </c>
    </row>
    <row r="26" spans="1:17" x14ac:dyDescent="0.35">
      <c r="A26" s="2" t="str">
        <f>HYPERLINK("https://vtmf.veevavault.com/ui/#doc_info/30646431/1/0", "77242113UCO3001-CZE-DD5-CZ10006-Acceptance of Investigator Brochure-16 Dec 2025 (v1.0)")</f>
        <v>77242113UCO3001-CZE-DD5-CZ10006-Acceptance of Investigator Brochure-16 Dec 2025 (v1.0)</v>
      </c>
      <c r="B26" s="3" t="s">
        <v>176</v>
      </c>
      <c r="C26" s="3" t="s">
        <v>18</v>
      </c>
      <c r="D26" s="3" t="s">
        <v>57</v>
      </c>
      <c r="E26" s="3" t="s">
        <v>92</v>
      </c>
      <c r="F26" s="3" t="s">
        <v>198</v>
      </c>
      <c r="G26" s="2" t="str">
        <f>HYPERLINK("https://vtmf.veevavault.com/ui/#doc_info/30646431/1/0", "VTMF-24695012")</f>
        <v>VTMF-24695012</v>
      </c>
      <c r="H26" s="3"/>
      <c r="I26" s="3" t="s">
        <v>22</v>
      </c>
      <c r="J26" s="3" t="s">
        <v>176</v>
      </c>
      <c r="K26" s="4">
        <v>46010.40525462963</v>
      </c>
      <c r="L26" s="5">
        <v>46010</v>
      </c>
      <c r="M26" s="3" t="s">
        <v>23</v>
      </c>
      <c r="N26" s="3" t="s">
        <v>67</v>
      </c>
      <c r="O26" s="3" t="s">
        <v>25</v>
      </c>
      <c r="P26" s="3" t="s">
        <v>178</v>
      </c>
      <c r="Q26" s="3" t="s">
        <v>27</v>
      </c>
    </row>
    <row r="27" spans="1:17" x14ac:dyDescent="0.35">
      <c r="A27" s="2" t="str">
        <f>HYPERLINK("https://vtmf.veevavault.com/ui/#doc_info/30646913/1/0", "77242113UCO3001-CZE-DD5-CZ10006-Certification of Electronic Signature-16 Dec 2025 (v1.0)")</f>
        <v>77242113UCO3001-CZE-DD5-CZ10006-Certification of Electronic Signature-16 Dec 2025 (v1.0)</v>
      </c>
      <c r="B27" s="3" t="s">
        <v>176</v>
      </c>
      <c r="C27" s="3" t="s">
        <v>84</v>
      </c>
      <c r="D27" s="3" t="s">
        <v>85</v>
      </c>
      <c r="E27" s="3" t="s">
        <v>86</v>
      </c>
      <c r="F27" s="3" t="s">
        <v>199</v>
      </c>
      <c r="G27" s="2" t="str">
        <f>HYPERLINK("https://vtmf.veevavault.com/ui/#doc_info/30646913/1/0", "VTMF-24695379")</f>
        <v>VTMF-24695379</v>
      </c>
      <c r="H27" s="3"/>
      <c r="I27" s="3" t="s">
        <v>22</v>
      </c>
      <c r="J27" s="3" t="s">
        <v>176</v>
      </c>
      <c r="K27" s="4">
        <v>46010.444814814808</v>
      </c>
      <c r="L27" s="5">
        <v>46010</v>
      </c>
      <c r="M27" s="3" t="s">
        <v>23</v>
      </c>
      <c r="N27" s="3" t="s">
        <v>60</v>
      </c>
      <c r="O27" s="3" t="s">
        <v>25</v>
      </c>
      <c r="P27" s="3" t="s">
        <v>178</v>
      </c>
      <c r="Q27" s="3" t="s">
        <v>27</v>
      </c>
    </row>
    <row r="28" spans="1:17" x14ac:dyDescent="0.35">
      <c r="A28" s="2" t="str">
        <f>HYPERLINK("https://vtmf.veevavault.com/ui/#doc_info/30646967/1/0", "77242113UCO3001-CZE-DD5-CZ10006-Non-IP Shipment Documentation-16 Dec 2025 (v1.0)")</f>
        <v>77242113UCO3001-CZE-DD5-CZ10006-Non-IP Shipment Documentation-16 Dec 2025 (v1.0)</v>
      </c>
      <c r="B28" s="3" t="s">
        <v>176</v>
      </c>
      <c r="C28" s="3" t="s">
        <v>28</v>
      </c>
      <c r="D28" s="3" t="s">
        <v>29</v>
      </c>
      <c r="E28" s="3" t="s">
        <v>30</v>
      </c>
      <c r="F28" s="3" t="s">
        <v>200</v>
      </c>
      <c r="G28" s="2" t="str">
        <f>HYPERLINK("https://vtmf.veevavault.com/ui/#doc_info/30646967/1/0", "VTMF-24695471")</f>
        <v>VTMF-24695471</v>
      </c>
      <c r="H28" s="3"/>
      <c r="I28" s="3" t="s">
        <v>22</v>
      </c>
      <c r="J28" s="3" t="s">
        <v>176</v>
      </c>
      <c r="K28" s="4">
        <v>46010.455185185187</v>
      </c>
      <c r="L28" s="5">
        <v>46010</v>
      </c>
      <c r="M28" s="3" t="s">
        <v>23</v>
      </c>
      <c r="N28" s="3" t="s">
        <v>32</v>
      </c>
      <c r="O28" s="3" t="s">
        <v>25</v>
      </c>
      <c r="P28" s="3" t="s">
        <v>178</v>
      </c>
      <c r="Q28" s="3" t="s">
        <v>27</v>
      </c>
    </row>
    <row r="29" spans="1:17" x14ac:dyDescent="0.35">
      <c r="A29" s="2" t="str">
        <f>HYPERLINK("https://vtmf.veevavault.com/ui/#doc_info/30647210/1/0", "77242113UCO3001-CZE-DD5-CZ10006-Non-IP Shipment Documentation-16 Dec 2025 (v1.0)")</f>
        <v>77242113UCO3001-CZE-DD5-CZ10006-Non-IP Shipment Documentation-16 Dec 2025 (v1.0)</v>
      </c>
      <c r="B29" s="3" t="s">
        <v>176</v>
      </c>
      <c r="C29" s="3" t="s">
        <v>28</v>
      </c>
      <c r="D29" s="3" t="s">
        <v>29</v>
      </c>
      <c r="E29" s="3" t="s">
        <v>30</v>
      </c>
      <c r="F29" s="3" t="s">
        <v>192</v>
      </c>
      <c r="G29" s="2" t="str">
        <f>HYPERLINK("https://vtmf.veevavault.com/ui/#doc_info/30647210/1/0", "VTMF-24695549")</f>
        <v>VTMF-24695549</v>
      </c>
      <c r="H29" s="3"/>
      <c r="I29" s="3" t="s">
        <v>22</v>
      </c>
      <c r="J29" s="3" t="s">
        <v>176</v>
      </c>
      <c r="K29" s="4">
        <v>46010.463784722233</v>
      </c>
      <c r="L29" s="5">
        <v>46010</v>
      </c>
      <c r="M29" s="3" t="s">
        <v>23</v>
      </c>
      <c r="N29" s="3" t="s">
        <v>32</v>
      </c>
      <c r="O29" s="3" t="s">
        <v>25</v>
      </c>
      <c r="P29" s="3" t="s">
        <v>178</v>
      </c>
      <c r="Q29" s="3" t="s">
        <v>27</v>
      </c>
    </row>
    <row r="30" spans="1:17" x14ac:dyDescent="0.35">
      <c r="A30" s="2" t="str">
        <f>HYPERLINK("https://vtmf.veevavault.com/ui/#doc_info/30646271/1/0", "77242113UCO3001-CZE-DD5-CZ10006-Principal Investigator Financial Disclosure Form-16 Dec 2025 (v1.0)")</f>
        <v>77242113UCO3001-CZE-DD5-CZ10006-Principal Investigator Financial Disclosure Form-16 Dec 2025 (v1.0)</v>
      </c>
      <c r="B30" s="3" t="s">
        <v>176</v>
      </c>
      <c r="C30" s="3" t="s">
        <v>18</v>
      </c>
      <c r="D30" s="3" t="s">
        <v>57</v>
      </c>
      <c r="E30" s="3" t="s">
        <v>98</v>
      </c>
      <c r="F30" s="3" t="s">
        <v>201</v>
      </c>
      <c r="G30" s="2" t="str">
        <f>HYPERLINK("https://vtmf.veevavault.com/ui/#doc_info/30646271/1/0", "VTMF-24694900")</f>
        <v>VTMF-24694900</v>
      </c>
      <c r="H30" s="3"/>
      <c r="I30" s="3" t="s">
        <v>22</v>
      </c>
      <c r="J30" s="3" t="s">
        <v>176</v>
      </c>
      <c r="K30" s="4">
        <v>46010.393923611111</v>
      </c>
      <c r="L30" s="5">
        <v>46010</v>
      </c>
      <c r="M30" s="3" t="s">
        <v>23</v>
      </c>
      <c r="N30" s="3" t="s">
        <v>100</v>
      </c>
      <c r="O30" s="3" t="s">
        <v>25</v>
      </c>
      <c r="P30" s="3" t="s">
        <v>178</v>
      </c>
      <c r="Q30" s="3" t="s">
        <v>27</v>
      </c>
    </row>
    <row r="31" spans="1:17" x14ac:dyDescent="0.35">
      <c r="A31" s="2" t="str">
        <f>HYPERLINK("https://vtmf.veevavault.com/ui/#doc_info/30646154/1/0", "77242113UCO3001-CZE-DD5-CZ10006-Protocol Signature Page-16 Dec 2025 (v1.0)")</f>
        <v>77242113UCO3001-CZE-DD5-CZ10006-Protocol Signature Page-16 Dec 2025 (v1.0)</v>
      </c>
      <c r="B31" s="3" t="s">
        <v>176</v>
      </c>
      <c r="C31" s="3" t="s">
        <v>18</v>
      </c>
      <c r="D31" s="3" t="s">
        <v>57</v>
      </c>
      <c r="E31" s="3" t="s">
        <v>101</v>
      </c>
      <c r="F31" s="3" t="s">
        <v>202</v>
      </c>
      <c r="G31" s="2" t="str">
        <f>HYPERLINK("https://vtmf.veevavault.com/ui/#doc_info/30646154/1/0", "VTMF-24694849")</f>
        <v>VTMF-24694849</v>
      </c>
      <c r="H31" s="3"/>
      <c r="I31" s="3" t="s">
        <v>22</v>
      </c>
      <c r="J31" s="3" t="s">
        <v>176</v>
      </c>
      <c r="K31" s="4">
        <v>46010.389421296299</v>
      </c>
      <c r="L31" s="5">
        <v>46010</v>
      </c>
      <c r="M31" s="3" t="s">
        <v>23</v>
      </c>
      <c r="N31" s="3" t="s">
        <v>103</v>
      </c>
      <c r="O31" s="3" t="s">
        <v>25</v>
      </c>
      <c r="P31" s="3" t="s">
        <v>178</v>
      </c>
      <c r="Q31" s="3" t="s">
        <v>27</v>
      </c>
    </row>
    <row r="32" spans="1:17" x14ac:dyDescent="0.35">
      <c r="A32" s="2" t="str">
        <f>HYPERLINK("https://vtmf.veevavault.com/ui/#doc_info/30646669/1/0", "77242113UCO3001-CZE-DD5-CZ10006-Source Data-16 Dec 2025 (v1.0)")</f>
        <v>77242113UCO3001-CZE-DD5-CZ10006-Source Data-16 Dec 2025 (v1.0)</v>
      </c>
      <c r="B32" s="3" t="s">
        <v>176</v>
      </c>
      <c r="C32" s="3" t="s">
        <v>18</v>
      </c>
      <c r="D32" s="3" t="s">
        <v>18</v>
      </c>
      <c r="E32" s="3" t="s">
        <v>88</v>
      </c>
      <c r="F32" s="3" t="s">
        <v>203</v>
      </c>
      <c r="G32" s="2" t="str">
        <f>HYPERLINK("https://vtmf.veevavault.com/ui/#doc_info/30646669/1/0", "VTMF-24695312")</f>
        <v>VTMF-24695312</v>
      </c>
      <c r="H32" s="3"/>
      <c r="I32" s="3" t="s">
        <v>22</v>
      </c>
      <c r="J32" s="3" t="s">
        <v>176</v>
      </c>
      <c r="K32" s="4">
        <v>46010.439502314817</v>
      </c>
      <c r="L32" s="5">
        <v>46010</v>
      </c>
      <c r="M32" s="3" t="s">
        <v>23</v>
      </c>
      <c r="N32" s="3" t="s">
        <v>60</v>
      </c>
      <c r="O32" s="3" t="s">
        <v>25</v>
      </c>
      <c r="P32" s="3" t="s">
        <v>178</v>
      </c>
      <c r="Q32" s="3" t="s">
        <v>27</v>
      </c>
    </row>
    <row r="33" spans="1:17" x14ac:dyDescent="0.35">
      <c r="A33" s="2" t="str">
        <f>HYPERLINK("https://vtmf.veevavault.com/ui/#doc_info/30606805/1/0", "77242113UCO3001-CZE-DD5-CZ10006-Site Confirmation Letter-SIVR_CL-16 Dec 2025 (v1.0)")</f>
        <v>77242113UCO3001-CZE-DD5-CZ10006-Site Confirmation Letter-SIVR_CL-16 Dec 2025 (v1.0)</v>
      </c>
      <c r="B33" s="3" t="s">
        <v>38</v>
      </c>
      <c r="C33" s="3" t="s">
        <v>18</v>
      </c>
      <c r="D33" s="3" t="s">
        <v>18</v>
      </c>
      <c r="E33" s="3" t="s">
        <v>47</v>
      </c>
      <c r="F33" s="3"/>
      <c r="G33" s="2" t="str">
        <f>HYPERLINK("https://vtmf.veevavault.com/ui/#doc_info/30606805/1/0", "VTMF-24661682")</f>
        <v>VTMF-24661682</v>
      </c>
      <c r="H33" s="3"/>
      <c r="I33" s="3" t="s">
        <v>40</v>
      </c>
      <c r="J33" s="3" t="s">
        <v>38</v>
      </c>
      <c r="K33" s="4">
        <v>46006.690115740741</v>
      </c>
      <c r="L33" s="5">
        <v>46006</v>
      </c>
      <c r="M33" s="3" t="s">
        <v>23</v>
      </c>
      <c r="N33" s="3" t="s">
        <v>41</v>
      </c>
      <c r="O33" s="3" t="s">
        <v>25</v>
      </c>
      <c r="P33" s="3" t="s">
        <v>178</v>
      </c>
      <c r="Q33" s="3" t="s">
        <v>27</v>
      </c>
    </row>
    <row r="34" spans="1:17" x14ac:dyDescent="0.35">
      <c r="A34" s="2" t="str">
        <f>HYPERLINK("https://vtmf.veevavault.com/ui/#doc_info/30558815/1/0", "77242113UCO3001-CZE-DD5-CZ10006-Maintenance Logs (Device)-01 Dec 2025 (v1.0)")</f>
        <v>77242113UCO3001-CZE-DD5-CZ10006-Maintenance Logs (Device)-01 Dec 2025 (v1.0)</v>
      </c>
      <c r="B34" s="3" t="s">
        <v>184</v>
      </c>
      <c r="C34" s="3" t="s">
        <v>28</v>
      </c>
      <c r="D34" s="3" t="s">
        <v>77</v>
      </c>
      <c r="E34" s="3" t="s">
        <v>109</v>
      </c>
      <c r="F34" s="3" t="s">
        <v>204</v>
      </c>
      <c r="G34" s="2" t="str">
        <f>HYPERLINK("https://vtmf.veevavault.com/ui/#doc_info/30558815/1/0", "VTMF-24620677")</f>
        <v>VTMF-24620677</v>
      </c>
      <c r="H34" s="3"/>
      <c r="I34" s="3" t="s">
        <v>22</v>
      </c>
      <c r="J34" s="3" t="s">
        <v>184</v>
      </c>
      <c r="K34" s="4">
        <v>45999.748402777783</v>
      </c>
      <c r="L34" s="5">
        <v>45999</v>
      </c>
      <c r="M34" s="3" t="s">
        <v>23</v>
      </c>
      <c r="N34" s="3" t="s">
        <v>111</v>
      </c>
      <c r="O34" s="3" t="s">
        <v>81</v>
      </c>
      <c r="P34" s="3" t="s">
        <v>183</v>
      </c>
      <c r="Q34" s="3" t="s">
        <v>83</v>
      </c>
    </row>
    <row r="35" spans="1:17" x14ac:dyDescent="0.35">
      <c r="A35" s="2" t="str">
        <f>HYPERLINK("https://vtmf.veevavault.com/ui/#doc_info/30558911/1/0", "77242113UCO3001-CZE-DD5-CZ10006-Maintenance Logs (Device)-01 Dec 2025 (v1.0)")</f>
        <v>77242113UCO3001-CZE-DD5-CZ10006-Maintenance Logs (Device)-01 Dec 2025 (v1.0)</v>
      </c>
      <c r="B35" s="3" t="s">
        <v>184</v>
      </c>
      <c r="C35" s="3" t="s">
        <v>28</v>
      </c>
      <c r="D35" s="3" t="s">
        <v>77</v>
      </c>
      <c r="E35" s="3" t="s">
        <v>109</v>
      </c>
      <c r="F35" s="3" t="s">
        <v>205</v>
      </c>
      <c r="G35" s="2" t="str">
        <f>HYPERLINK("https://vtmf.veevavault.com/ui/#doc_info/30558911/1/0", "VTMF-24620742")</f>
        <v>VTMF-24620742</v>
      </c>
      <c r="H35" s="3"/>
      <c r="I35" s="3" t="s">
        <v>22</v>
      </c>
      <c r="J35" s="3" t="s">
        <v>184</v>
      </c>
      <c r="K35" s="4">
        <v>45999.757094907407</v>
      </c>
      <c r="L35" s="5">
        <v>45999</v>
      </c>
      <c r="M35" s="3" t="s">
        <v>23</v>
      </c>
      <c r="N35" s="3" t="s">
        <v>111</v>
      </c>
      <c r="O35" s="3" t="s">
        <v>81</v>
      </c>
      <c r="P35" s="3" t="s">
        <v>183</v>
      </c>
      <c r="Q35" s="3" t="s">
        <v>83</v>
      </c>
    </row>
    <row r="36" spans="1:17" x14ac:dyDescent="0.35">
      <c r="A36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36" s="3" t="s">
        <v>119</v>
      </c>
      <c r="C36" s="3" t="s">
        <v>48</v>
      </c>
      <c r="D36" s="3" t="s">
        <v>19</v>
      </c>
      <c r="E36" s="3" t="s">
        <v>20</v>
      </c>
      <c r="F36" s="3" t="s">
        <v>120</v>
      </c>
      <c r="G36" s="2" t="str">
        <f>HYPERLINK("https://vtmf.veevavault.com/ui/#doc_info/29980647/1/0", "VTMF-24136357")</f>
        <v>VTMF-24136357</v>
      </c>
      <c r="H36" s="3"/>
      <c r="I36" s="3" t="s">
        <v>22</v>
      </c>
      <c r="J36" s="3" t="s">
        <v>119</v>
      </c>
      <c r="K36" s="4">
        <v>45918.85465277778</v>
      </c>
      <c r="L36" s="5">
        <v>45919</v>
      </c>
      <c r="M36" s="3" t="s">
        <v>23</v>
      </c>
      <c r="N36" s="3" t="s">
        <v>121</v>
      </c>
      <c r="O36" s="3" t="s">
        <v>122</v>
      </c>
      <c r="P36" s="3" t="s">
        <v>123</v>
      </c>
      <c r="Q36" s="3" t="s">
        <v>27</v>
      </c>
    </row>
    <row r="37" spans="1:17" x14ac:dyDescent="0.35">
      <c r="A37" s="2" t="str">
        <f>HYPERLINK("https://vtmf.veevavault.com/ui/#doc_info/29737037/1/0", "77242113UCO3001-CZE-DD5-CZ10006-Site/Staff Qualification Supporting Information (v1.0)")</f>
        <v>77242113UCO3001-CZE-DD5-CZ10006-Site/Staff Qualification Supporting Information (v1.0)</v>
      </c>
      <c r="B37" s="3" t="s">
        <v>94</v>
      </c>
      <c r="C37" s="3" t="s">
        <v>18</v>
      </c>
      <c r="D37" s="3" t="s">
        <v>57</v>
      </c>
      <c r="E37" s="3" t="s">
        <v>124</v>
      </c>
      <c r="F37" s="3" t="s">
        <v>206</v>
      </c>
      <c r="G37" s="2" t="str">
        <f>HYPERLINK("https://vtmf.veevavault.com/ui/#doc_info/29737037/1/0", "VTMF-23927939")</f>
        <v>VTMF-23927939</v>
      </c>
      <c r="H37" s="3"/>
      <c r="I37" s="3" t="s">
        <v>126</v>
      </c>
      <c r="J37" s="3" t="s">
        <v>94</v>
      </c>
      <c r="K37" s="4">
        <v>45879.805798611109</v>
      </c>
      <c r="L37" s="5">
        <v>45879</v>
      </c>
      <c r="M37" s="3" t="s">
        <v>23</v>
      </c>
      <c r="N37" s="3" t="s">
        <v>60</v>
      </c>
      <c r="O37" s="3" t="s">
        <v>25</v>
      </c>
      <c r="P37" s="3" t="s">
        <v>178</v>
      </c>
      <c r="Q37" s="3" t="s">
        <v>27</v>
      </c>
    </row>
    <row r="38" spans="1:17" x14ac:dyDescent="0.35">
      <c r="A38" s="2" t="str">
        <f>HYPERLINK("https://vtmf.veevavault.com/ui/#doc_info/29735845/1/0", "77242113UCO3001-CZE-DD5-CZ10006-Principal Investigator Curriculum Vitae-16 Jun 2025 (v1.0)")</f>
        <v>77242113UCO3001-CZE-DD5-CZ10006-Principal Investigator Curriculum Vitae-16 Jun 2025 (v1.0)</v>
      </c>
      <c r="B38" s="3" t="s">
        <v>94</v>
      </c>
      <c r="C38" s="3" t="s">
        <v>18</v>
      </c>
      <c r="D38" s="3" t="s">
        <v>57</v>
      </c>
      <c r="E38" s="3" t="s">
        <v>65</v>
      </c>
      <c r="F38" s="3" t="s">
        <v>207</v>
      </c>
      <c r="G38" s="2" t="str">
        <f>HYPERLINK("https://vtmf.veevavault.com/ui/#doc_info/29735845/1/0", "VTMF-23926876")</f>
        <v>VTMF-23926876</v>
      </c>
      <c r="H38" s="3"/>
      <c r="I38" s="3" t="s">
        <v>126</v>
      </c>
      <c r="J38" s="3" t="s">
        <v>94</v>
      </c>
      <c r="K38" s="4">
        <v>45878.733194444438</v>
      </c>
      <c r="L38" s="5">
        <v>45878</v>
      </c>
      <c r="M38" s="3" t="s">
        <v>23</v>
      </c>
      <c r="N38" s="3" t="s">
        <v>67</v>
      </c>
      <c r="O38" s="3" t="s">
        <v>25</v>
      </c>
      <c r="P38" s="3" t="s">
        <v>178</v>
      </c>
      <c r="Q38" s="3" t="s">
        <v>27</v>
      </c>
    </row>
    <row r="39" spans="1:17" x14ac:dyDescent="0.35">
      <c r="A39" s="2" t="str">
        <f>HYPERLINK("https://vtmf.veevavault.com/ui/#doc_info/29735910/1/0", "77242113UCO3001-CZE-DD5-CZ10006-Principal Investigator Financial Disclosure Form-16 Jun 2025 (v1.0)")</f>
        <v>77242113UCO3001-CZE-DD5-CZ10006-Principal Investigator Financial Disclosure Form-16 Jun 2025 (v1.0)</v>
      </c>
      <c r="B39" s="3" t="s">
        <v>94</v>
      </c>
      <c r="C39" s="3" t="s">
        <v>18</v>
      </c>
      <c r="D39" s="3" t="s">
        <v>57</v>
      </c>
      <c r="E39" s="3" t="s">
        <v>98</v>
      </c>
      <c r="F39" s="3" t="s">
        <v>208</v>
      </c>
      <c r="G39" s="2" t="str">
        <f>HYPERLINK("https://vtmf.veevavault.com/ui/#doc_info/29735910/1/0", "VTMF-23926914")</f>
        <v>VTMF-23926914</v>
      </c>
      <c r="H39" s="3"/>
      <c r="I39" s="3" t="s">
        <v>126</v>
      </c>
      <c r="J39" s="3" t="s">
        <v>94</v>
      </c>
      <c r="K39" s="4">
        <v>45878.762673611112</v>
      </c>
      <c r="L39" s="5">
        <v>45878</v>
      </c>
      <c r="M39" s="3" t="s">
        <v>23</v>
      </c>
      <c r="N39" s="3" t="s">
        <v>100</v>
      </c>
      <c r="O39" s="3" t="s">
        <v>25</v>
      </c>
      <c r="P39" s="3" t="s">
        <v>178</v>
      </c>
      <c r="Q39" s="3" t="s">
        <v>27</v>
      </c>
    </row>
    <row r="40" spans="1:17" x14ac:dyDescent="0.35">
      <c r="A40" s="2" t="str">
        <f>HYPERLINK("https://vtmf.veevavault.com/ui/#doc_info/29699289/1/0", "77242113UCO3001-CZE-DD5-CZ10006-Site/Staff Qualification Supporting Information (v1.0)")</f>
        <v>77242113UCO3001-CZE-DD5-CZ10006-Site/Staff Qualification Supporting Information (v1.0)</v>
      </c>
      <c r="B40" s="3" t="s">
        <v>94</v>
      </c>
      <c r="C40" s="3" t="s">
        <v>18</v>
      </c>
      <c r="D40" s="3" t="s">
        <v>57</v>
      </c>
      <c r="E40" s="3" t="s">
        <v>124</v>
      </c>
      <c r="F40" s="3" t="s">
        <v>209</v>
      </c>
      <c r="G40" s="2" t="str">
        <f>HYPERLINK("https://vtmf.veevavault.com/ui/#doc_info/29699289/1/0", "VTMF-23895217")</f>
        <v>VTMF-23895217</v>
      </c>
      <c r="H40" s="3"/>
      <c r="I40" s="3" t="s">
        <v>22</v>
      </c>
      <c r="J40" s="3" t="s">
        <v>94</v>
      </c>
      <c r="K40" s="4">
        <v>45874.320104166669</v>
      </c>
      <c r="L40" s="5">
        <v>45874</v>
      </c>
      <c r="M40" s="3" t="s">
        <v>23</v>
      </c>
      <c r="N40" s="3" t="s">
        <v>60</v>
      </c>
      <c r="O40" s="3" t="s">
        <v>25</v>
      </c>
      <c r="P40" s="3" t="s">
        <v>178</v>
      </c>
      <c r="Q40" s="3" t="s">
        <v>27</v>
      </c>
    </row>
    <row r="41" spans="1:17" x14ac:dyDescent="0.35">
      <c r="A41" s="2" t="str">
        <f>HYPERLINK("https://vtmf.veevavault.com/ui/#doc_info/29352986/1/0", "77242113UCO3001-CZE-DD5-CZ10006-Feasibility Documentation-13 Jun 2025 (v1.0)")</f>
        <v>77242113UCO3001-CZE-DD5-CZ10006-Feasibility Documentation-13 Jun 2025 (v1.0)</v>
      </c>
      <c r="B41" s="3" t="s">
        <v>130</v>
      </c>
      <c r="C41" s="3" t="s">
        <v>18</v>
      </c>
      <c r="D41" s="3" t="s">
        <v>131</v>
      </c>
      <c r="E41" s="3" t="s">
        <v>132</v>
      </c>
      <c r="F41" s="3" t="s">
        <v>210</v>
      </c>
      <c r="G41" s="2" t="str">
        <f>HYPERLINK("https://vtmf.veevavault.com/ui/#doc_info/29352986/1/0", "VTMF-23596706")</f>
        <v>VTMF-23596706</v>
      </c>
      <c r="H41" s="3"/>
      <c r="I41" s="3" t="s">
        <v>22</v>
      </c>
      <c r="J41" s="3" t="s">
        <v>130</v>
      </c>
      <c r="K41" s="4">
        <v>45821.757847222223</v>
      </c>
      <c r="L41" s="5">
        <v>45821</v>
      </c>
      <c r="M41" s="3" t="s">
        <v>23</v>
      </c>
      <c r="N41" s="3" t="s">
        <v>60</v>
      </c>
      <c r="O41" s="3" t="s">
        <v>81</v>
      </c>
      <c r="P41" s="3" t="s">
        <v>183</v>
      </c>
      <c r="Q41" s="3" t="s">
        <v>83</v>
      </c>
    </row>
    <row r="42" spans="1:17" x14ac:dyDescent="0.35">
      <c r="A42" s="2" t="str">
        <f>HYPERLINK("https://vtmf.veevavault.com/ui/#doc_info/29252121/1/0", "77242113UCO3001-CZE-DD5-CZ10006-Monitoring Visit Follow-up Letter-SQVR_FL-27 May 2025 (v1.0)")</f>
        <v>77242113UCO3001-CZE-DD5-CZ10006-Monitoring Visit Follow-up Letter-SQVR_FL-27 May 2025 (v1.0)</v>
      </c>
      <c r="B42" s="3" t="s">
        <v>38</v>
      </c>
      <c r="C42" s="3" t="s">
        <v>18</v>
      </c>
      <c r="D42" s="3" t="s">
        <v>18</v>
      </c>
      <c r="E42" s="3" t="s">
        <v>39</v>
      </c>
      <c r="F42" s="3"/>
      <c r="G42" s="2" t="str">
        <f>HYPERLINK("https://vtmf.veevavault.com/ui/#doc_info/29252121/1/0", "VTMF-23512650")</f>
        <v>VTMF-23512650</v>
      </c>
      <c r="H42" s="3"/>
      <c r="I42" s="3" t="s">
        <v>40</v>
      </c>
      <c r="J42" s="3" t="s">
        <v>38</v>
      </c>
      <c r="K42" s="4">
        <v>45811.483819444453</v>
      </c>
      <c r="L42" s="5">
        <v>45811</v>
      </c>
      <c r="M42" s="3" t="s">
        <v>23</v>
      </c>
      <c r="N42" s="3" t="s">
        <v>41</v>
      </c>
      <c r="O42" s="3" t="s">
        <v>25</v>
      </c>
      <c r="P42" s="3" t="s">
        <v>178</v>
      </c>
      <c r="Q42" s="3" t="s">
        <v>27</v>
      </c>
    </row>
    <row r="43" spans="1:17" x14ac:dyDescent="0.35">
      <c r="A43" s="2" t="str">
        <f>HYPERLINK("https://vtmf.veevavault.com/ui/#doc_info/29249091/1/0", "77242113UCO3001-CZE-DD5-CZ10006-Pre Trial Monitoring Report-27 May 2025 (v1.0)")</f>
        <v>77242113UCO3001-CZE-DD5-CZ10006-Pre Trial Monitoring Report-27 May 2025 (v1.0)</v>
      </c>
      <c r="B43" s="3" t="s">
        <v>38</v>
      </c>
      <c r="C43" s="3" t="s">
        <v>18</v>
      </c>
      <c r="D43" s="3" t="s">
        <v>131</v>
      </c>
      <c r="E43" s="3" t="s">
        <v>134</v>
      </c>
      <c r="F43" s="3"/>
      <c r="G43" s="2" t="str">
        <f>HYPERLINK("https://vtmf.veevavault.com/ui/#doc_info/29249091/1/0", "VTMF-23510350")</f>
        <v>VTMF-23510350</v>
      </c>
      <c r="H43" s="3"/>
      <c r="I43" s="3" t="s">
        <v>40</v>
      </c>
      <c r="J43" s="3" t="s">
        <v>38</v>
      </c>
      <c r="K43" s="4">
        <v>45811.222372685188</v>
      </c>
      <c r="L43" s="5">
        <v>45810</v>
      </c>
      <c r="M43" s="3" t="s">
        <v>23</v>
      </c>
      <c r="N43" s="3" t="s">
        <v>97</v>
      </c>
      <c r="O43" s="3" t="s">
        <v>25</v>
      </c>
      <c r="P43" s="3" t="s">
        <v>178</v>
      </c>
      <c r="Q43" s="3" t="s">
        <v>27</v>
      </c>
    </row>
    <row r="44" spans="1:17" x14ac:dyDescent="0.35">
      <c r="A44" s="2" t="str">
        <f>HYPERLINK("https://vtmf.veevavault.com/ui/#doc_info/29178168/1/0", "77242113UCO3001-CZE-DD5-CZ10006-Site Confirmation Letter-SQVR_CL-27 May 2025 (v1.0)")</f>
        <v>77242113UCO3001-CZE-DD5-CZ10006-Site Confirmation Letter-SQVR_CL-27 May 2025 (v1.0)</v>
      </c>
      <c r="B44" s="3" t="s">
        <v>38</v>
      </c>
      <c r="C44" s="3" t="s">
        <v>18</v>
      </c>
      <c r="D44" s="3" t="s">
        <v>18</v>
      </c>
      <c r="E44" s="3" t="s">
        <v>47</v>
      </c>
      <c r="F44" s="3"/>
      <c r="G44" s="2" t="str">
        <f>HYPERLINK("https://vtmf.veevavault.com/ui/#doc_info/29178168/1/0", "VTMF-23451960")</f>
        <v>VTMF-23451960</v>
      </c>
      <c r="H44" s="3"/>
      <c r="I44" s="3" t="s">
        <v>40</v>
      </c>
      <c r="J44" s="3" t="s">
        <v>38</v>
      </c>
      <c r="K44" s="4">
        <v>45799.479305555556</v>
      </c>
      <c r="L44" s="5">
        <v>45799</v>
      </c>
      <c r="M44" s="3" t="s">
        <v>23</v>
      </c>
      <c r="N44" s="3" t="s">
        <v>41</v>
      </c>
      <c r="O44" s="3" t="s">
        <v>25</v>
      </c>
      <c r="P44" s="3" t="s">
        <v>178</v>
      </c>
      <c r="Q44" s="3" t="s">
        <v>27</v>
      </c>
    </row>
  </sheetData>
  <autoFilter ref="A1:Q44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32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HYPERLINK("https://vtmf.veevavault.com/ui/#doc_info/31489454/1/0", "77242113UCO3001-CZE-DD5-CZ10009-Non-IP Shipment Documentation-31 Mar 2026 (v1.0)")</f>
        <v>77242113UCO3001-CZE-DD5-CZ10009-Non-IP Shipment Documentation-31 Mar 2026 (v1.0)</v>
      </c>
      <c r="B2" s="3" t="s">
        <v>17</v>
      </c>
      <c r="C2" s="3" t="s">
        <v>28</v>
      </c>
      <c r="D2" s="3" t="s">
        <v>29</v>
      </c>
      <c r="E2" s="3" t="s">
        <v>30</v>
      </c>
      <c r="F2" s="3" t="s">
        <v>211</v>
      </c>
      <c r="G2" s="2" t="str">
        <f>HYPERLINK("https://vtmf.veevavault.com/ui/#doc_info/31489454/1/0", "VTMF-25410247")</f>
        <v>VTMF-25410247</v>
      </c>
      <c r="H2" s="3"/>
      <c r="I2" s="3" t="s">
        <v>22</v>
      </c>
      <c r="J2" s="3" t="s">
        <v>17</v>
      </c>
      <c r="K2" s="4">
        <v>46132.553912037038</v>
      </c>
      <c r="L2" s="5">
        <v>46132</v>
      </c>
      <c r="M2" s="3" t="s">
        <v>23</v>
      </c>
      <c r="N2" s="3" t="s">
        <v>32</v>
      </c>
      <c r="O2" s="3" t="s">
        <v>25</v>
      </c>
      <c r="P2" s="3" t="s">
        <v>212</v>
      </c>
      <c r="Q2" s="3" t="s">
        <v>27</v>
      </c>
    </row>
    <row r="3" spans="1:17" x14ac:dyDescent="0.35">
      <c r="A3" s="2" t="str">
        <f>HYPERLINK("https://vtmf.veevavault.com/ui/#doc_info/31289354/1/0", "77242113UCO3001-CZE-DD5-CZ10009-Non-IP Shipment Documentation-27 Feb 2026 (v1.0)")</f>
        <v>77242113UCO3001-CZE-DD5-CZ10009-Non-IP Shipment Documentation-27 Feb 2026 (v1.0)</v>
      </c>
      <c r="B3" s="3" t="s">
        <v>17</v>
      </c>
      <c r="C3" s="3" t="s">
        <v>28</v>
      </c>
      <c r="D3" s="3" t="s">
        <v>29</v>
      </c>
      <c r="E3" s="3" t="s">
        <v>30</v>
      </c>
      <c r="F3" s="3" t="s">
        <v>33</v>
      </c>
      <c r="G3" s="2" t="str">
        <f>HYPERLINK("https://vtmf.veevavault.com/ui/#doc_info/31289354/1/0", "VTMF-25234829")</f>
        <v>VTMF-25234829</v>
      </c>
      <c r="H3" s="3"/>
      <c r="I3" s="3" t="s">
        <v>22</v>
      </c>
      <c r="J3" s="3" t="s">
        <v>17</v>
      </c>
      <c r="K3" s="4">
        <v>46108.647928240738</v>
      </c>
      <c r="L3" s="5">
        <v>46125</v>
      </c>
      <c r="M3" s="3" t="s">
        <v>23</v>
      </c>
      <c r="N3" s="3" t="s">
        <v>32</v>
      </c>
      <c r="O3" s="3" t="s">
        <v>25</v>
      </c>
      <c r="P3" s="3" t="s">
        <v>212</v>
      </c>
      <c r="Q3" s="3" t="s">
        <v>27</v>
      </c>
    </row>
    <row r="4" spans="1:17" x14ac:dyDescent="0.35">
      <c r="A4" s="2" t="str">
        <f>HYPERLINK("https://vtmf.veevavault.com/ui/#doc_info/31289355/1/0", "77242113UCO3001-CZE-DD5-CZ10009-Non-IP Shipment Documentation-27 Feb 2026 (v1.0)")</f>
        <v>77242113UCO3001-CZE-DD5-CZ10009-Non-IP Shipment Documentation-27 Feb 2026 (v1.0)</v>
      </c>
      <c r="B4" s="3" t="s">
        <v>17</v>
      </c>
      <c r="C4" s="3" t="s">
        <v>28</v>
      </c>
      <c r="D4" s="3" t="s">
        <v>29</v>
      </c>
      <c r="E4" s="3" t="s">
        <v>30</v>
      </c>
      <c r="F4" s="3" t="s">
        <v>213</v>
      </c>
      <c r="G4" s="2" t="str">
        <f>HYPERLINK("https://vtmf.veevavault.com/ui/#doc_info/31289355/1/0", "VTMF-25234830")</f>
        <v>VTMF-25234830</v>
      </c>
      <c r="H4" s="3"/>
      <c r="I4" s="3" t="s">
        <v>22</v>
      </c>
      <c r="J4" s="3" t="s">
        <v>17</v>
      </c>
      <c r="K4" s="4">
        <v>46108.647928240738</v>
      </c>
      <c r="L4" s="5">
        <v>46125</v>
      </c>
      <c r="M4" s="3" t="s">
        <v>23</v>
      </c>
      <c r="N4" s="3" t="s">
        <v>32</v>
      </c>
      <c r="O4" s="3" t="s">
        <v>25</v>
      </c>
      <c r="P4" s="3" t="s">
        <v>212</v>
      </c>
      <c r="Q4" s="3" t="s">
        <v>27</v>
      </c>
    </row>
    <row r="5" spans="1:17" x14ac:dyDescent="0.35">
      <c r="A5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5" s="3" t="s">
        <v>35</v>
      </c>
      <c r="C5" s="3" t="s">
        <v>18</v>
      </c>
      <c r="D5" s="3" t="s">
        <v>19</v>
      </c>
      <c r="E5" s="3" t="s">
        <v>20</v>
      </c>
      <c r="F5" s="3" t="s">
        <v>44</v>
      </c>
      <c r="G5" s="2" t="str">
        <f>HYPERLINK("https://vtmf.veevavault.com/ui/#doc_info/30957580/1/0", "VTMF-24952860")</f>
        <v>VTMF-24952860</v>
      </c>
      <c r="H5" s="3"/>
      <c r="I5" s="3" t="s">
        <v>35</v>
      </c>
      <c r="J5" s="3" t="s">
        <v>35</v>
      </c>
      <c r="K5" s="4">
        <v>46063.445960648147</v>
      </c>
      <c r="L5" s="5">
        <v>46063</v>
      </c>
      <c r="M5" s="3" t="s">
        <v>23</v>
      </c>
      <c r="N5" s="3" t="s">
        <v>24</v>
      </c>
      <c r="O5" s="3" t="s">
        <v>25</v>
      </c>
      <c r="P5" s="3" t="s">
        <v>45</v>
      </c>
      <c r="Q5" s="3" t="s">
        <v>27</v>
      </c>
    </row>
    <row r="6" spans="1:17" x14ac:dyDescent="0.35">
      <c r="A6" s="2" t="str">
        <f>HYPERLINK("https://vtmf.veevavault.com/ui/#doc_info/30819327/1/0", "77242113UCO3001-CZE-DD5-CZ10009-Recruitment Plan-09 Dec 2025 (v1.0)")</f>
        <v>77242113UCO3001-CZE-DD5-CZ10009-Recruitment Plan-09 Dec 2025 (v1.0)</v>
      </c>
      <c r="B6" s="3" t="s">
        <v>214</v>
      </c>
      <c r="C6" s="3" t="s">
        <v>48</v>
      </c>
      <c r="D6" s="3" t="s">
        <v>49</v>
      </c>
      <c r="E6" s="3" t="s">
        <v>50</v>
      </c>
      <c r="F6" s="3" t="s">
        <v>215</v>
      </c>
      <c r="G6" s="2" t="str">
        <f>HYPERLINK("https://vtmf.veevavault.com/ui/#doc_info/30819327/1/0", "VTMF-24836010")</f>
        <v>VTMF-24836010</v>
      </c>
      <c r="H6" s="3"/>
      <c r="I6" s="3" t="s">
        <v>22</v>
      </c>
      <c r="J6" s="3" t="s">
        <v>214</v>
      </c>
      <c r="K6" s="4">
        <v>46043.610625000001</v>
      </c>
      <c r="L6" s="5">
        <v>46043</v>
      </c>
      <c r="M6" s="3" t="s">
        <v>23</v>
      </c>
      <c r="N6" s="3" t="s">
        <v>52</v>
      </c>
      <c r="O6" s="3" t="s">
        <v>25</v>
      </c>
      <c r="P6" s="3" t="s">
        <v>212</v>
      </c>
      <c r="Q6" s="3" t="s">
        <v>27</v>
      </c>
    </row>
    <row r="7" spans="1:17" x14ac:dyDescent="0.35">
      <c r="A7" s="2" t="str">
        <f>HYPERLINK("https://vtmf.veevavault.com/ui/#doc_info/30739223/1/0", "77242113UCO3001-CZE-DD5-CZ10009-Non-IP Shipment Documentation-03 Dec 2025 (v1.0)")</f>
        <v>77242113UCO3001-CZE-DD5-CZ10009-Non-IP Shipment Documentation-03 Dec 2025 (v1.0)</v>
      </c>
      <c r="B7" s="3" t="s">
        <v>216</v>
      </c>
      <c r="C7" s="3" t="s">
        <v>28</v>
      </c>
      <c r="D7" s="3" t="s">
        <v>29</v>
      </c>
      <c r="E7" s="3" t="s">
        <v>30</v>
      </c>
      <c r="F7" s="3" t="s">
        <v>217</v>
      </c>
      <c r="G7" s="2" t="str">
        <f>HYPERLINK("https://vtmf.veevavault.com/ui/#doc_info/30739223/1/0", "VTMF-24768821")</f>
        <v>VTMF-24768821</v>
      </c>
      <c r="H7" s="3"/>
      <c r="I7" s="3" t="s">
        <v>22</v>
      </c>
      <c r="J7" s="3" t="s">
        <v>216</v>
      </c>
      <c r="K7" s="4">
        <v>46030.443078703713</v>
      </c>
      <c r="L7" s="5">
        <v>46030</v>
      </c>
      <c r="M7" s="3" t="s">
        <v>23</v>
      </c>
      <c r="N7" s="3" t="s">
        <v>32</v>
      </c>
      <c r="O7" s="3" t="s">
        <v>25</v>
      </c>
      <c r="P7" s="3" t="s">
        <v>212</v>
      </c>
      <c r="Q7" s="3" t="s">
        <v>27</v>
      </c>
    </row>
    <row r="8" spans="1:17" x14ac:dyDescent="0.35">
      <c r="A8" s="2" t="str">
        <f>HYPERLINK("https://vtmf.veevavault.com/ui/#doc_info/30739224/1/0", "77242113UCO3001-CZE-DD5-CZ10009-Non-IP Shipment Documentation-03 Dec 2025 (v1.0)")</f>
        <v>77242113UCO3001-CZE-DD5-CZ10009-Non-IP Shipment Documentation-03 Dec 2025 (v1.0)</v>
      </c>
      <c r="B8" s="3" t="s">
        <v>216</v>
      </c>
      <c r="C8" s="3" t="s">
        <v>28</v>
      </c>
      <c r="D8" s="3" t="s">
        <v>29</v>
      </c>
      <c r="E8" s="3" t="s">
        <v>30</v>
      </c>
      <c r="F8" s="3" t="s">
        <v>218</v>
      </c>
      <c r="G8" s="2" t="str">
        <f>HYPERLINK("https://vtmf.veevavault.com/ui/#doc_info/30739224/1/0", "VTMF-24768822")</f>
        <v>VTMF-24768822</v>
      </c>
      <c r="H8" s="3"/>
      <c r="I8" s="3" t="s">
        <v>22</v>
      </c>
      <c r="J8" s="3" t="s">
        <v>216</v>
      </c>
      <c r="K8" s="4">
        <v>46030.443078703713</v>
      </c>
      <c r="L8" s="5">
        <v>46030</v>
      </c>
      <c r="M8" s="3" t="s">
        <v>23</v>
      </c>
      <c r="N8" s="3" t="s">
        <v>32</v>
      </c>
      <c r="O8" s="3" t="s">
        <v>25</v>
      </c>
      <c r="P8" s="3" t="s">
        <v>212</v>
      </c>
      <c r="Q8" s="3" t="s">
        <v>27</v>
      </c>
    </row>
    <row r="9" spans="1:17" x14ac:dyDescent="0.35">
      <c r="A9" s="2" t="str">
        <f>HYPERLINK("https://vtmf.veevavault.com/ui/#doc_info/30739225/1/0", "77242113UCO3001-CZE-DD5-CZ10009-Non-IP Shipment Documentation-03 Dec 2025 (v1.0)")</f>
        <v>77242113UCO3001-CZE-DD5-CZ10009-Non-IP Shipment Documentation-03 Dec 2025 (v1.0)</v>
      </c>
      <c r="B9" s="3" t="s">
        <v>216</v>
      </c>
      <c r="C9" s="3" t="s">
        <v>28</v>
      </c>
      <c r="D9" s="3" t="s">
        <v>29</v>
      </c>
      <c r="E9" s="3" t="s">
        <v>30</v>
      </c>
      <c r="F9" s="3" t="s">
        <v>219</v>
      </c>
      <c r="G9" s="2" t="str">
        <f>HYPERLINK("https://vtmf.veevavault.com/ui/#doc_info/30739225/1/0", "VTMF-24768823")</f>
        <v>VTMF-24768823</v>
      </c>
      <c r="H9" s="3"/>
      <c r="I9" s="3" t="s">
        <v>22</v>
      </c>
      <c r="J9" s="3" t="s">
        <v>216</v>
      </c>
      <c r="K9" s="4">
        <v>46030.443078703713</v>
      </c>
      <c r="L9" s="5">
        <v>46030</v>
      </c>
      <c r="M9" s="3" t="s">
        <v>23</v>
      </c>
      <c r="N9" s="3" t="s">
        <v>32</v>
      </c>
      <c r="O9" s="3" t="s">
        <v>25</v>
      </c>
      <c r="P9" s="3" t="s">
        <v>212</v>
      </c>
      <c r="Q9" s="3" t="s">
        <v>27</v>
      </c>
    </row>
    <row r="10" spans="1:17" x14ac:dyDescent="0.35">
      <c r="A10" s="2" t="str">
        <f>HYPERLINK("https://vtmf.veevavault.com/ui/#doc_info/30739226/1/0", "77242113UCO3001-CZE-DD5-CZ10009-Non-IP Shipment Documentation-03 Dec 2025 (v1.0)")</f>
        <v>77242113UCO3001-CZE-DD5-CZ10009-Non-IP Shipment Documentation-03 Dec 2025 (v1.0)</v>
      </c>
      <c r="B10" s="3" t="s">
        <v>216</v>
      </c>
      <c r="C10" s="3" t="s">
        <v>28</v>
      </c>
      <c r="D10" s="3" t="s">
        <v>29</v>
      </c>
      <c r="E10" s="3" t="s">
        <v>30</v>
      </c>
      <c r="F10" s="3" t="s">
        <v>220</v>
      </c>
      <c r="G10" s="2" t="str">
        <f>HYPERLINK("https://vtmf.veevavault.com/ui/#doc_info/30739226/1/0", "VTMF-24768824")</f>
        <v>VTMF-24768824</v>
      </c>
      <c r="H10" s="3"/>
      <c r="I10" s="3" t="s">
        <v>22</v>
      </c>
      <c r="J10" s="3" t="s">
        <v>216</v>
      </c>
      <c r="K10" s="4">
        <v>46030.443078703713</v>
      </c>
      <c r="L10" s="5">
        <v>46030</v>
      </c>
      <c r="M10" s="3" t="s">
        <v>23</v>
      </c>
      <c r="N10" s="3" t="s">
        <v>32</v>
      </c>
      <c r="O10" s="3" t="s">
        <v>25</v>
      </c>
      <c r="P10" s="3" t="s">
        <v>212</v>
      </c>
      <c r="Q10" s="3" t="s">
        <v>27</v>
      </c>
    </row>
    <row r="11" spans="1:17" x14ac:dyDescent="0.35">
      <c r="A11" s="2" t="str">
        <f>HYPERLINK("https://vtmf.veevavault.com/ui/#doc_info/30739227/1/0", "77242113UCO3001-CZE-DD5-CZ10009-Non-IP Shipment Documentation-03 Dec 2025 (v1.0)")</f>
        <v>77242113UCO3001-CZE-DD5-CZ10009-Non-IP Shipment Documentation-03 Dec 2025 (v1.0)</v>
      </c>
      <c r="B11" s="3" t="s">
        <v>216</v>
      </c>
      <c r="C11" s="3" t="s">
        <v>28</v>
      </c>
      <c r="D11" s="3" t="s">
        <v>29</v>
      </c>
      <c r="E11" s="3" t="s">
        <v>30</v>
      </c>
      <c r="F11" s="3" t="s">
        <v>221</v>
      </c>
      <c r="G11" s="2" t="str">
        <f>HYPERLINK("https://vtmf.veevavault.com/ui/#doc_info/30739227/1/0", "VTMF-24768825")</f>
        <v>VTMF-24768825</v>
      </c>
      <c r="H11" s="3"/>
      <c r="I11" s="3" t="s">
        <v>22</v>
      </c>
      <c r="J11" s="3" t="s">
        <v>216</v>
      </c>
      <c r="K11" s="4">
        <v>46030.443078703713</v>
      </c>
      <c r="L11" s="5">
        <v>46030</v>
      </c>
      <c r="M11" s="3" t="s">
        <v>23</v>
      </c>
      <c r="N11" s="3" t="s">
        <v>32</v>
      </c>
      <c r="O11" s="3" t="s">
        <v>25</v>
      </c>
      <c r="P11" s="3" t="s">
        <v>212</v>
      </c>
      <c r="Q11" s="3" t="s">
        <v>27</v>
      </c>
    </row>
    <row r="12" spans="1:17" x14ac:dyDescent="0.35">
      <c r="A12" s="2" t="str">
        <f>HYPERLINK("https://vtmf.veevavault.com/ui/#doc_info/30715188/1/0", "77242113UCO3001-CZE-DD5-CZ10009-Temperature Monitor Validation/Calibration Cert.-22 Oct 2025 (v1.0)")</f>
        <v>77242113UCO3001-CZE-DD5-CZ10009-Temperature Monitor Validation/Calibration Cert.-22 Oct 2025 (v1.0)</v>
      </c>
      <c r="B12" s="3" t="s">
        <v>17</v>
      </c>
      <c r="C12" s="3" t="s">
        <v>28</v>
      </c>
      <c r="D12" s="3" t="s">
        <v>77</v>
      </c>
      <c r="E12" s="3" t="s">
        <v>78</v>
      </c>
      <c r="F12" s="3" t="s">
        <v>222</v>
      </c>
      <c r="G12" s="2" t="str">
        <f>HYPERLINK("https://vtmf.veevavault.com/ui/#doc_info/30715188/1/0", "VTMF-24749884")</f>
        <v>VTMF-24749884</v>
      </c>
      <c r="H12" s="3"/>
      <c r="I12" s="3" t="s">
        <v>22</v>
      </c>
      <c r="J12" s="3" t="s">
        <v>17</v>
      </c>
      <c r="K12" s="4">
        <v>46027.490914351853</v>
      </c>
      <c r="L12" s="5">
        <v>46027</v>
      </c>
      <c r="M12" s="3" t="s">
        <v>23</v>
      </c>
      <c r="N12" s="3" t="s">
        <v>80</v>
      </c>
      <c r="O12" s="3" t="s">
        <v>81</v>
      </c>
      <c r="P12" s="3" t="s">
        <v>223</v>
      </c>
      <c r="Q12" s="3" t="s">
        <v>83</v>
      </c>
    </row>
    <row r="13" spans="1:17" x14ac:dyDescent="0.35">
      <c r="A13" s="2" t="str">
        <f>HYPERLINK("https://vtmf.veevavault.com/ui/#doc_info/30715189/1/0", "77242113UCO3001-CZE-DD5-CZ10009-Temperature Monitor Validation/Calibration Cert.-22 Oct 2025 (v1.0)")</f>
        <v>77242113UCO3001-CZE-DD5-CZ10009-Temperature Monitor Validation/Calibration Cert.-22 Oct 2025 (v1.0)</v>
      </c>
      <c r="B13" s="3" t="s">
        <v>17</v>
      </c>
      <c r="C13" s="3" t="s">
        <v>28</v>
      </c>
      <c r="D13" s="3" t="s">
        <v>77</v>
      </c>
      <c r="E13" s="3" t="s">
        <v>78</v>
      </c>
      <c r="F13" s="3" t="s">
        <v>224</v>
      </c>
      <c r="G13" s="2" t="str">
        <f>HYPERLINK("https://vtmf.veevavault.com/ui/#doc_info/30715189/1/0", "VTMF-24749885")</f>
        <v>VTMF-24749885</v>
      </c>
      <c r="H13" s="3"/>
      <c r="I13" s="3" t="s">
        <v>22</v>
      </c>
      <c r="J13" s="3" t="s">
        <v>17</v>
      </c>
      <c r="K13" s="4">
        <v>46027.490914351853</v>
      </c>
      <c r="L13" s="5">
        <v>46027</v>
      </c>
      <c r="M13" s="3" t="s">
        <v>23</v>
      </c>
      <c r="N13" s="3" t="s">
        <v>80</v>
      </c>
      <c r="O13" s="3" t="s">
        <v>81</v>
      </c>
      <c r="P13" s="3" t="s">
        <v>223</v>
      </c>
      <c r="Q13" s="3" t="s">
        <v>83</v>
      </c>
    </row>
    <row r="14" spans="1:17" x14ac:dyDescent="0.35">
      <c r="A14" s="2" t="str">
        <f>HYPERLINK("https://vtmf.veevavault.com/ui/#doc_info/30675229/1/0", "77242113UCO3001-CZE-DD5-CZ10009-Monitoring Visit Follow-up Letter-SIVR_FL-11 Dec 2025 (v1.0)")</f>
        <v>77242113UCO3001-CZE-DD5-CZ10009-Monitoring Visit Follow-up Letter-SIVR_FL-11 Dec 2025 (v1.0)</v>
      </c>
      <c r="B14" s="3" t="s">
        <v>38</v>
      </c>
      <c r="C14" s="3" t="s">
        <v>18</v>
      </c>
      <c r="D14" s="3" t="s">
        <v>18</v>
      </c>
      <c r="E14" s="3" t="s">
        <v>39</v>
      </c>
      <c r="F14" s="3"/>
      <c r="G14" s="2" t="str">
        <f>HYPERLINK("https://vtmf.veevavault.com/ui/#doc_info/30675229/1/0", "VTMF-24718902")</f>
        <v>VTMF-24718902</v>
      </c>
      <c r="H14" s="3"/>
      <c r="I14" s="3" t="s">
        <v>40</v>
      </c>
      <c r="J14" s="3" t="s">
        <v>38</v>
      </c>
      <c r="K14" s="4">
        <v>46015.396886574083</v>
      </c>
      <c r="L14" s="5">
        <v>46015</v>
      </c>
      <c r="M14" s="3" t="s">
        <v>23</v>
      </c>
      <c r="N14" s="3" t="s">
        <v>41</v>
      </c>
      <c r="O14" s="3" t="s">
        <v>25</v>
      </c>
      <c r="P14" s="3" t="s">
        <v>212</v>
      </c>
      <c r="Q14" s="3" t="s">
        <v>27</v>
      </c>
    </row>
    <row r="15" spans="1:17" x14ac:dyDescent="0.35">
      <c r="A15" s="2" t="str">
        <f>HYPERLINK("https://vtmf.veevavault.com/ui/#doc_info/30658790/1/0", "77242113UCO3001-CZE-DD5-CZ10009-Trial Initiation Monitoring Report-11 Dec 2025 (v1.0)")</f>
        <v>77242113UCO3001-CZE-DD5-CZ10009-Trial Initiation Monitoring Report-11 Dec 2025 (v1.0)</v>
      </c>
      <c r="B15" s="3" t="s">
        <v>38</v>
      </c>
      <c r="C15" s="3" t="s">
        <v>18</v>
      </c>
      <c r="D15" s="3" t="s">
        <v>68</v>
      </c>
      <c r="E15" s="3" t="s">
        <v>90</v>
      </c>
      <c r="F15" s="3"/>
      <c r="G15" s="2" t="str">
        <f>HYPERLINK("https://vtmf.veevavault.com/ui/#doc_info/30658790/1/0", "VTMF-24705096")</f>
        <v>VTMF-24705096</v>
      </c>
      <c r="H15" s="3"/>
      <c r="I15" s="3" t="s">
        <v>40</v>
      </c>
      <c r="J15" s="3" t="s">
        <v>38</v>
      </c>
      <c r="K15" s="4">
        <v>46013.397766203707</v>
      </c>
      <c r="L15" s="5">
        <v>46013</v>
      </c>
      <c r="M15" s="3" t="s">
        <v>23</v>
      </c>
      <c r="N15" s="3" t="s">
        <v>91</v>
      </c>
      <c r="O15" s="3" t="s">
        <v>25</v>
      </c>
      <c r="P15" s="3" t="s">
        <v>212</v>
      </c>
      <c r="Q15" s="3" t="s">
        <v>27</v>
      </c>
    </row>
    <row r="16" spans="1:17" x14ac:dyDescent="0.35">
      <c r="A16" s="2" t="str">
        <f>HYPERLINK("https://vtmf.veevavault.com/ui/#doc_info/30582878/1/0", "77242113UCO3001-CZE-DD5-CZ10009-Source Data-11 Dec 2025 (v1.0)")</f>
        <v>77242113UCO3001-CZE-DD5-CZ10009-Source Data-11 Dec 2025 (v1.0)</v>
      </c>
      <c r="B16" s="3" t="s">
        <v>107</v>
      </c>
      <c r="C16" s="3" t="s">
        <v>18</v>
      </c>
      <c r="D16" s="3" t="s">
        <v>18</v>
      </c>
      <c r="E16" s="3" t="s">
        <v>88</v>
      </c>
      <c r="F16" s="3" t="s">
        <v>108</v>
      </c>
      <c r="G16" s="2" t="str">
        <f>HYPERLINK("https://vtmf.veevavault.com/ui/#doc_info/30582878/1/0", "VTMF-24641207")</f>
        <v>VTMF-24641207</v>
      </c>
      <c r="H16" s="3"/>
      <c r="I16" s="3" t="s">
        <v>22</v>
      </c>
      <c r="J16" s="3" t="s">
        <v>107</v>
      </c>
      <c r="K16" s="4">
        <v>46002.398310185177</v>
      </c>
      <c r="L16" s="5">
        <v>46003</v>
      </c>
      <c r="M16" s="3" t="s">
        <v>23</v>
      </c>
      <c r="N16" s="3" t="s">
        <v>60</v>
      </c>
      <c r="O16" s="3" t="s">
        <v>25</v>
      </c>
      <c r="P16" s="3" t="s">
        <v>212</v>
      </c>
      <c r="Q16" s="3" t="s">
        <v>27</v>
      </c>
    </row>
    <row r="17" spans="1:17" x14ac:dyDescent="0.35">
      <c r="A17" s="2" t="str">
        <f>HYPERLINK("https://vtmf.veevavault.com/ui/#doc_info/30583997/1/0", "77242113UCO3001-CZE-DD5-CZ10009-Acceptance of Investigator Brochure-03 Dec 2025 (v1.0)")</f>
        <v>77242113UCO3001-CZE-DD5-CZ10009-Acceptance of Investigator Brochure-03 Dec 2025 (v1.0)</v>
      </c>
      <c r="B17" s="3" t="s">
        <v>214</v>
      </c>
      <c r="C17" s="3" t="s">
        <v>18</v>
      </c>
      <c r="D17" s="3" t="s">
        <v>57</v>
      </c>
      <c r="E17" s="3" t="s">
        <v>92</v>
      </c>
      <c r="F17" s="3" t="s">
        <v>225</v>
      </c>
      <c r="G17" s="2" t="str">
        <f>HYPERLINK("https://vtmf.veevavault.com/ui/#doc_info/30583997/1/0", "VTMF-24642084")</f>
        <v>VTMF-24642084</v>
      </c>
      <c r="H17" s="3"/>
      <c r="I17" s="3" t="s">
        <v>22</v>
      </c>
      <c r="J17" s="3" t="s">
        <v>214</v>
      </c>
      <c r="K17" s="4">
        <v>46002.497349537043</v>
      </c>
      <c r="L17" s="5">
        <v>46002</v>
      </c>
      <c r="M17" s="3" t="s">
        <v>23</v>
      </c>
      <c r="N17" s="3" t="s">
        <v>67</v>
      </c>
      <c r="O17" s="3" t="s">
        <v>25</v>
      </c>
      <c r="P17" s="3" t="s">
        <v>212</v>
      </c>
      <c r="Q17" s="3" t="s">
        <v>27</v>
      </c>
    </row>
    <row r="18" spans="1:17" x14ac:dyDescent="0.35">
      <c r="A18" s="2" t="str">
        <f>HYPERLINK("https://vtmf.veevavault.com/ui/#doc_info/30586728/1/0", "77242113UCO3001-CZE-DD5-CZ10009-IP Site Release Documentation-11 Dec 2025 (v1.0)")</f>
        <v>77242113UCO3001-CZE-DD5-CZ10009-IP Site Release Documentation-11 Dec 2025 (v1.0)</v>
      </c>
      <c r="B18" s="3" t="s">
        <v>94</v>
      </c>
      <c r="C18" s="3" t="s">
        <v>18</v>
      </c>
      <c r="D18" s="3" t="s">
        <v>57</v>
      </c>
      <c r="E18" s="3" t="s">
        <v>95</v>
      </c>
      <c r="F18" s="3" t="s">
        <v>226</v>
      </c>
      <c r="G18" s="2" t="str">
        <f>HYPERLINK("https://vtmf.veevavault.com/ui/#doc_info/30586728/1/0", "VTMF-24644345")</f>
        <v>VTMF-24644345</v>
      </c>
      <c r="H18" s="3"/>
      <c r="I18" s="3" t="s">
        <v>22</v>
      </c>
      <c r="J18" s="3" t="s">
        <v>94</v>
      </c>
      <c r="K18" s="4">
        <v>46002.717824074083</v>
      </c>
      <c r="L18" s="5">
        <v>46002</v>
      </c>
      <c r="M18" s="3" t="s">
        <v>23</v>
      </c>
      <c r="N18" s="3" t="s">
        <v>97</v>
      </c>
      <c r="O18" s="3" t="s">
        <v>25</v>
      </c>
      <c r="P18" s="3" t="s">
        <v>212</v>
      </c>
      <c r="Q18" s="3" t="s">
        <v>27</v>
      </c>
    </row>
    <row r="19" spans="1:17" x14ac:dyDescent="0.35">
      <c r="A19" s="2" t="str">
        <f>HYPERLINK("https://vtmf.veevavault.com/ui/#doc_info/30583972/1/0", "77242113UCO3001-CZE-DD5-CZ10009-Principal Investigator Financial Disclosure Form-03 Dec 2025 (v1.0)")</f>
        <v>77242113UCO3001-CZE-DD5-CZ10009-Principal Investigator Financial Disclosure Form-03 Dec 2025 (v1.0)</v>
      </c>
      <c r="B19" s="3" t="s">
        <v>214</v>
      </c>
      <c r="C19" s="3" t="s">
        <v>18</v>
      </c>
      <c r="D19" s="3" t="s">
        <v>57</v>
      </c>
      <c r="E19" s="3" t="s">
        <v>98</v>
      </c>
      <c r="F19" s="3" t="s">
        <v>227</v>
      </c>
      <c r="G19" s="2" t="str">
        <f>HYPERLINK("https://vtmf.veevavault.com/ui/#doc_info/30583972/1/0", "VTMF-24642033")</f>
        <v>VTMF-24642033</v>
      </c>
      <c r="H19" s="3"/>
      <c r="I19" s="3" t="s">
        <v>22</v>
      </c>
      <c r="J19" s="3" t="s">
        <v>214</v>
      </c>
      <c r="K19" s="4">
        <v>46002.489976851852</v>
      </c>
      <c r="L19" s="5">
        <v>46002</v>
      </c>
      <c r="M19" s="3" t="s">
        <v>23</v>
      </c>
      <c r="N19" s="3" t="s">
        <v>100</v>
      </c>
      <c r="O19" s="3" t="s">
        <v>25</v>
      </c>
      <c r="P19" s="3" t="s">
        <v>212</v>
      </c>
      <c r="Q19" s="3" t="s">
        <v>27</v>
      </c>
    </row>
    <row r="20" spans="1:17" x14ac:dyDescent="0.35">
      <c r="A20" s="2" t="str">
        <f>HYPERLINK("https://vtmf.veevavault.com/ui/#doc_info/30584121/1/0", "77242113UCO3001-CZE-DD5-CZ10009-Protocol Signature Page-08 Dec 2025 (v1.0)")</f>
        <v>77242113UCO3001-CZE-DD5-CZ10009-Protocol Signature Page-08 Dec 2025 (v1.0)</v>
      </c>
      <c r="B20" s="3" t="s">
        <v>214</v>
      </c>
      <c r="C20" s="3" t="s">
        <v>18</v>
      </c>
      <c r="D20" s="3" t="s">
        <v>57</v>
      </c>
      <c r="E20" s="3" t="s">
        <v>101</v>
      </c>
      <c r="F20" s="3" t="s">
        <v>228</v>
      </c>
      <c r="G20" s="2" t="str">
        <f>HYPERLINK("https://vtmf.veevavault.com/ui/#doc_info/30584121/1/0", "VTMF-24642129")</f>
        <v>VTMF-24642129</v>
      </c>
      <c r="H20" s="3"/>
      <c r="I20" s="3" t="s">
        <v>22</v>
      </c>
      <c r="J20" s="3" t="s">
        <v>214</v>
      </c>
      <c r="K20" s="4">
        <v>46002.504652777781</v>
      </c>
      <c r="L20" s="5">
        <v>46002</v>
      </c>
      <c r="M20" s="3" t="s">
        <v>23</v>
      </c>
      <c r="N20" s="3" t="s">
        <v>103</v>
      </c>
      <c r="O20" s="3" t="s">
        <v>25</v>
      </c>
      <c r="P20" s="3" t="s">
        <v>212</v>
      </c>
      <c r="Q20" s="3" t="s">
        <v>27</v>
      </c>
    </row>
    <row r="21" spans="1:17" x14ac:dyDescent="0.35">
      <c r="A21" s="2" t="str">
        <f>HYPERLINK("https://vtmf.veevavault.com/ui/#doc_info/30564749/1/0", "77242113UCO3001-CZE-DD5-CZ10009-Electronic Source Data Compliance Assessment Questionnaire (ESDCAQ)- (v1.0)")</f>
        <v>77242113UCO3001-CZE-DD5-CZ10009-Electronic Source Data Compliance Assessment Questionnaire (ESDCAQ)- (v1.0)</v>
      </c>
      <c r="B21" s="3" t="s">
        <v>114</v>
      </c>
      <c r="C21" s="3" t="s">
        <v>18</v>
      </c>
      <c r="D21" s="3" t="s">
        <v>57</v>
      </c>
      <c r="E21" s="3" t="s">
        <v>115</v>
      </c>
      <c r="F21" s="3" t="s">
        <v>116</v>
      </c>
      <c r="G21" s="2" t="str">
        <f>HYPERLINK("https://vtmf.veevavault.com/ui/#doc_info/30564749/1/0", "VTMF-24625818")</f>
        <v>VTMF-24625818</v>
      </c>
      <c r="H21" s="3"/>
      <c r="I21" s="3" t="s">
        <v>22</v>
      </c>
      <c r="J21" s="3" t="s">
        <v>114</v>
      </c>
      <c r="K21" s="4">
        <v>46000.477962962963</v>
      </c>
      <c r="L21" s="5">
        <v>46000</v>
      </c>
      <c r="M21" s="3" t="s">
        <v>23</v>
      </c>
      <c r="N21" s="3" t="s">
        <v>118</v>
      </c>
      <c r="O21" s="3" t="s">
        <v>25</v>
      </c>
      <c r="P21" s="3" t="s">
        <v>212</v>
      </c>
      <c r="Q21" s="3" t="s">
        <v>27</v>
      </c>
    </row>
    <row r="22" spans="1:17" x14ac:dyDescent="0.35">
      <c r="A22" s="2" t="str">
        <f>HYPERLINK("https://vtmf.veevavault.com/ui/#doc_info/30503153/1/0", "77242113UCO3001-CZE-DD5-CZ10009-Site Confirmation Letter-SIVR_CL-03 Dec 2025 (v1.0)")</f>
        <v>77242113UCO3001-CZE-DD5-CZ10009-Site Confirmation Letter-SIVR_CL-03 Dec 2025 (v1.0)</v>
      </c>
      <c r="B22" s="3" t="s">
        <v>38</v>
      </c>
      <c r="C22" s="3" t="s">
        <v>18</v>
      </c>
      <c r="D22" s="3" t="s">
        <v>18</v>
      </c>
      <c r="E22" s="3" t="s">
        <v>47</v>
      </c>
      <c r="F22" s="3"/>
      <c r="G22" s="2" t="str">
        <f>HYPERLINK("https://vtmf.veevavault.com/ui/#doc_info/30503153/1/0", "VTMF-24575659")</f>
        <v>VTMF-24575659</v>
      </c>
      <c r="H22" s="3"/>
      <c r="I22" s="3" t="s">
        <v>40</v>
      </c>
      <c r="J22" s="3" t="s">
        <v>38</v>
      </c>
      <c r="K22" s="4">
        <v>45992.439583333333</v>
      </c>
      <c r="L22" s="5">
        <v>45992</v>
      </c>
      <c r="M22" s="3" t="s">
        <v>23</v>
      </c>
      <c r="N22" s="3" t="s">
        <v>41</v>
      </c>
      <c r="O22" s="3" t="s">
        <v>25</v>
      </c>
      <c r="P22" s="3" t="s">
        <v>212</v>
      </c>
      <c r="Q22" s="3" t="s">
        <v>27</v>
      </c>
    </row>
    <row r="23" spans="1:17" x14ac:dyDescent="0.35">
      <c r="A23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23" s="3" t="s">
        <v>119</v>
      </c>
      <c r="C23" s="3" t="s">
        <v>48</v>
      </c>
      <c r="D23" s="3" t="s">
        <v>19</v>
      </c>
      <c r="E23" s="3" t="s">
        <v>20</v>
      </c>
      <c r="F23" s="3" t="s">
        <v>120</v>
      </c>
      <c r="G23" s="2" t="str">
        <f>HYPERLINK("https://vtmf.veevavault.com/ui/#doc_info/29980647/1/0", "VTMF-24136357")</f>
        <v>VTMF-24136357</v>
      </c>
      <c r="H23" s="3"/>
      <c r="I23" s="3" t="s">
        <v>22</v>
      </c>
      <c r="J23" s="3" t="s">
        <v>119</v>
      </c>
      <c r="K23" s="4">
        <v>45918.85465277778</v>
      </c>
      <c r="L23" s="5">
        <v>45919</v>
      </c>
      <c r="M23" s="3" t="s">
        <v>23</v>
      </c>
      <c r="N23" s="3" t="s">
        <v>121</v>
      </c>
      <c r="O23" s="3" t="s">
        <v>122</v>
      </c>
      <c r="P23" s="3" t="s">
        <v>123</v>
      </c>
      <c r="Q23" s="3" t="s">
        <v>27</v>
      </c>
    </row>
    <row r="24" spans="1:17" x14ac:dyDescent="0.35">
      <c r="A24" s="2" t="str">
        <f>HYPERLINK("https://vtmf.veevavault.com/ui/#doc_info/29737110/1/0", "77242113UCO3001-CZE-DD5-CZ10009-Site/Staff Qualification Supporting Information (v1.0)")</f>
        <v>77242113UCO3001-CZE-DD5-CZ10009-Site/Staff Qualification Supporting Information (v1.0)</v>
      </c>
      <c r="B24" s="3" t="s">
        <v>94</v>
      </c>
      <c r="C24" s="3" t="s">
        <v>18</v>
      </c>
      <c r="D24" s="3" t="s">
        <v>57</v>
      </c>
      <c r="E24" s="3" t="s">
        <v>124</v>
      </c>
      <c r="F24" s="3" t="s">
        <v>229</v>
      </c>
      <c r="G24" s="2" t="str">
        <f>HYPERLINK("https://vtmf.veevavault.com/ui/#doc_info/29737110/1/0", "VTMF-23927944")</f>
        <v>VTMF-23927944</v>
      </c>
      <c r="H24" s="3"/>
      <c r="I24" s="3" t="s">
        <v>126</v>
      </c>
      <c r="J24" s="3" t="s">
        <v>94</v>
      </c>
      <c r="K24" s="4">
        <v>45879.810601851852</v>
      </c>
      <c r="L24" s="5">
        <v>45879</v>
      </c>
      <c r="M24" s="3" t="s">
        <v>23</v>
      </c>
      <c r="N24" s="3" t="s">
        <v>60</v>
      </c>
      <c r="O24" s="3" t="s">
        <v>25</v>
      </c>
      <c r="P24" s="3" t="s">
        <v>212</v>
      </c>
      <c r="Q24" s="3" t="s">
        <v>27</v>
      </c>
    </row>
    <row r="25" spans="1:17" x14ac:dyDescent="0.35">
      <c r="A25" s="2" t="str">
        <f>HYPERLINK("https://vtmf.veevavault.com/ui/#doc_info/29735916/1/0", "77242113UCO3001-CZE-DD5-CZ10009-Principal Investigator Curriculum Vitae-16 Jun 2025 (v1.0)")</f>
        <v>77242113UCO3001-CZE-DD5-CZ10009-Principal Investigator Curriculum Vitae-16 Jun 2025 (v1.0)</v>
      </c>
      <c r="B25" s="3" t="s">
        <v>94</v>
      </c>
      <c r="C25" s="3" t="s">
        <v>18</v>
      </c>
      <c r="D25" s="3" t="s">
        <v>57</v>
      </c>
      <c r="E25" s="3" t="s">
        <v>65</v>
      </c>
      <c r="F25" s="3" t="s">
        <v>230</v>
      </c>
      <c r="G25" s="2" t="str">
        <f>HYPERLINK("https://vtmf.veevavault.com/ui/#doc_info/29735916/1/0", "VTMF-23926921")</f>
        <v>VTMF-23926921</v>
      </c>
      <c r="H25" s="3"/>
      <c r="I25" s="3" t="s">
        <v>126</v>
      </c>
      <c r="J25" s="3" t="s">
        <v>94</v>
      </c>
      <c r="K25" s="4">
        <v>45878.772199074083</v>
      </c>
      <c r="L25" s="5">
        <v>45878</v>
      </c>
      <c r="M25" s="3" t="s">
        <v>23</v>
      </c>
      <c r="N25" s="3" t="s">
        <v>67</v>
      </c>
      <c r="O25" s="3" t="s">
        <v>25</v>
      </c>
      <c r="P25" s="3" t="s">
        <v>212</v>
      </c>
      <c r="Q25" s="3" t="s">
        <v>27</v>
      </c>
    </row>
    <row r="26" spans="1:17" x14ac:dyDescent="0.35">
      <c r="A26" s="2" t="str">
        <f>HYPERLINK("https://vtmf.veevavault.com/ui/#doc_info/29708075/1/0", "77242113UCO3001-CZE-DD5-CZ10009-Principal Investigator Financial Disclosure Form-31 Jul 2025 (v1.0)")</f>
        <v>77242113UCO3001-CZE-DD5-CZ10009-Principal Investigator Financial Disclosure Form-31 Jul 2025 (v1.0)</v>
      </c>
      <c r="B26" s="3" t="s">
        <v>94</v>
      </c>
      <c r="C26" s="3" t="s">
        <v>18</v>
      </c>
      <c r="D26" s="3" t="s">
        <v>57</v>
      </c>
      <c r="E26" s="3" t="s">
        <v>98</v>
      </c>
      <c r="F26" s="3" t="s">
        <v>231</v>
      </c>
      <c r="G26" s="2" t="str">
        <f>HYPERLINK("https://vtmf.veevavault.com/ui/#doc_info/29708075/1/0", "VTMF-23902791")</f>
        <v>VTMF-23902791</v>
      </c>
      <c r="H26" s="3"/>
      <c r="I26" s="3" t="s">
        <v>126</v>
      </c>
      <c r="J26" s="3" t="s">
        <v>94</v>
      </c>
      <c r="K26" s="4">
        <v>45875.295624999999</v>
      </c>
      <c r="L26" s="5">
        <v>45875</v>
      </c>
      <c r="M26" s="3" t="s">
        <v>23</v>
      </c>
      <c r="N26" s="3" t="s">
        <v>100</v>
      </c>
      <c r="O26" s="3" t="s">
        <v>25</v>
      </c>
      <c r="P26" s="3" t="s">
        <v>212</v>
      </c>
      <c r="Q26" s="3" t="s">
        <v>27</v>
      </c>
    </row>
    <row r="27" spans="1:17" x14ac:dyDescent="0.35">
      <c r="A27" s="2" t="str">
        <f>HYPERLINK("https://vtmf.veevavault.com/ui/#doc_info/29699294/1/0", "77242113UCO3001-CZE-DD5-CZ10009-Site/Staff Qualification Supporting Information (v1.0)")</f>
        <v>77242113UCO3001-CZE-DD5-CZ10009-Site/Staff Qualification Supporting Information (v1.0)</v>
      </c>
      <c r="B27" s="3" t="s">
        <v>94</v>
      </c>
      <c r="C27" s="3" t="s">
        <v>18</v>
      </c>
      <c r="D27" s="3" t="s">
        <v>57</v>
      </c>
      <c r="E27" s="3" t="s">
        <v>124</v>
      </c>
      <c r="F27" s="3" t="s">
        <v>232</v>
      </c>
      <c r="G27" s="2" t="str">
        <f>HYPERLINK("https://vtmf.veevavault.com/ui/#doc_info/29699294/1/0", "VTMF-23895222")</f>
        <v>VTMF-23895222</v>
      </c>
      <c r="H27" s="3"/>
      <c r="I27" s="3" t="s">
        <v>126</v>
      </c>
      <c r="J27" s="3" t="s">
        <v>94</v>
      </c>
      <c r="K27" s="4">
        <v>45874.320104166669</v>
      </c>
      <c r="L27" s="5">
        <v>45874</v>
      </c>
      <c r="M27" s="3" t="s">
        <v>23</v>
      </c>
      <c r="N27" s="3" t="s">
        <v>60</v>
      </c>
      <c r="O27" s="3" t="s">
        <v>25</v>
      </c>
      <c r="P27" s="3" t="s">
        <v>212</v>
      </c>
      <c r="Q27" s="3" t="s">
        <v>27</v>
      </c>
    </row>
    <row r="28" spans="1:17" x14ac:dyDescent="0.35">
      <c r="A28" s="2" t="str">
        <f>HYPERLINK("https://vtmf.veevavault.com/ui/#doc_info/29252119/1/0", "77242113UCO3001-CZE-DD5-CZ10009-Monitoring Visit Follow-up Letter-SQVR_FL-21 May 2025 (v1.0)")</f>
        <v>77242113UCO3001-CZE-DD5-CZ10009-Monitoring Visit Follow-up Letter-SQVR_FL-21 May 2025 (v1.0)</v>
      </c>
      <c r="B28" s="3" t="s">
        <v>38</v>
      </c>
      <c r="C28" s="3" t="s">
        <v>18</v>
      </c>
      <c r="D28" s="3" t="s">
        <v>18</v>
      </c>
      <c r="E28" s="3" t="s">
        <v>39</v>
      </c>
      <c r="F28" s="3"/>
      <c r="G28" s="2" t="str">
        <f>HYPERLINK("https://vtmf.veevavault.com/ui/#doc_info/29252119/1/0", "VTMF-23512648")</f>
        <v>VTMF-23512648</v>
      </c>
      <c r="H28" s="3"/>
      <c r="I28" s="3" t="s">
        <v>40</v>
      </c>
      <c r="J28" s="3" t="s">
        <v>38</v>
      </c>
      <c r="K28" s="4">
        <v>45811.483564814807</v>
      </c>
      <c r="L28" s="5">
        <v>45811</v>
      </c>
      <c r="M28" s="3" t="s">
        <v>23</v>
      </c>
      <c r="N28" s="3" t="s">
        <v>41</v>
      </c>
      <c r="O28" s="3" t="s">
        <v>25</v>
      </c>
      <c r="P28" s="3" t="s">
        <v>212</v>
      </c>
      <c r="Q28" s="3" t="s">
        <v>27</v>
      </c>
    </row>
    <row r="29" spans="1:17" x14ac:dyDescent="0.35">
      <c r="A29" s="2" t="str">
        <f>HYPERLINK("https://vtmf.veevavault.com/ui/#doc_info/29233517/1/0", "77242113UCO3001-CZE-DD5-CZ10009-Pre Trial Monitoring Report-21 May 2025 (v1.0)")</f>
        <v>77242113UCO3001-CZE-DD5-CZ10009-Pre Trial Monitoring Report-21 May 2025 (v1.0)</v>
      </c>
      <c r="B29" s="3" t="s">
        <v>38</v>
      </c>
      <c r="C29" s="3" t="s">
        <v>18</v>
      </c>
      <c r="D29" s="3" t="s">
        <v>131</v>
      </c>
      <c r="E29" s="3" t="s">
        <v>134</v>
      </c>
      <c r="F29" s="3"/>
      <c r="G29" s="2" t="str">
        <f>HYPERLINK("https://vtmf.veevavault.com/ui/#doc_info/29233517/1/0", "VTMF-23497115")</f>
        <v>VTMF-23497115</v>
      </c>
      <c r="H29" s="3"/>
      <c r="I29" s="3" t="s">
        <v>40</v>
      </c>
      <c r="J29" s="3" t="s">
        <v>38</v>
      </c>
      <c r="K29" s="4">
        <v>45807.439421296287</v>
      </c>
      <c r="L29" s="5">
        <v>45807</v>
      </c>
      <c r="M29" s="3" t="s">
        <v>23</v>
      </c>
      <c r="N29" s="3" t="s">
        <v>97</v>
      </c>
      <c r="O29" s="3" t="s">
        <v>25</v>
      </c>
      <c r="P29" s="3" t="s">
        <v>212</v>
      </c>
      <c r="Q29" s="3" t="s">
        <v>27</v>
      </c>
    </row>
    <row r="30" spans="1:17" x14ac:dyDescent="0.35">
      <c r="A30" s="2" t="str">
        <f>HYPERLINK("https://vtmf.veevavault.com/ui/#doc_info/29173989/1/0", "77242113UCO3001-CZE-DD5-CZ10009-Site Confirmation Letter-SQVR_CL-21 May 2025 (v1.0)")</f>
        <v>77242113UCO3001-CZE-DD5-CZ10009-Site Confirmation Letter-SQVR_CL-21 May 2025 (v1.0)</v>
      </c>
      <c r="B30" s="3" t="s">
        <v>38</v>
      </c>
      <c r="C30" s="3" t="s">
        <v>18</v>
      </c>
      <c r="D30" s="3" t="s">
        <v>18</v>
      </c>
      <c r="E30" s="3" t="s">
        <v>47</v>
      </c>
      <c r="F30" s="3"/>
      <c r="G30" s="2" t="str">
        <f>HYPERLINK("https://vtmf.veevavault.com/ui/#doc_info/29173989/1/0", "VTMF-23448247")</f>
        <v>VTMF-23448247</v>
      </c>
      <c r="H30" s="3"/>
      <c r="I30" s="3" t="s">
        <v>40</v>
      </c>
      <c r="J30" s="3" t="s">
        <v>38</v>
      </c>
      <c r="K30" s="4">
        <v>45798.970023148147</v>
      </c>
      <c r="L30" s="5">
        <v>45798</v>
      </c>
      <c r="M30" s="3" t="s">
        <v>23</v>
      </c>
      <c r="N30" s="3" t="s">
        <v>41</v>
      </c>
      <c r="O30" s="3" t="s">
        <v>25</v>
      </c>
      <c r="P30" s="3" t="s">
        <v>212</v>
      </c>
      <c r="Q30" s="3" t="s">
        <v>27</v>
      </c>
    </row>
    <row r="31" spans="1:17" x14ac:dyDescent="0.35">
      <c r="A31" s="2" t="str">
        <f>HYPERLINK("https://vtmf.veevavault.com/ui/#doc_info/31489937/0/1", "77242113UCO3001-CZE-DD5-CZ10009-Non-IP Shipment Documentation-24 Feb 2026 (v0.1)")</f>
        <v>77242113UCO3001-CZE-DD5-CZ10009-Non-IP Shipment Documentation-24 Feb 2026 (v0.1)</v>
      </c>
      <c r="B31" s="3" t="s">
        <v>17</v>
      </c>
      <c r="C31" s="3" t="s">
        <v>28</v>
      </c>
      <c r="D31" s="3" t="s">
        <v>29</v>
      </c>
      <c r="E31" s="3" t="s">
        <v>30</v>
      </c>
      <c r="F31" s="3" t="s">
        <v>233</v>
      </c>
      <c r="G31" s="2" t="str">
        <f>HYPERLINK("https://vtmf.veevavault.com/ui/#doc_info/31489937/0/1", "VTMF-25410632")</f>
        <v>VTMF-25410632</v>
      </c>
      <c r="H31" s="3"/>
      <c r="I31" s="3" t="s">
        <v>22</v>
      </c>
      <c r="J31" s="3" t="s">
        <v>17</v>
      </c>
      <c r="K31" s="4">
        <v>46132.606956018521</v>
      </c>
      <c r="L31" s="5"/>
      <c r="M31" s="3" t="s">
        <v>234</v>
      </c>
      <c r="N31" s="3" t="s">
        <v>32</v>
      </c>
      <c r="O31" s="3" t="s">
        <v>25</v>
      </c>
      <c r="P31" s="3" t="s">
        <v>212</v>
      </c>
      <c r="Q31" s="3" t="s">
        <v>27</v>
      </c>
    </row>
    <row r="32" spans="1:17" x14ac:dyDescent="0.35">
      <c r="A32" s="2" t="str">
        <f>HYPERLINK("https://vtmf.veevavault.com/ui/#doc_info/31277596/0/1", "77242113UCO3001-CZE-DD5-CZ10009-Relevant Communications-26 Mar 2026 (v0.1)")</f>
        <v>77242113UCO3001-CZE-DD5-CZ10009-Relevant Communications-26 Mar 2026 (v0.1)</v>
      </c>
      <c r="B32" s="3" t="s">
        <v>214</v>
      </c>
      <c r="C32" s="3" t="s">
        <v>18</v>
      </c>
      <c r="D32" s="3" t="s">
        <v>19</v>
      </c>
      <c r="E32" s="3" t="s">
        <v>20</v>
      </c>
      <c r="F32" s="3" t="s">
        <v>235</v>
      </c>
      <c r="G32" s="2" t="str">
        <f>HYPERLINK("https://vtmf.veevavault.com/ui/#doc_info/31277596/0/1", "VTMF-25225082")</f>
        <v>VTMF-25225082</v>
      </c>
      <c r="H32" s="3"/>
      <c r="I32" s="3" t="s">
        <v>214</v>
      </c>
      <c r="J32" s="3" t="s">
        <v>214</v>
      </c>
      <c r="K32" s="4">
        <v>46107.483078703714</v>
      </c>
      <c r="L32" s="5"/>
      <c r="M32" s="3" t="s">
        <v>234</v>
      </c>
      <c r="N32" s="3" t="s">
        <v>24</v>
      </c>
      <c r="O32" s="3" t="s">
        <v>25</v>
      </c>
      <c r="P32" s="3" t="s">
        <v>212</v>
      </c>
      <c r="Q32" s="3" t="s">
        <v>27</v>
      </c>
    </row>
  </sheetData>
  <autoFilter ref="A1:Q32" xr:uid="{00000000-0009-0000-0000-000003000000}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Q22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HYPERLINK("https://vtmf.veevavault.com/ui/#doc_info/31466481/1/0", "77242113UCO3001-CZE-DD5-CZ10010-Electronic Source Data Compliance Assessment Questionnaire (ESDCAQ)- (v1.0)")</f>
        <v>77242113UCO3001-CZE-DD5-CZ10010-Electronic Source Data Compliance Assessment Questionnaire (ESDCAQ)- (v1.0)</v>
      </c>
      <c r="B2" s="3" t="s">
        <v>107</v>
      </c>
      <c r="C2" s="3" t="s">
        <v>18</v>
      </c>
      <c r="D2" s="3" t="s">
        <v>57</v>
      </c>
      <c r="E2" s="3" t="s">
        <v>115</v>
      </c>
      <c r="F2" s="3" t="s">
        <v>116</v>
      </c>
      <c r="G2" s="2" t="str">
        <f>HYPERLINK("https://vtmf.veevavault.com/ui/#doc_info/31466481/1/0", "VTMF-25390793")</f>
        <v>VTMF-25390793</v>
      </c>
      <c r="H2" s="3"/>
      <c r="I2" s="3" t="s">
        <v>22</v>
      </c>
      <c r="J2" s="3" t="s">
        <v>107</v>
      </c>
      <c r="K2" s="4">
        <v>46128.481145833342</v>
      </c>
      <c r="L2" s="5">
        <v>46128</v>
      </c>
      <c r="M2" s="3" t="s">
        <v>23</v>
      </c>
      <c r="N2" s="3" t="s">
        <v>118</v>
      </c>
      <c r="O2" s="3" t="s">
        <v>25</v>
      </c>
      <c r="P2" s="3" t="s">
        <v>236</v>
      </c>
      <c r="Q2" s="3" t="s">
        <v>27</v>
      </c>
    </row>
    <row r="3" spans="1:17" x14ac:dyDescent="0.35">
      <c r="A3" s="2" t="str">
        <f>HYPERLINK("https://vtmf.veevavault.com/ui/#doc_info/31467438/1/0", "77242113UCO3001-CZE-DD5-CZ10010-Electronic Source Data Compliance Assessment Questionnaire (ESDCAQ)- (v1.0)")</f>
        <v>77242113UCO3001-CZE-DD5-CZ10010-Electronic Source Data Compliance Assessment Questionnaire (ESDCAQ)- (v1.0)</v>
      </c>
      <c r="B3" s="3" t="s">
        <v>107</v>
      </c>
      <c r="C3" s="3" t="s">
        <v>18</v>
      </c>
      <c r="D3" s="3" t="s">
        <v>57</v>
      </c>
      <c r="E3" s="3" t="s">
        <v>115</v>
      </c>
      <c r="F3" s="3" t="s">
        <v>116</v>
      </c>
      <c r="G3" s="2" t="str">
        <f>HYPERLINK("https://vtmf.veevavault.com/ui/#doc_info/31467438/1/0", "VTMF-25391483")</f>
        <v>VTMF-25391483</v>
      </c>
      <c r="H3" s="3"/>
      <c r="I3" s="3" t="s">
        <v>22</v>
      </c>
      <c r="J3" s="3" t="s">
        <v>107</v>
      </c>
      <c r="K3" s="4">
        <v>46128.565370370372</v>
      </c>
      <c r="L3" s="5">
        <v>46128</v>
      </c>
      <c r="M3" s="3" t="s">
        <v>23</v>
      </c>
      <c r="N3" s="3" t="s">
        <v>118</v>
      </c>
      <c r="O3" s="3" t="s">
        <v>25</v>
      </c>
      <c r="P3" s="3" t="s">
        <v>236</v>
      </c>
      <c r="Q3" s="3" t="s">
        <v>27</v>
      </c>
    </row>
    <row r="4" spans="1:17" x14ac:dyDescent="0.35">
      <c r="A4" s="2" t="str">
        <f>HYPERLINK("https://vtmf.veevavault.com/ui/#doc_info/31466591/1/0", "77242113UCO3001-CZE-DD5-CZ10010-Source Data-16 Apr 2026 (v1.0)")</f>
        <v>77242113UCO3001-CZE-DD5-CZ10010-Source Data-16 Apr 2026 (v1.0)</v>
      </c>
      <c r="B4" s="3" t="s">
        <v>107</v>
      </c>
      <c r="C4" s="3" t="s">
        <v>18</v>
      </c>
      <c r="D4" s="3" t="s">
        <v>18</v>
      </c>
      <c r="E4" s="3" t="s">
        <v>88</v>
      </c>
      <c r="F4" s="3" t="s">
        <v>108</v>
      </c>
      <c r="G4" s="2" t="str">
        <f>HYPERLINK("https://vtmf.veevavault.com/ui/#doc_info/31466591/1/0", "VTMF-25390809")</f>
        <v>VTMF-25390809</v>
      </c>
      <c r="H4" s="3"/>
      <c r="I4" s="3" t="s">
        <v>107</v>
      </c>
      <c r="J4" s="3" t="s">
        <v>107</v>
      </c>
      <c r="K4" s="4">
        <v>46128.482395833344</v>
      </c>
      <c r="L4" s="5">
        <v>46128</v>
      </c>
      <c r="M4" s="3" t="s">
        <v>23</v>
      </c>
      <c r="N4" s="3" t="s">
        <v>60</v>
      </c>
      <c r="O4" s="3" t="s">
        <v>25</v>
      </c>
      <c r="P4" s="3" t="s">
        <v>236</v>
      </c>
      <c r="Q4" s="3" t="s">
        <v>27</v>
      </c>
    </row>
    <row r="5" spans="1:17" x14ac:dyDescent="0.35">
      <c r="A5" s="2" t="str">
        <f>HYPERLINK("https://vtmf.veevavault.com/ui/#doc_info/31422101/1/0", "77242113UCO3001-CZE-DD5-CZ10010-Non-IP Shipment Documentation-01 Apr 2026 (v1.0)")</f>
        <v>77242113UCO3001-CZE-DD5-CZ10010-Non-IP Shipment Documentation-01 Apr 2026 (v1.0)</v>
      </c>
      <c r="B5" s="3" t="s">
        <v>17</v>
      </c>
      <c r="C5" s="3" t="s">
        <v>28</v>
      </c>
      <c r="D5" s="3" t="s">
        <v>29</v>
      </c>
      <c r="E5" s="3" t="s">
        <v>30</v>
      </c>
      <c r="F5" s="3" t="s">
        <v>211</v>
      </c>
      <c r="G5" s="2" t="str">
        <f>HYPERLINK("https://vtmf.veevavault.com/ui/#doc_info/31422101/1/0", "VTMF-25353341")</f>
        <v>VTMF-25353341</v>
      </c>
      <c r="H5" s="3"/>
      <c r="I5" s="3" t="s">
        <v>22</v>
      </c>
      <c r="J5" s="3" t="s">
        <v>17</v>
      </c>
      <c r="K5" s="4">
        <v>46121.673356481479</v>
      </c>
      <c r="L5" s="5">
        <v>46125</v>
      </c>
      <c r="M5" s="3" t="s">
        <v>23</v>
      </c>
      <c r="N5" s="3" t="s">
        <v>32</v>
      </c>
      <c r="O5" s="3" t="s">
        <v>25</v>
      </c>
      <c r="P5" s="3" t="s">
        <v>236</v>
      </c>
      <c r="Q5" s="3" t="s">
        <v>27</v>
      </c>
    </row>
    <row r="6" spans="1:17" x14ac:dyDescent="0.35">
      <c r="A6" s="2" t="str">
        <f>HYPERLINK("https://vtmf.veevavault.com/ui/#doc_info/31241886/1/0", "77242113UCO3001-CZE-DD5-CZ10010-Acceptance of Investigator Brochure-11 Mar 2026 (v1.0)")</f>
        <v>77242113UCO3001-CZE-DD5-CZ10010-Acceptance of Investigator Brochure-11 Mar 2026 (v1.0)</v>
      </c>
      <c r="B6" s="3" t="s">
        <v>17</v>
      </c>
      <c r="C6" s="3" t="s">
        <v>18</v>
      </c>
      <c r="D6" s="3" t="s">
        <v>57</v>
      </c>
      <c r="E6" s="3" t="s">
        <v>92</v>
      </c>
      <c r="F6" s="3" t="s">
        <v>237</v>
      </c>
      <c r="G6" s="2" t="str">
        <f>HYPERLINK("https://vtmf.veevavault.com/ui/#doc_info/31241886/1/0", "VTMF-25196277")</f>
        <v>VTMF-25196277</v>
      </c>
      <c r="H6" s="3"/>
      <c r="I6" s="3" t="s">
        <v>22</v>
      </c>
      <c r="J6" s="3" t="s">
        <v>17</v>
      </c>
      <c r="K6" s="4">
        <v>46101.586689814823</v>
      </c>
      <c r="L6" s="5">
        <v>46101</v>
      </c>
      <c r="M6" s="3" t="s">
        <v>23</v>
      </c>
      <c r="N6" s="3" t="s">
        <v>67</v>
      </c>
      <c r="O6" s="3" t="s">
        <v>25</v>
      </c>
      <c r="P6" s="3" t="s">
        <v>236</v>
      </c>
      <c r="Q6" s="3" t="s">
        <v>27</v>
      </c>
    </row>
    <row r="7" spans="1:17" x14ac:dyDescent="0.35">
      <c r="A7" s="2" t="str">
        <f>HYPERLINK("https://vtmf.veevavault.com/ui/#doc_info/31241872/1/0", "77242113UCO3001-CZE-DD5-CZ10010-Protocol Signature Page-11 Mar 2026 (v1.0)")</f>
        <v>77242113UCO3001-CZE-DD5-CZ10010-Protocol Signature Page-11 Mar 2026 (v1.0)</v>
      </c>
      <c r="B7" s="3" t="s">
        <v>17</v>
      </c>
      <c r="C7" s="3" t="s">
        <v>18</v>
      </c>
      <c r="D7" s="3" t="s">
        <v>57</v>
      </c>
      <c r="E7" s="3" t="s">
        <v>101</v>
      </c>
      <c r="F7" s="3" t="s">
        <v>238</v>
      </c>
      <c r="G7" s="2" t="str">
        <f>HYPERLINK("https://vtmf.veevavault.com/ui/#doc_info/31241872/1/0", "VTMF-25196246")</f>
        <v>VTMF-25196246</v>
      </c>
      <c r="H7" s="3"/>
      <c r="I7" s="3" t="s">
        <v>22</v>
      </c>
      <c r="J7" s="3" t="s">
        <v>17</v>
      </c>
      <c r="K7" s="4">
        <v>46101.583136574067</v>
      </c>
      <c r="L7" s="5">
        <v>46101</v>
      </c>
      <c r="M7" s="3" t="s">
        <v>23</v>
      </c>
      <c r="N7" s="3" t="s">
        <v>103</v>
      </c>
      <c r="O7" s="3" t="s">
        <v>25</v>
      </c>
      <c r="P7" s="3" t="s">
        <v>236</v>
      </c>
      <c r="Q7" s="3" t="s">
        <v>27</v>
      </c>
    </row>
    <row r="8" spans="1:17" x14ac:dyDescent="0.35">
      <c r="A8" s="2" t="str">
        <f>HYPERLINK("https://vtmf.veevavault.com/ui/#doc_info/31138389/1/0", "77242113UCO3001-CZE-DD5-CZ10010-Site Confirmation Letter-SIVR_CL-11 Mar 2026 (v1.0)")</f>
        <v>77242113UCO3001-CZE-DD5-CZ10010-Site Confirmation Letter-SIVR_CL-11 Mar 2026 (v1.0)</v>
      </c>
      <c r="B8" s="3" t="s">
        <v>38</v>
      </c>
      <c r="C8" s="3" t="s">
        <v>18</v>
      </c>
      <c r="D8" s="3" t="s">
        <v>18</v>
      </c>
      <c r="E8" s="3" t="s">
        <v>47</v>
      </c>
      <c r="F8" s="3"/>
      <c r="G8" s="2" t="str">
        <f>HYPERLINK("https://vtmf.veevavault.com/ui/#doc_info/31138389/1/0", "VTMF-25105761")</f>
        <v>VTMF-25105761</v>
      </c>
      <c r="H8" s="3"/>
      <c r="I8" s="3" t="s">
        <v>40</v>
      </c>
      <c r="J8" s="3" t="s">
        <v>38</v>
      </c>
      <c r="K8" s="4">
        <v>46090.482523148137</v>
      </c>
      <c r="L8" s="5">
        <v>46090</v>
      </c>
      <c r="M8" s="3" t="s">
        <v>23</v>
      </c>
      <c r="N8" s="3" t="s">
        <v>41</v>
      </c>
      <c r="O8" s="3" t="s">
        <v>25</v>
      </c>
      <c r="P8" s="3" t="s">
        <v>236</v>
      </c>
      <c r="Q8" s="3" t="s">
        <v>27</v>
      </c>
    </row>
    <row r="9" spans="1:17" x14ac:dyDescent="0.35">
      <c r="A9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9" s="3" t="s">
        <v>35</v>
      </c>
      <c r="C9" s="3" t="s">
        <v>18</v>
      </c>
      <c r="D9" s="3" t="s">
        <v>19</v>
      </c>
      <c r="E9" s="3" t="s">
        <v>20</v>
      </c>
      <c r="F9" s="3" t="s">
        <v>44</v>
      </c>
      <c r="G9" s="2" t="str">
        <f>HYPERLINK("https://vtmf.veevavault.com/ui/#doc_info/30957580/1/0", "VTMF-24952860")</f>
        <v>VTMF-24952860</v>
      </c>
      <c r="H9" s="3"/>
      <c r="I9" s="3" t="s">
        <v>35</v>
      </c>
      <c r="J9" s="3" t="s">
        <v>35</v>
      </c>
      <c r="K9" s="4">
        <v>46063.445960648147</v>
      </c>
      <c r="L9" s="5">
        <v>46063</v>
      </c>
      <c r="M9" s="3" t="s">
        <v>23</v>
      </c>
      <c r="N9" s="3" t="s">
        <v>24</v>
      </c>
      <c r="O9" s="3" t="s">
        <v>25</v>
      </c>
      <c r="P9" s="3" t="s">
        <v>45</v>
      </c>
      <c r="Q9" s="3" t="s">
        <v>27</v>
      </c>
    </row>
    <row r="10" spans="1:17" x14ac:dyDescent="0.35">
      <c r="A10" s="2" t="str">
        <f>HYPERLINK("https://vtmf.veevavault.com/ui/#doc_info/30659068/1/0", "77242113UCO3001-CZE-DD5-CZ10010-Relevant Communications-22 Dec 2025 (v1.0)")</f>
        <v>77242113UCO3001-CZE-DD5-CZ10010-Relevant Communications-22 Dec 2025 (v1.0)</v>
      </c>
      <c r="B10" s="3" t="s">
        <v>22</v>
      </c>
      <c r="C10" s="3" t="s">
        <v>18</v>
      </c>
      <c r="D10" s="3" t="s">
        <v>19</v>
      </c>
      <c r="E10" s="3" t="s">
        <v>20</v>
      </c>
      <c r="F10" s="3" t="s">
        <v>239</v>
      </c>
      <c r="G10" s="2" t="str">
        <f>HYPERLINK("https://vtmf.veevavault.com/ui/#doc_info/30659068/1/0", "VTMF-24705812")</f>
        <v>VTMF-24705812</v>
      </c>
      <c r="H10" s="3"/>
      <c r="I10" s="3" t="s">
        <v>22</v>
      </c>
      <c r="J10" s="3" t="s">
        <v>22</v>
      </c>
      <c r="K10" s="4">
        <v>46013.491689814808</v>
      </c>
      <c r="L10" s="5">
        <v>46013</v>
      </c>
      <c r="M10" s="3" t="s">
        <v>23</v>
      </c>
      <c r="N10" s="3" t="s">
        <v>24</v>
      </c>
      <c r="O10" s="3" t="s">
        <v>25</v>
      </c>
      <c r="P10" s="3" t="s">
        <v>236</v>
      </c>
      <c r="Q10" s="3" t="s">
        <v>27</v>
      </c>
    </row>
    <row r="11" spans="1:17" x14ac:dyDescent="0.35">
      <c r="A11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11" s="3" t="s">
        <v>119</v>
      </c>
      <c r="C11" s="3" t="s">
        <v>48</v>
      </c>
      <c r="D11" s="3" t="s">
        <v>19</v>
      </c>
      <c r="E11" s="3" t="s">
        <v>20</v>
      </c>
      <c r="F11" s="3" t="s">
        <v>120</v>
      </c>
      <c r="G11" s="2" t="str">
        <f>HYPERLINK("https://vtmf.veevavault.com/ui/#doc_info/29980647/1/0", "VTMF-24136357")</f>
        <v>VTMF-24136357</v>
      </c>
      <c r="H11" s="3"/>
      <c r="I11" s="3" t="s">
        <v>22</v>
      </c>
      <c r="J11" s="3" t="s">
        <v>119</v>
      </c>
      <c r="K11" s="4">
        <v>45918.85465277778</v>
      </c>
      <c r="L11" s="5">
        <v>45919</v>
      </c>
      <c r="M11" s="3" t="s">
        <v>23</v>
      </c>
      <c r="N11" s="3" t="s">
        <v>121</v>
      </c>
      <c r="O11" s="3" t="s">
        <v>122</v>
      </c>
      <c r="P11" s="3" t="s">
        <v>123</v>
      </c>
      <c r="Q11" s="3" t="s">
        <v>27</v>
      </c>
    </row>
    <row r="12" spans="1:17" x14ac:dyDescent="0.35">
      <c r="A12" s="2" t="str">
        <f>HYPERLINK("https://vtmf.veevavault.com/ui/#doc_info/29959550/1/0", "77242113UCO3001-CZE-DD5-CZ10010-Site Training Documentation-12 Aug 2025 (v1.0)")</f>
        <v>77242113UCO3001-CZE-DD5-CZ10010-Site Training Documentation-12 Aug 2025 (v1.0)</v>
      </c>
      <c r="B12" s="3" t="s">
        <v>94</v>
      </c>
      <c r="C12" s="3" t="s">
        <v>18</v>
      </c>
      <c r="D12" s="3" t="s">
        <v>68</v>
      </c>
      <c r="E12" s="3" t="s">
        <v>69</v>
      </c>
      <c r="F12" s="3" t="s">
        <v>240</v>
      </c>
      <c r="G12" s="2" t="str">
        <f>HYPERLINK("https://vtmf.veevavault.com/ui/#doc_info/29959550/1/0", "VTMF-24118644")</f>
        <v>VTMF-24118644</v>
      </c>
      <c r="H12" s="3"/>
      <c r="I12" s="3" t="s">
        <v>94</v>
      </c>
      <c r="J12" s="3" t="s">
        <v>94</v>
      </c>
      <c r="K12" s="4">
        <v>45916.502199074072</v>
      </c>
      <c r="L12" s="5">
        <v>45916</v>
      </c>
      <c r="M12" s="3" t="s">
        <v>23</v>
      </c>
      <c r="N12" s="3" t="s">
        <v>60</v>
      </c>
      <c r="O12" s="3" t="s">
        <v>25</v>
      </c>
      <c r="P12" s="3" t="s">
        <v>236</v>
      </c>
      <c r="Q12" s="3" t="s">
        <v>27</v>
      </c>
    </row>
    <row r="13" spans="1:17" x14ac:dyDescent="0.35">
      <c r="A13" s="2" t="str">
        <f>HYPERLINK("https://vtmf.veevavault.com/ui/#doc_info/29738690/1/0", "77242113UCO3001-CZE-DD5-CZ10010-Principal Investigator Curriculum Vitae-14 Jul 2025 (v1.0)")</f>
        <v>77242113UCO3001-CZE-DD5-CZ10010-Principal Investigator Curriculum Vitae-14 Jul 2025 (v1.0)</v>
      </c>
      <c r="B13" s="3" t="s">
        <v>94</v>
      </c>
      <c r="C13" s="3" t="s">
        <v>18</v>
      </c>
      <c r="D13" s="3" t="s">
        <v>57</v>
      </c>
      <c r="E13" s="3" t="s">
        <v>65</v>
      </c>
      <c r="F13" s="3" t="s">
        <v>241</v>
      </c>
      <c r="G13" s="2" t="str">
        <f>HYPERLINK("https://vtmf.veevavault.com/ui/#doc_info/29738690/1/0", "VTMF-23929288")</f>
        <v>VTMF-23929288</v>
      </c>
      <c r="H13" s="3"/>
      <c r="I13" s="3" t="s">
        <v>126</v>
      </c>
      <c r="J13" s="3" t="s">
        <v>94</v>
      </c>
      <c r="K13" s="4">
        <v>45880.405509259261</v>
      </c>
      <c r="L13" s="5">
        <v>45880</v>
      </c>
      <c r="M13" s="3" t="s">
        <v>23</v>
      </c>
      <c r="N13" s="3" t="s">
        <v>67</v>
      </c>
      <c r="O13" s="3" t="s">
        <v>25</v>
      </c>
      <c r="P13" s="3" t="s">
        <v>236</v>
      </c>
      <c r="Q13" s="3" t="s">
        <v>27</v>
      </c>
    </row>
    <row r="14" spans="1:17" x14ac:dyDescent="0.35">
      <c r="A14" s="2" t="str">
        <f>HYPERLINK("https://vtmf.veevavault.com/ui/#doc_info/29738695/1/0", "77242113UCO3001-CZE-DD5-CZ10010-Site/Staff Qualification Supporting Information (v1.0)")</f>
        <v>77242113UCO3001-CZE-DD5-CZ10010-Site/Staff Qualification Supporting Information (v1.0)</v>
      </c>
      <c r="B14" s="3" t="s">
        <v>94</v>
      </c>
      <c r="C14" s="3" t="s">
        <v>18</v>
      </c>
      <c r="D14" s="3" t="s">
        <v>57</v>
      </c>
      <c r="E14" s="3" t="s">
        <v>124</v>
      </c>
      <c r="F14" s="3" t="s">
        <v>242</v>
      </c>
      <c r="G14" s="2" t="str">
        <f>HYPERLINK("https://vtmf.veevavault.com/ui/#doc_info/29738695/1/0", "VTMF-23929297")</f>
        <v>VTMF-23929297</v>
      </c>
      <c r="H14" s="3"/>
      <c r="I14" s="3" t="s">
        <v>126</v>
      </c>
      <c r="J14" s="3" t="s">
        <v>94</v>
      </c>
      <c r="K14" s="4">
        <v>45880.407766203702</v>
      </c>
      <c r="L14" s="5">
        <v>45880</v>
      </c>
      <c r="M14" s="3" t="s">
        <v>23</v>
      </c>
      <c r="N14" s="3" t="s">
        <v>60</v>
      </c>
      <c r="O14" s="3" t="s">
        <v>25</v>
      </c>
      <c r="P14" s="3" t="s">
        <v>236</v>
      </c>
      <c r="Q14" s="3" t="s">
        <v>27</v>
      </c>
    </row>
    <row r="15" spans="1:17" x14ac:dyDescent="0.35">
      <c r="A15" s="2" t="str">
        <f>HYPERLINK("https://vtmf.veevavault.com/ui/#doc_info/29708120/1/0", "77242113UCO3001-CZE-DD5-CZ10010-Principal Investigator Financial Disclosure Form-23 Jul 2025 (v1.0)")</f>
        <v>77242113UCO3001-CZE-DD5-CZ10010-Principal Investigator Financial Disclosure Form-23 Jul 2025 (v1.0)</v>
      </c>
      <c r="B15" s="3" t="s">
        <v>94</v>
      </c>
      <c r="C15" s="3" t="s">
        <v>18</v>
      </c>
      <c r="D15" s="3" t="s">
        <v>57</v>
      </c>
      <c r="E15" s="3" t="s">
        <v>98</v>
      </c>
      <c r="F15" s="3" t="s">
        <v>243</v>
      </c>
      <c r="G15" s="2" t="str">
        <f>HYPERLINK("https://vtmf.veevavault.com/ui/#doc_info/29708120/1/0", "VTMF-23902740")</f>
        <v>VTMF-23902740</v>
      </c>
      <c r="H15" s="3"/>
      <c r="I15" s="3" t="s">
        <v>126</v>
      </c>
      <c r="J15" s="3" t="s">
        <v>94</v>
      </c>
      <c r="K15" s="4">
        <v>45875.278182870366</v>
      </c>
      <c r="L15" s="5">
        <v>45875</v>
      </c>
      <c r="M15" s="3" t="s">
        <v>23</v>
      </c>
      <c r="N15" s="3" t="s">
        <v>100</v>
      </c>
      <c r="O15" s="3" t="s">
        <v>25</v>
      </c>
      <c r="P15" s="3" t="s">
        <v>236</v>
      </c>
      <c r="Q15" s="3" t="s">
        <v>27</v>
      </c>
    </row>
    <row r="16" spans="1:17" x14ac:dyDescent="0.35">
      <c r="A16" s="2" t="str">
        <f>HYPERLINK("https://vtmf.veevavault.com/ui/#doc_info/29387846/1/0", "77242113UCO3001-CZE-DD5-CZ10010-Feasibility Documentation-19 Jun 2025 (v1.0)")</f>
        <v>77242113UCO3001-CZE-DD5-CZ10010-Feasibility Documentation-19 Jun 2025 (v1.0)</v>
      </c>
      <c r="B16" s="3" t="s">
        <v>94</v>
      </c>
      <c r="C16" s="3" t="s">
        <v>18</v>
      </c>
      <c r="D16" s="3" t="s">
        <v>131</v>
      </c>
      <c r="E16" s="3" t="s">
        <v>132</v>
      </c>
      <c r="F16" s="3" t="s">
        <v>244</v>
      </c>
      <c r="G16" s="2" t="str">
        <f>HYPERLINK("https://vtmf.veevavault.com/ui/#doc_info/29387846/1/0", "VTMF-23627160")</f>
        <v>VTMF-23627160</v>
      </c>
      <c r="H16" s="3"/>
      <c r="I16" s="3" t="s">
        <v>22</v>
      </c>
      <c r="J16" s="3" t="s">
        <v>94</v>
      </c>
      <c r="K16" s="4">
        <v>45827.482499999998</v>
      </c>
      <c r="L16" s="5">
        <v>45827</v>
      </c>
      <c r="M16" s="3" t="s">
        <v>23</v>
      </c>
      <c r="N16" s="3" t="s">
        <v>60</v>
      </c>
      <c r="O16" s="3" t="s">
        <v>25</v>
      </c>
      <c r="P16" s="3" t="s">
        <v>236</v>
      </c>
      <c r="Q16" s="3" t="s">
        <v>27</v>
      </c>
    </row>
    <row r="17" spans="1:17" x14ac:dyDescent="0.35">
      <c r="A17" s="2" t="str">
        <f>HYPERLINK("https://vtmf.veevavault.com/ui/#doc_info/29225509/1/0", "77242113UCO3001-CZE-DD5-CZ10010-Monitoring Visit Follow-up Letter-SQVR_FL-26 May 2025 (v1.0)")</f>
        <v>77242113UCO3001-CZE-DD5-CZ10010-Monitoring Visit Follow-up Letter-SQVR_FL-26 May 2025 (v1.0)</v>
      </c>
      <c r="B17" s="3" t="s">
        <v>38</v>
      </c>
      <c r="C17" s="3" t="s">
        <v>18</v>
      </c>
      <c r="D17" s="3" t="s">
        <v>18</v>
      </c>
      <c r="E17" s="3" t="s">
        <v>39</v>
      </c>
      <c r="F17" s="3"/>
      <c r="G17" s="2" t="str">
        <f>HYPERLINK("https://vtmf.veevavault.com/ui/#doc_info/29225509/1/0", "VTMF-23490215")</f>
        <v>VTMF-23490215</v>
      </c>
      <c r="H17" s="3"/>
      <c r="I17" s="3" t="s">
        <v>40</v>
      </c>
      <c r="J17" s="3" t="s">
        <v>38</v>
      </c>
      <c r="K17" s="4">
        <v>45806.438402777778</v>
      </c>
      <c r="L17" s="5">
        <v>45806</v>
      </c>
      <c r="M17" s="3" t="s">
        <v>23</v>
      </c>
      <c r="N17" s="3" t="s">
        <v>41</v>
      </c>
      <c r="O17" s="3" t="s">
        <v>25</v>
      </c>
      <c r="P17" s="3" t="s">
        <v>236</v>
      </c>
      <c r="Q17" s="3" t="s">
        <v>27</v>
      </c>
    </row>
    <row r="18" spans="1:17" x14ac:dyDescent="0.35">
      <c r="A18" s="2" t="str">
        <f>HYPERLINK("https://vtmf.veevavault.com/ui/#doc_info/29230230/1/0", "77242113UCO3001-CZE-DD5-CZ10010-Pre Trial Monitoring Report-26 May 2025 (v1.0)")</f>
        <v>77242113UCO3001-CZE-DD5-CZ10010-Pre Trial Monitoring Report-26 May 2025 (v1.0)</v>
      </c>
      <c r="B18" s="3" t="s">
        <v>38</v>
      </c>
      <c r="C18" s="3" t="s">
        <v>18</v>
      </c>
      <c r="D18" s="3" t="s">
        <v>131</v>
      </c>
      <c r="E18" s="3" t="s">
        <v>134</v>
      </c>
      <c r="F18" s="3"/>
      <c r="G18" s="2" t="str">
        <f>HYPERLINK("https://vtmf.veevavault.com/ui/#doc_info/29230230/1/0", "VTMF-23494226")</f>
        <v>VTMF-23494226</v>
      </c>
      <c r="H18" s="3"/>
      <c r="I18" s="3" t="s">
        <v>40</v>
      </c>
      <c r="J18" s="3" t="s">
        <v>38</v>
      </c>
      <c r="K18" s="4">
        <v>45806.942476851851</v>
      </c>
      <c r="L18" s="5">
        <v>45806</v>
      </c>
      <c r="M18" s="3" t="s">
        <v>23</v>
      </c>
      <c r="N18" s="3" t="s">
        <v>97</v>
      </c>
      <c r="O18" s="3" t="s">
        <v>25</v>
      </c>
      <c r="P18" s="3" t="s">
        <v>236</v>
      </c>
      <c r="Q18" s="3" t="s">
        <v>27</v>
      </c>
    </row>
    <row r="19" spans="1:17" x14ac:dyDescent="0.35">
      <c r="A19" s="2" t="str">
        <f>HYPERLINK("https://vtmf.veevavault.com/ui/#doc_info/29171074/1/0", "77242113UCO3001-CZE-DD5-CZ10010-Site Confirmation Letter-SQVR_CL-26 May 2025 (v1.0)")</f>
        <v>77242113UCO3001-CZE-DD5-CZ10010-Site Confirmation Letter-SQVR_CL-26 May 2025 (v1.0)</v>
      </c>
      <c r="B19" s="3" t="s">
        <v>38</v>
      </c>
      <c r="C19" s="3" t="s">
        <v>18</v>
      </c>
      <c r="D19" s="3" t="s">
        <v>18</v>
      </c>
      <c r="E19" s="3" t="s">
        <v>47</v>
      </c>
      <c r="F19" s="3"/>
      <c r="G19" s="2" t="str">
        <f>HYPERLINK("https://vtmf.veevavault.com/ui/#doc_info/29171074/1/0", "VTMF-23445391")</f>
        <v>VTMF-23445391</v>
      </c>
      <c r="H19" s="3"/>
      <c r="I19" s="3" t="s">
        <v>40</v>
      </c>
      <c r="J19" s="3" t="s">
        <v>38</v>
      </c>
      <c r="K19" s="4">
        <v>45798.946458333332</v>
      </c>
      <c r="L19" s="5">
        <v>45798</v>
      </c>
      <c r="M19" s="3" t="s">
        <v>23</v>
      </c>
      <c r="N19" s="3" t="s">
        <v>41</v>
      </c>
      <c r="O19" s="3" t="s">
        <v>25</v>
      </c>
      <c r="P19" s="3" t="s">
        <v>236</v>
      </c>
      <c r="Q19" s="3" t="s">
        <v>27</v>
      </c>
    </row>
    <row r="20" spans="1:17" x14ac:dyDescent="0.35">
      <c r="A20" s="2" t="str">
        <f>HYPERLINK("https://vtmf.veevavault.com/ui/#doc_info/31440136/0/1", "77242113UCO3001-CZE-DD5-CZ10010-Principal Investigator Financial Disclosure Form-11 Mar 2026 (v0.1)")</f>
        <v>77242113UCO3001-CZE-DD5-CZ10010-Principal Investigator Financial Disclosure Form-11 Mar 2026 (v0.1)</v>
      </c>
      <c r="B20" s="3" t="s">
        <v>214</v>
      </c>
      <c r="C20" s="3" t="s">
        <v>18</v>
      </c>
      <c r="D20" s="3" t="s">
        <v>57</v>
      </c>
      <c r="E20" s="3" t="s">
        <v>98</v>
      </c>
      <c r="F20" s="3" t="s">
        <v>245</v>
      </c>
      <c r="G20" s="2" t="str">
        <f>HYPERLINK("https://vtmf.veevavault.com/ui/#doc_info/31440136/0/1", "VTMF-25368343")</f>
        <v>VTMF-25368343</v>
      </c>
      <c r="H20" s="3"/>
      <c r="I20" s="3" t="s">
        <v>214</v>
      </c>
      <c r="J20" s="3" t="s">
        <v>214</v>
      </c>
      <c r="K20" s="4">
        <v>46125.516226851847</v>
      </c>
      <c r="L20" s="5"/>
      <c r="M20" s="3" t="s">
        <v>234</v>
      </c>
      <c r="N20" s="3" t="s">
        <v>100</v>
      </c>
      <c r="O20" s="3" t="s">
        <v>25</v>
      </c>
      <c r="P20" s="3" t="s">
        <v>236</v>
      </c>
      <c r="Q20" s="3" t="s">
        <v>27</v>
      </c>
    </row>
    <row r="21" spans="1:17" x14ac:dyDescent="0.35">
      <c r="A21" s="2" t="str">
        <f>HYPERLINK("https://vtmf.veevavault.com/ui/#doc_info/31277803/0/1", "77242113UCO3001-CZE-DD5-CZ10010-Relevant Communications-25 Mar 2026 (v0.1)")</f>
        <v>77242113UCO3001-CZE-DD5-CZ10010-Relevant Communications-25 Mar 2026 (v0.1)</v>
      </c>
      <c r="B21" s="3" t="s">
        <v>214</v>
      </c>
      <c r="C21" s="3" t="s">
        <v>18</v>
      </c>
      <c r="D21" s="3" t="s">
        <v>19</v>
      </c>
      <c r="E21" s="3" t="s">
        <v>20</v>
      </c>
      <c r="F21" s="3" t="s">
        <v>246</v>
      </c>
      <c r="G21" s="2" t="str">
        <f>HYPERLINK("https://vtmf.veevavault.com/ui/#doc_info/31277803/0/1", "VTMF-25225097")</f>
        <v>VTMF-25225097</v>
      </c>
      <c r="H21" s="3"/>
      <c r="I21" s="3" t="s">
        <v>214</v>
      </c>
      <c r="J21" s="3" t="s">
        <v>214</v>
      </c>
      <c r="K21" s="4">
        <v>46107.484826388893</v>
      </c>
      <c r="L21" s="5"/>
      <c r="M21" s="3" t="s">
        <v>234</v>
      </c>
      <c r="N21" s="3" t="s">
        <v>24</v>
      </c>
      <c r="O21" s="3" t="s">
        <v>25</v>
      </c>
      <c r="P21" s="3" t="s">
        <v>236</v>
      </c>
      <c r="Q21" s="3" t="s">
        <v>27</v>
      </c>
    </row>
    <row r="22" spans="1:17" x14ac:dyDescent="0.35">
      <c r="A22" s="2" t="str">
        <f>HYPERLINK("https://vtmf.veevavault.com/ui/#doc_info/31488315/1/0", "77242113UCO3001-CZE-DD5-CZ10010-Trial Initiation Monitoring Report-13 Apr 2026 (v1.0)")</f>
        <v>77242113UCO3001-CZE-DD5-CZ10010-Trial Initiation Monitoring Report-13 Apr 2026 (v1.0)</v>
      </c>
      <c r="B22" s="3" t="s">
        <v>38</v>
      </c>
      <c r="C22" s="3" t="s">
        <v>18</v>
      </c>
      <c r="D22" s="3" t="s">
        <v>68</v>
      </c>
      <c r="E22" s="3" t="s">
        <v>90</v>
      </c>
      <c r="F22" s="3"/>
      <c r="G22" s="2" t="str">
        <f>HYPERLINK("https://vtmf.veevavault.com/ui/#doc_info/31488315/1/0", "VTMF-25409212")</f>
        <v>VTMF-25409212</v>
      </c>
      <c r="H22" s="3"/>
      <c r="I22" s="3" t="s">
        <v>40</v>
      </c>
      <c r="J22" s="3" t="s">
        <v>38</v>
      </c>
      <c r="K22" s="4">
        <v>46132.439571759263</v>
      </c>
      <c r="L22" s="5"/>
      <c r="M22" s="3" t="s">
        <v>23</v>
      </c>
      <c r="N22" s="3" t="s">
        <v>91</v>
      </c>
      <c r="O22" s="3" t="s">
        <v>25</v>
      </c>
      <c r="P22" s="3" t="s">
        <v>236</v>
      </c>
      <c r="Q22" s="3" t="s">
        <v>27</v>
      </c>
    </row>
  </sheetData>
  <autoFilter ref="A1:Q22" xr:uid="{00000000-0009-0000-0000-000004000000}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Q37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HYPERLINK("https://vtmf.veevavault.com/ui/#doc_info/31289356/1/0", "77242113UCO3001-CZE-DD5-CZ10012-Non-IP Shipment Documentation-23 Feb 2026 (v1.0)")</f>
        <v>77242113UCO3001-CZE-DD5-CZ10012-Non-IP Shipment Documentation-23 Feb 2026 (v1.0)</v>
      </c>
      <c r="B2" s="3" t="s">
        <v>17</v>
      </c>
      <c r="C2" s="3" t="s">
        <v>28</v>
      </c>
      <c r="D2" s="3" t="s">
        <v>29</v>
      </c>
      <c r="E2" s="3" t="s">
        <v>30</v>
      </c>
      <c r="F2" s="3" t="s">
        <v>213</v>
      </c>
      <c r="G2" s="2" t="str">
        <f>HYPERLINK("https://vtmf.veevavault.com/ui/#doc_info/31289356/1/0", "VTMF-25234831")</f>
        <v>VTMF-25234831</v>
      </c>
      <c r="H2" s="3"/>
      <c r="I2" s="3" t="s">
        <v>22</v>
      </c>
      <c r="J2" s="3" t="s">
        <v>17</v>
      </c>
      <c r="K2" s="4">
        <v>46108.647928240738</v>
      </c>
      <c r="L2" s="5">
        <v>46125</v>
      </c>
      <c r="M2" s="3" t="s">
        <v>23</v>
      </c>
      <c r="N2" s="3" t="s">
        <v>32</v>
      </c>
      <c r="O2" s="3" t="s">
        <v>25</v>
      </c>
      <c r="P2" s="3" t="s">
        <v>247</v>
      </c>
      <c r="Q2" s="3" t="s">
        <v>27</v>
      </c>
    </row>
    <row r="3" spans="1:17" x14ac:dyDescent="0.35">
      <c r="A3" s="2" t="str">
        <f>HYPERLINK("https://vtmf.veevavault.com/ui/#doc_info/31279910/1/0", "77242113UCO3001-CZE-DD5-CZ10012-Site Confirmation Letter-SMVR_CL-30 Mar 2026 (v1.0)")</f>
        <v>77242113UCO3001-CZE-DD5-CZ10012-Site Confirmation Letter-SMVR_CL-30 Mar 2026 (v1.0)</v>
      </c>
      <c r="B3" s="3" t="s">
        <v>38</v>
      </c>
      <c r="C3" s="3" t="s">
        <v>18</v>
      </c>
      <c r="D3" s="3" t="s">
        <v>18</v>
      </c>
      <c r="E3" s="3" t="s">
        <v>47</v>
      </c>
      <c r="F3" s="3"/>
      <c r="G3" s="2" t="str">
        <f>HYPERLINK("https://vtmf.veevavault.com/ui/#doc_info/31279910/1/0", "VTMF-25226834")</f>
        <v>VTMF-25226834</v>
      </c>
      <c r="H3" s="3"/>
      <c r="I3" s="3" t="s">
        <v>40</v>
      </c>
      <c r="J3" s="3" t="s">
        <v>38</v>
      </c>
      <c r="K3" s="4">
        <v>46107.655115740738</v>
      </c>
      <c r="L3" s="5">
        <v>46107</v>
      </c>
      <c r="M3" s="3" t="s">
        <v>23</v>
      </c>
      <c r="N3" s="3" t="s">
        <v>41</v>
      </c>
      <c r="O3" s="3" t="s">
        <v>25</v>
      </c>
      <c r="P3" s="3" t="s">
        <v>247</v>
      </c>
      <c r="Q3" s="3" t="s">
        <v>27</v>
      </c>
    </row>
    <row r="4" spans="1:17" x14ac:dyDescent="0.35">
      <c r="A4" s="2" t="str">
        <f>HYPERLINK("https://vtmf.veevavault.com/ui/#doc_info/31270518/1/0", "77242113UCO3001-CZE-DD5-CZ10012-Relevant Communications-25 Mar 2026 (v1.0)")</f>
        <v>77242113UCO3001-CZE-DD5-CZ10012-Relevant Communications-25 Mar 2026 (v1.0)</v>
      </c>
      <c r="B4" s="3" t="s">
        <v>176</v>
      </c>
      <c r="C4" s="3" t="s">
        <v>18</v>
      </c>
      <c r="D4" s="3" t="s">
        <v>19</v>
      </c>
      <c r="E4" s="3" t="s">
        <v>20</v>
      </c>
      <c r="F4" s="3" t="s">
        <v>180</v>
      </c>
      <c r="G4" s="2" t="str">
        <f>HYPERLINK("https://vtmf.veevavault.com/ui/#doc_info/31270518/1/0", "VTMF-25218912")</f>
        <v>VTMF-25218912</v>
      </c>
      <c r="H4" s="3"/>
      <c r="I4" s="3" t="s">
        <v>22</v>
      </c>
      <c r="J4" s="3" t="s">
        <v>176</v>
      </c>
      <c r="K4" s="4">
        <v>46106.620740740742</v>
      </c>
      <c r="L4" s="5">
        <v>46106</v>
      </c>
      <c r="M4" s="3" t="s">
        <v>23</v>
      </c>
      <c r="N4" s="3" t="s">
        <v>24</v>
      </c>
      <c r="O4" s="3" t="s">
        <v>25</v>
      </c>
      <c r="P4" s="3" t="s">
        <v>247</v>
      </c>
      <c r="Q4" s="3" t="s">
        <v>27</v>
      </c>
    </row>
    <row r="5" spans="1:17" x14ac:dyDescent="0.35">
      <c r="A5" s="2" t="str">
        <f>HYPERLINK("https://vtmf.veevavault.com/ui/#doc_info/31034555/1/0", "77242113UCO3001-CZE-DD5-CZ10012-Trial Initiation Monitoring Report-30 Jan 2026 (v1.0)")</f>
        <v>77242113UCO3001-CZE-DD5-CZ10012-Trial Initiation Monitoring Report-30 Jan 2026 (v1.0)</v>
      </c>
      <c r="B5" s="3" t="s">
        <v>38</v>
      </c>
      <c r="C5" s="3" t="s">
        <v>18</v>
      </c>
      <c r="D5" s="3" t="s">
        <v>68</v>
      </c>
      <c r="E5" s="3" t="s">
        <v>90</v>
      </c>
      <c r="F5" s="3"/>
      <c r="G5" s="2" t="str">
        <f>HYPERLINK("https://vtmf.veevavault.com/ui/#doc_info/31034555/1/0", "VTMF-25018234")</f>
        <v>VTMF-25018234</v>
      </c>
      <c r="H5" s="3"/>
      <c r="I5" s="3" t="s">
        <v>40</v>
      </c>
      <c r="J5" s="3" t="s">
        <v>38</v>
      </c>
      <c r="K5" s="4">
        <v>46074.940509259257</v>
      </c>
      <c r="L5" s="5">
        <v>46074</v>
      </c>
      <c r="M5" s="3" t="s">
        <v>23</v>
      </c>
      <c r="N5" s="3" t="s">
        <v>91</v>
      </c>
      <c r="O5" s="3" t="s">
        <v>25</v>
      </c>
      <c r="P5" s="3" t="s">
        <v>247</v>
      </c>
      <c r="Q5" s="3" t="s">
        <v>27</v>
      </c>
    </row>
    <row r="6" spans="1:17" x14ac:dyDescent="0.35">
      <c r="A6" s="2" t="str">
        <f>HYPERLINK("https://vtmf.veevavault.com/ui/#doc_info/31020646/1/0", "77242113UCO3001-CZE-DD5-CZ10012-Monitoring Visit Follow-up Letter-SIVR_FL-30 Jan 2026 (v1.0)")</f>
        <v>77242113UCO3001-CZE-DD5-CZ10012-Monitoring Visit Follow-up Letter-SIVR_FL-30 Jan 2026 (v1.0)</v>
      </c>
      <c r="B6" s="3" t="s">
        <v>38</v>
      </c>
      <c r="C6" s="3" t="s">
        <v>18</v>
      </c>
      <c r="D6" s="3" t="s">
        <v>18</v>
      </c>
      <c r="E6" s="3" t="s">
        <v>39</v>
      </c>
      <c r="F6" s="3"/>
      <c r="G6" s="2" t="str">
        <f>HYPERLINK("https://vtmf.veevavault.com/ui/#doc_info/31020646/1/0", "VTMF-25005875")</f>
        <v>VTMF-25005875</v>
      </c>
      <c r="H6" s="3"/>
      <c r="I6" s="3" t="s">
        <v>40</v>
      </c>
      <c r="J6" s="3" t="s">
        <v>38</v>
      </c>
      <c r="K6" s="4">
        <v>46072.608460648153</v>
      </c>
      <c r="L6" s="5">
        <v>46072</v>
      </c>
      <c r="M6" s="3" t="s">
        <v>23</v>
      </c>
      <c r="N6" s="3" t="s">
        <v>41</v>
      </c>
      <c r="O6" s="3" t="s">
        <v>25</v>
      </c>
      <c r="P6" s="3" t="s">
        <v>247</v>
      </c>
      <c r="Q6" s="3" t="s">
        <v>27</v>
      </c>
    </row>
    <row r="7" spans="1:17" x14ac:dyDescent="0.35">
      <c r="A7" s="2" t="str">
        <f>HYPERLINK("https://vtmf.veevavault.com/ui/#doc_info/30988111/1/0", "77242113UCO3001-CZE-DD5-CZ10012-Non-IP Shipment Documentation-21 Jan 2026 (v1.0)")</f>
        <v>77242113UCO3001-CZE-DD5-CZ10012-Non-IP Shipment Documentation-21 Jan 2026 (v1.0)</v>
      </c>
      <c r="B7" s="3" t="s">
        <v>176</v>
      </c>
      <c r="C7" s="3" t="s">
        <v>28</v>
      </c>
      <c r="D7" s="3" t="s">
        <v>29</v>
      </c>
      <c r="E7" s="3" t="s">
        <v>30</v>
      </c>
      <c r="F7" s="3" t="s">
        <v>248</v>
      </c>
      <c r="G7" s="2" t="str">
        <f>HYPERLINK("https://vtmf.veevavault.com/ui/#doc_info/30988111/1/0", "VTMF-24978808")</f>
        <v>VTMF-24978808</v>
      </c>
      <c r="H7" s="3"/>
      <c r="I7" s="3" t="s">
        <v>22</v>
      </c>
      <c r="J7" s="3" t="s">
        <v>176</v>
      </c>
      <c r="K7" s="4">
        <v>46066.621736111112</v>
      </c>
      <c r="L7" s="5">
        <v>46066</v>
      </c>
      <c r="M7" s="3" t="s">
        <v>23</v>
      </c>
      <c r="N7" s="3" t="s">
        <v>32</v>
      </c>
      <c r="O7" s="3" t="s">
        <v>25</v>
      </c>
      <c r="P7" s="3" t="s">
        <v>247</v>
      </c>
      <c r="Q7" s="3" t="s">
        <v>27</v>
      </c>
    </row>
    <row r="8" spans="1:17" x14ac:dyDescent="0.35">
      <c r="A8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8" s="3" t="s">
        <v>35</v>
      </c>
      <c r="C8" s="3" t="s">
        <v>18</v>
      </c>
      <c r="D8" s="3" t="s">
        <v>19</v>
      </c>
      <c r="E8" s="3" t="s">
        <v>20</v>
      </c>
      <c r="F8" s="3" t="s">
        <v>44</v>
      </c>
      <c r="G8" s="2" t="str">
        <f>HYPERLINK("https://vtmf.veevavault.com/ui/#doc_info/30957580/1/0", "VTMF-24952860")</f>
        <v>VTMF-24952860</v>
      </c>
      <c r="H8" s="3"/>
      <c r="I8" s="3" t="s">
        <v>35</v>
      </c>
      <c r="J8" s="3" t="s">
        <v>35</v>
      </c>
      <c r="K8" s="4">
        <v>46063.445960648147</v>
      </c>
      <c r="L8" s="5">
        <v>46063</v>
      </c>
      <c r="M8" s="3" t="s">
        <v>23</v>
      </c>
      <c r="N8" s="3" t="s">
        <v>24</v>
      </c>
      <c r="O8" s="3" t="s">
        <v>25</v>
      </c>
      <c r="P8" s="3" t="s">
        <v>45</v>
      </c>
      <c r="Q8" s="3" t="s">
        <v>27</v>
      </c>
    </row>
    <row r="9" spans="1:17" x14ac:dyDescent="0.35">
      <c r="A9" s="2" t="str">
        <f>HYPERLINK("https://vtmf.veevavault.com/ui/#doc_info/30938822/1/0", "77242113UCO3001-CZE-DD5-CZ10012-Acceptance of Investigator Brochure-21 Jan 2026 (v1.0)")</f>
        <v>77242113UCO3001-CZE-DD5-CZ10012-Acceptance of Investigator Brochure-21 Jan 2026 (v1.0)</v>
      </c>
      <c r="B9" s="3" t="s">
        <v>176</v>
      </c>
      <c r="C9" s="3" t="s">
        <v>18</v>
      </c>
      <c r="D9" s="3" t="s">
        <v>57</v>
      </c>
      <c r="E9" s="3" t="s">
        <v>92</v>
      </c>
      <c r="F9" s="3" t="s">
        <v>249</v>
      </c>
      <c r="G9" s="2" t="str">
        <f>HYPERLINK("https://vtmf.veevavault.com/ui/#doc_info/30938822/1/0", "VTMF-24937455")</f>
        <v>VTMF-24937455</v>
      </c>
      <c r="H9" s="3"/>
      <c r="I9" s="3" t="s">
        <v>22</v>
      </c>
      <c r="J9" s="3" t="s">
        <v>176</v>
      </c>
      <c r="K9" s="4">
        <v>46059.582546296297</v>
      </c>
      <c r="L9" s="5">
        <v>46059</v>
      </c>
      <c r="M9" s="3" t="s">
        <v>23</v>
      </c>
      <c r="N9" s="3" t="s">
        <v>67</v>
      </c>
      <c r="O9" s="3" t="s">
        <v>25</v>
      </c>
      <c r="P9" s="3" t="s">
        <v>247</v>
      </c>
      <c r="Q9" s="3" t="s">
        <v>27</v>
      </c>
    </row>
    <row r="10" spans="1:17" x14ac:dyDescent="0.35">
      <c r="A10" s="2" t="str">
        <f>HYPERLINK("https://vtmf.veevavault.com/ui/#doc_info/30937285/1/0", "77242113UCO3001-CZE-DD5-CZ10012-Financial Disclosure Form-21 Jan 2026 (v1.0)")</f>
        <v>77242113UCO3001-CZE-DD5-CZ10012-Financial Disclosure Form-21 Jan 2026 (v1.0)</v>
      </c>
      <c r="B10" s="3" t="s">
        <v>176</v>
      </c>
      <c r="C10" s="3" t="s">
        <v>18</v>
      </c>
      <c r="D10" s="3" t="s">
        <v>57</v>
      </c>
      <c r="E10" s="3" t="s">
        <v>189</v>
      </c>
      <c r="F10" s="3" t="s">
        <v>250</v>
      </c>
      <c r="G10" s="2" t="str">
        <f>HYPERLINK("https://vtmf.veevavault.com/ui/#doc_info/30937285/1/0", "VTMF-24936277")</f>
        <v>VTMF-24936277</v>
      </c>
      <c r="H10" s="3"/>
      <c r="I10" s="3" t="s">
        <v>22</v>
      </c>
      <c r="J10" s="3" t="s">
        <v>176</v>
      </c>
      <c r="K10" s="4">
        <v>46059.449328703697</v>
      </c>
      <c r="L10" s="5">
        <v>46059</v>
      </c>
      <c r="M10" s="3" t="s">
        <v>23</v>
      </c>
      <c r="N10" s="3" t="s">
        <v>191</v>
      </c>
      <c r="O10" s="3" t="s">
        <v>25</v>
      </c>
      <c r="P10" s="3" t="s">
        <v>247</v>
      </c>
      <c r="Q10" s="3" t="s">
        <v>27</v>
      </c>
    </row>
    <row r="11" spans="1:17" x14ac:dyDescent="0.35">
      <c r="A11" s="2" t="str">
        <f>HYPERLINK("https://vtmf.veevavault.com/ui/#doc_info/30937406/1/0", "77242113UCO3001-CZE-DD5-CZ10012-Financial Disclosure Form-21 Jan 2026 (v1.0)")</f>
        <v>77242113UCO3001-CZE-DD5-CZ10012-Financial Disclosure Form-21 Jan 2026 (v1.0)</v>
      </c>
      <c r="B11" s="3" t="s">
        <v>176</v>
      </c>
      <c r="C11" s="3" t="s">
        <v>18</v>
      </c>
      <c r="D11" s="3" t="s">
        <v>57</v>
      </c>
      <c r="E11" s="3" t="s">
        <v>189</v>
      </c>
      <c r="F11" s="3" t="s">
        <v>251</v>
      </c>
      <c r="G11" s="2" t="str">
        <f>HYPERLINK("https://vtmf.veevavault.com/ui/#doc_info/30937406/1/0", "VTMF-24936302")</f>
        <v>VTMF-24936302</v>
      </c>
      <c r="H11" s="3"/>
      <c r="I11" s="3" t="s">
        <v>22</v>
      </c>
      <c r="J11" s="3" t="s">
        <v>176</v>
      </c>
      <c r="K11" s="4">
        <v>46059.450983796298</v>
      </c>
      <c r="L11" s="5">
        <v>46059</v>
      </c>
      <c r="M11" s="3" t="s">
        <v>23</v>
      </c>
      <c r="N11" s="3" t="s">
        <v>191</v>
      </c>
      <c r="O11" s="3" t="s">
        <v>25</v>
      </c>
      <c r="P11" s="3" t="s">
        <v>247</v>
      </c>
      <c r="Q11" s="3" t="s">
        <v>27</v>
      </c>
    </row>
    <row r="12" spans="1:17" x14ac:dyDescent="0.35">
      <c r="A12" s="2" t="str">
        <f>HYPERLINK("https://vtmf.veevavault.com/ui/#doc_info/30937412/1/0", "77242113UCO3001-CZE-DD5-CZ10012-Financial Disclosure Form-21 Jan 2026 (v1.0)")</f>
        <v>77242113UCO3001-CZE-DD5-CZ10012-Financial Disclosure Form-21 Jan 2026 (v1.0)</v>
      </c>
      <c r="B12" s="3" t="s">
        <v>176</v>
      </c>
      <c r="C12" s="3" t="s">
        <v>18</v>
      </c>
      <c r="D12" s="3" t="s">
        <v>57</v>
      </c>
      <c r="E12" s="3" t="s">
        <v>189</v>
      </c>
      <c r="F12" s="3" t="s">
        <v>252</v>
      </c>
      <c r="G12" s="2" t="str">
        <f>HYPERLINK("https://vtmf.veevavault.com/ui/#doc_info/30937412/1/0", "VTMF-24936307")</f>
        <v>VTMF-24936307</v>
      </c>
      <c r="H12" s="3"/>
      <c r="I12" s="3" t="s">
        <v>22</v>
      </c>
      <c r="J12" s="3" t="s">
        <v>176</v>
      </c>
      <c r="K12" s="4">
        <v>46059.452199074083</v>
      </c>
      <c r="L12" s="5">
        <v>46059</v>
      </c>
      <c r="M12" s="3" t="s">
        <v>23</v>
      </c>
      <c r="N12" s="3" t="s">
        <v>191</v>
      </c>
      <c r="O12" s="3" t="s">
        <v>25</v>
      </c>
      <c r="P12" s="3" t="s">
        <v>247</v>
      </c>
      <c r="Q12" s="3" t="s">
        <v>27</v>
      </c>
    </row>
    <row r="13" spans="1:17" x14ac:dyDescent="0.35">
      <c r="A13" s="2" t="str">
        <f>HYPERLINK("https://vtmf.veevavault.com/ui/#doc_info/30937418/1/0", "77242113UCO3001-CZE-DD5-CZ10012-Financial Disclosure Form-27 Jan 2026 (v1.0)")</f>
        <v>77242113UCO3001-CZE-DD5-CZ10012-Financial Disclosure Form-27 Jan 2026 (v1.0)</v>
      </c>
      <c r="B13" s="3" t="s">
        <v>176</v>
      </c>
      <c r="C13" s="3" t="s">
        <v>18</v>
      </c>
      <c r="D13" s="3" t="s">
        <v>57</v>
      </c>
      <c r="E13" s="3" t="s">
        <v>189</v>
      </c>
      <c r="F13" s="3" t="s">
        <v>253</v>
      </c>
      <c r="G13" s="2" t="str">
        <f>HYPERLINK("https://vtmf.veevavault.com/ui/#doc_info/30937418/1/0", "VTMF-24936320")</f>
        <v>VTMF-24936320</v>
      </c>
      <c r="H13" s="3"/>
      <c r="I13" s="3" t="s">
        <v>22</v>
      </c>
      <c r="J13" s="3" t="s">
        <v>176</v>
      </c>
      <c r="K13" s="4">
        <v>46059.453703703701</v>
      </c>
      <c r="L13" s="5">
        <v>46059</v>
      </c>
      <c r="M13" s="3" t="s">
        <v>23</v>
      </c>
      <c r="N13" s="3" t="s">
        <v>191</v>
      </c>
      <c r="O13" s="3" t="s">
        <v>25</v>
      </c>
      <c r="P13" s="3" t="s">
        <v>247</v>
      </c>
      <c r="Q13" s="3" t="s">
        <v>27</v>
      </c>
    </row>
    <row r="14" spans="1:17" x14ac:dyDescent="0.35">
      <c r="A14" s="2" t="str">
        <f>HYPERLINK("https://vtmf.veevavault.com/ui/#doc_info/30939871/1/0", "77242113UCO3001-CZE-DD5-CZ10012-Maintenance Logs (Device)-21 Jan 2025 (v1.0)")</f>
        <v>77242113UCO3001-CZE-DD5-CZ10012-Maintenance Logs (Device)-21 Jan 2025 (v1.0)</v>
      </c>
      <c r="B14" s="3" t="s">
        <v>176</v>
      </c>
      <c r="C14" s="3" t="s">
        <v>28</v>
      </c>
      <c r="D14" s="3" t="s">
        <v>77</v>
      </c>
      <c r="E14" s="3" t="s">
        <v>109</v>
      </c>
      <c r="F14" s="3" t="s">
        <v>254</v>
      </c>
      <c r="G14" s="2" t="str">
        <f>HYPERLINK("https://vtmf.veevavault.com/ui/#doc_info/30939871/1/0", "VTMF-24937685")</f>
        <v>VTMF-24937685</v>
      </c>
      <c r="H14" s="3"/>
      <c r="I14" s="3" t="s">
        <v>22</v>
      </c>
      <c r="J14" s="3" t="s">
        <v>176</v>
      </c>
      <c r="K14" s="4">
        <v>46059.60564814815</v>
      </c>
      <c r="L14" s="5">
        <v>46059</v>
      </c>
      <c r="M14" s="3" t="s">
        <v>23</v>
      </c>
      <c r="N14" s="3" t="s">
        <v>111</v>
      </c>
      <c r="O14" s="3" t="s">
        <v>25</v>
      </c>
      <c r="P14" s="3" t="s">
        <v>247</v>
      </c>
      <c r="Q14" s="3" t="s">
        <v>27</v>
      </c>
    </row>
    <row r="15" spans="1:17" x14ac:dyDescent="0.35">
      <c r="A15" s="2" t="str">
        <f>HYPERLINK("https://vtmf.veevavault.com/ui/#doc_info/30938397/1/0", "77242113UCO3001-CZE-DD5-CZ10012-Non-IP Shipment Documentation-21 Jan 2026 (v1.0)")</f>
        <v>77242113UCO3001-CZE-DD5-CZ10012-Non-IP Shipment Documentation-21 Jan 2026 (v1.0)</v>
      </c>
      <c r="B15" s="3" t="s">
        <v>176</v>
      </c>
      <c r="C15" s="3" t="s">
        <v>28</v>
      </c>
      <c r="D15" s="3" t="s">
        <v>29</v>
      </c>
      <c r="E15" s="3" t="s">
        <v>30</v>
      </c>
      <c r="F15" s="3" t="s">
        <v>255</v>
      </c>
      <c r="G15" s="2" t="str">
        <f>HYPERLINK("https://vtmf.veevavault.com/ui/#doc_info/30938397/1/0", "VTMF-24937250")</f>
        <v>VTMF-24937250</v>
      </c>
      <c r="H15" s="3"/>
      <c r="I15" s="3" t="s">
        <v>22</v>
      </c>
      <c r="J15" s="3" t="s">
        <v>176</v>
      </c>
      <c r="K15" s="4">
        <v>46059.559629629628</v>
      </c>
      <c r="L15" s="5">
        <v>46059</v>
      </c>
      <c r="M15" s="3" t="s">
        <v>23</v>
      </c>
      <c r="N15" s="3" t="s">
        <v>32</v>
      </c>
      <c r="O15" s="3" t="s">
        <v>25</v>
      </c>
      <c r="P15" s="3" t="s">
        <v>247</v>
      </c>
      <c r="Q15" s="3" t="s">
        <v>27</v>
      </c>
    </row>
    <row r="16" spans="1:17" x14ac:dyDescent="0.35">
      <c r="A16" s="2" t="str">
        <f>HYPERLINK("https://vtmf.veevavault.com/ui/#doc_info/30938558/1/0", "77242113UCO3001-CZE-DD5-CZ10012-Non-IP Shipment Documentation-21 Jan 2026 (v1.0)")</f>
        <v>77242113UCO3001-CZE-DD5-CZ10012-Non-IP Shipment Documentation-21 Jan 2026 (v1.0)</v>
      </c>
      <c r="B16" s="3" t="s">
        <v>176</v>
      </c>
      <c r="C16" s="3" t="s">
        <v>28</v>
      </c>
      <c r="D16" s="3" t="s">
        <v>29</v>
      </c>
      <c r="E16" s="3" t="s">
        <v>30</v>
      </c>
      <c r="F16" s="3" t="s">
        <v>256</v>
      </c>
      <c r="G16" s="2" t="str">
        <f>HYPERLINK("https://vtmf.veevavault.com/ui/#doc_info/30938558/1/0", "VTMF-24937290")</f>
        <v>VTMF-24937290</v>
      </c>
      <c r="H16" s="3"/>
      <c r="I16" s="3" t="s">
        <v>22</v>
      </c>
      <c r="J16" s="3" t="s">
        <v>176</v>
      </c>
      <c r="K16" s="4">
        <v>46059.563460648147</v>
      </c>
      <c r="L16" s="5">
        <v>46059</v>
      </c>
      <c r="M16" s="3" t="s">
        <v>23</v>
      </c>
      <c r="N16" s="3" t="s">
        <v>32</v>
      </c>
      <c r="O16" s="3" t="s">
        <v>25</v>
      </c>
      <c r="P16" s="3" t="s">
        <v>247</v>
      </c>
      <c r="Q16" s="3" t="s">
        <v>27</v>
      </c>
    </row>
    <row r="17" spans="1:17" x14ac:dyDescent="0.35">
      <c r="A17" s="2" t="str">
        <f>HYPERLINK("https://vtmf.veevavault.com/ui/#doc_info/30938563/1/0", "77242113UCO3001-CZE-DD5-CZ10012-Non-IP Shipment Documentation-21 Jan 2026 (v1.0)")</f>
        <v>77242113UCO3001-CZE-DD5-CZ10012-Non-IP Shipment Documentation-21 Jan 2026 (v1.0)</v>
      </c>
      <c r="B17" s="3" t="s">
        <v>176</v>
      </c>
      <c r="C17" s="3" t="s">
        <v>28</v>
      </c>
      <c r="D17" s="3" t="s">
        <v>29</v>
      </c>
      <c r="E17" s="3" t="s">
        <v>30</v>
      </c>
      <c r="F17" s="3" t="s">
        <v>257</v>
      </c>
      <c r="G17" s="2" t="str">
        <f>HYPERLINK("https://vtmf.veevavault.com/ui/#doc_info/30938563/1/0", "VTMF-24937310")</f>
        <v>VTMF-24937310</v>
      </c>
      <c r="H17" s="3"/>
      <c r="I17" s="3" t="s">
        <v>22</v>
      </c>
      <c r="J17" s="3" t="s">
        <v>176</v>
      </c>
      <c r="K17" s="4">
        <v>46059.565833333327</v>
      </c>
      <c r="L17" s="5">
        <v>46059</v>
      </c>
      <c r="M17" s="3" t="s">
        <v>23</v>
      </c>
      <c r="N17" s="3" t="s">
        <v>32</v>
      </c>
      <c r="O17" s="3" t="s">
        <v>25</v>
      </c>
      <c r="P17" s="3" t="s">
        <v>247</v>
      </c>
      <c r="Q17" s="3" t="s">
        <v>27</v>
      </c>
    </row>
    <row r="18" spans="1:17" x14ac:dyDescent="0.35">
      <c r="A18" s="2" t="str">
        <f>HYPERLINK("https://vtmf.veevavault.com/ui/#doc_info/30940318/1/0", "77242113UCO3001-CZE-DD5-CZ10012-Recruitment Plan-28 Jan 2026 (v1.0)")</f>
        <v>77242113UCO3001-CZE-DD5-CZ10012-Recruitment Plan-28 Jan 2026 (v1.0)</v>
      </c>
      <c r="B18" s="3" t="s">
        <v>176</v>
      </c>
      <c r="C18" s="3" t="s">
        <v>48</v>
      </c>
      <c r="D18" s="3" t="s">
        <v>49</v>
      </c>
      <c r="E18" s="3" t="s">
        <v>50</v>
      </c>
      <c r="F18" s="3" t="s">
        <v>182</v>
      </c>
      <c r="G18" s="2" t="str">
        <f>HYPERLINK("https://vtmf.veevavault.com/ui/#doc_info/30940318/1/0", "VTMF-24938059")</f>
        <v>VTMF-24938059</v>
      </c>
      <c r="H18" s="3"/>
      <c r="I18" s="3" t="s">
        <v>22</v>
      </c>
      <c r="J18" s="3" t="s">
        <v>176</v>
      </c>
      <c r="K18" s="4">
        <v>46059.640208333331</v>
      </c>
      <c r="L18" s="5">
        <v>46059</v>
      </c>
      <c r="M18" s="3" t="s">
        <v>23</v>
      </c>
      <c r="N18" s="3" t="s">
        <v>52</v>
      </c>
      <c r="O18" s="3" t="s">
        <v>25</v>
      </c>
      <c r="P18" s="3" t="s">
        <v>247</v>
      </c>
      <c r="Q18" s="3" t="s">
        <v>27</v>
      </c>
    </row>
    <row r="19" spans="1:17" x14ac:dyDescent="0.35">
      <c r="A19" s="2" t="str">
        <f>HYPERLINK("https://vtmf.veevavault.com/ui/#doc_info/30940000/1/0", "77242113UCO3001-CZE-DD5-CZ10012-Relevant Communications-30 Jan 2026 (v1.0)")</f>
        <v>77242113UCO3001-CZE-DD5-CZ10012-Relevant Communications-30 Jan 2026 (v1.0)</v>
      </c>
      <c r="B19" s="3" t="s">
        <v>176</v>
      </c>
      <c r="C19" s="3" t="s">
        <v>18</v>
      </c>
      <c r="D19" s="3" t="s">
        <v>19</v>
      </c>
      <c r="E19" s="3" t="s">
        <v>20</v>
      </c>
      <c r="F19" s="3" t="s">
        <v>258</v>
      </c>
      <c r="G19" s="2" t="str">
        <f>HYPERLINK("https://vtmf.veevavault.com/ui/#doc_info/30940000/1/0", "VTMF-24937896")</f>
        <v>VTMF-24937896</v>
      </c>
      <c r="H19" s="3"/>
      <c r="I19" s="3" t="s">
        <v>22</v>
      </c>
      <c r="J19" s="3" t="s">
        <v>176</v>
      </c>
      <c r="K19" s="4">
        <v>46059.62327546296</v>
      </c>
      <c r="L19" s="5">
        <v>46059</v>
      </c>
      <c r="M19" s="3" t="s">
        <v>23</v>
      </c>
      <c r="N19" s="3" t="s">
        <v>24</v>
      </c>
      <c r="O19" s="3" t="s">
        <v>25</v>
      </c>
      <c r="P19" s="3" t="s">
        <v>247</v>
      </c>
      <c r="Q19" s="3" t="s">
        <v>27</v>
      </c>
    </row>
    <row r="20" spans="1:17" x14ac:dyDescent="0.35">
      <c r="A20" s="2" t="str">
        <f>HYPERLINK("https://vtmf.veevavault.com/ui/#doc_info/30938766/1/0", "77242113UCO3001-CZE-DD5-CZ10012-Temperature Monitor Validation/Calibration Cert.-16 May 2025 (v1.0)")</f>
        <v>77242113UCO3001-CZE-DD5-CZ10012-Temperature Monitor Validation/Calibration Cert.-16 May 2025 (v1.0)</v>
      </c>
      <c r="B20" s="3" t="s">
        <v>176</v>
      </c>
      <c r="C20" s="3" t="s">
        <v>28</v>
      </c>
      <c r="D20" s="3" t="s">
        <v>77</v>
      </c>
      <c r="E20" s="3" t="s">
        <v>78</v>
      </c>
      <c r="F20" s="3" t="s">
        <v>259</v>
      </c>
      <c r="G20" s="2" t="str">
        <f>HYPERLINK("https://vtmf.veevavault.com/ui/#doc_info/30938766/1/0", "VTMF-24937564")</f>
        <v>VTMF-24937564</v>
      </c>
      <c r="H20" s="3"/>
      <c r="I20" s="3" t="s">
        <v>22</v>
      </c>
      <c r="J20" s="3" t="s">
        <v>176</v>
      </c>
      <c r="K20" s="4">
        <v>46059.593634259261</v>
      </c>
      <c r="L20" s="5">
        <v>46059</v>
      </c>
      <c r="M20" s="3" t="s">
        <v>23</v>
      </c>
      <c r="N20" s="3" t="s">
        <v>80</v>
      </c>
      <c r="O20" s="3" t="s">
        <v>25</v>
      </c>
      <c r="P20" s="3" t="s">
        <v>247</v>
      </c>
      <c r="Q20" s="3" t="s">
        <v>27</v>
      </c>
    </row>
    <row r="21" spans="1:17" x14ac:dyDescent="0.35">
      <c r="A21" s="2" t="str">
        <f>HYPERLINK("https://vtmf.veevavault.com/ui/#doc_info/30885981/1/0", "77242113UCO3001-CZE-DD5-CZ10012-Source Data-30 Jan 2026 (v1.0)")</f>
        <v>77242113UCO3001-CZE-DD5-CZ10012-Source Data-30 Jan 2026 (v1.0)</v>
      </c>
      <c r="B21" s="3" t="s">
        <v>107</v>
      </c>
      <c r="C21" s="3" t="s">
        <v>18</v>
      </c>
      <c r="D21" s="3" t="s">
        <v>18</v>
      </c>
      <c r="E21" s="3" t="s">
        <v>88</v>
      </c>
      <c r="F21" s="3" t="s">
        <v>108</v>
      </c>
      <c r="G21" s="2" t="str">
        <f>HYPERLINK("https://vtmf.veevavault.com/ui/#doc_info/30885981/1/0", "VTMF-24892934")</f>
        <v>VTMF-24892934</v>
      </c>
      <c r="H21" s="3"/>
      <c r="I21" s="3" t="s">
        <v>22</v>
      </c>
      <c r="J21" s="3" t="s">
        <v>107</v>
      </c>
      <c r="K21" s="4">
        <v>46052.481793981482</v>
      </c>
      <c r="L21" s="5">
        <v>46053</v>
      </c>
      <c r="M21" s="3" t="s">
        <v>23</v>
      </c>
      <c r="N21" s="3" t="s">
        <v>60</v>
      </c>
      <c r="O21" s="3" t="s">
        <v>25</v>
      </c>
      <c r="P21" s="3" t="s">
        <v>247</v>
      </c>
      <c r="Q21" s="3" t="s">
        <v>27</v>
      </c>
    </row>
    <row r="22" spans="1:17" x14ac:dyDescent="0.35">
      <c r="A22" s="2" t="str">
        <f>HYPERLINK("https://vtmf.veevavault.com/ui/#doc_info/30886102/1/0", "77242113UCO3001-CZE-DD5-CZ10012-IP Site Release Documentation-30 Jan 2026 (v1.0)")</f>
        <v>77242113UCO3001-CZE-DD5-CZ10012-IP Site Release Documentation-30 Jan 2026 (v1.0)</v>
      </c>
      <c r="B22" s="3" t="s">
        <v>94</v>
      </c>
      <c r="C22" s="3" t="s">
        <v>18</v>
      </c>
      <c r="D22" s="3" t="s">
        <v>57</v>
      </c>
      <c r="E22" s="3" t="s">
        <v>95</v>
      </c>
      <c r="F22" s="3" t="s">
        <v>260</v>
      </c>
      <c r="G22" s="2" t="str">
        <f>HYPERLINK("https://vtmf.veevavault.com/ui/#doc_info/30886102/1/0", "VTMF-24892976")</f>
        <v>VTMF-24892976</v>
      </c>
      <c r="H22" s="3"/>
      <c r="I22" s="3" t="s">
        <v>22</v>
      </c>
      <c r="J22" s="3" t="s">
        <v>94</v>
      </c>
      <c r="K22" s="4">
        <v>46052.486064814817</v>
      </c>
      <c r="L22" s="5">
        <v>46052</v>
      </c>
      <c r="M22" s="3" t="s">
        <v>23</v>
      </c>
      <c r="N22" s="3" t="s">
        <v>97</v>
      </c>
      <c r="O22" s="3" t="s">
        <v>25</v>
      </c>
      <c r="P22" s="3" t="s">
        <v>247</v>
      </c>
      <c r="Q22" s="3" t="s">
        <v>27</v>
      </c>
    </row>
    <row r="23" spans="1:17" x14ac:dyDescent="0.35">
      <c r="A23" s="2" t="str">
        <f>HYPERLINK("https://vtmf.veevavault.com/ui/#doc_info/30855911/1/0", "77242113UCO3001-CZE-DD5-CZ10012-Principal Investigator Financial Disclosure Form-21 Jan 2026 (v1.0)")</f>
        <v>77242113UCO3001-CZE-DD5-CZ10012-Principal Investigator Financial Disclosure Form-21 Jan 2026 (v1.0)</v>
      </c>
      <c r="B23" s="3" t="s">
        <v>176</v>
      </c>
      <c r="C23" s="3" t="s">
        <v>18</v>
      </c>
      <c r="D23" s="3" t="s">
        <v>57</v>
      </c>
      <c r="E23" s="3" t="s">
        <v>98</v>
      </c>
      <c r="F23" s="3" t="s">
        <v>261</v>
      </c>
      <c r="G23" s="2" t="str">
        <f>HYPERLINK("https://vtmf.veevavault.com/ui/#doc_info/30855911/1/0", "VTMF-24867162")</f>
        <v>VTMF-24867162</v>
      </c>
      <c r="H23" s="3"/>
      <c r="I23" s="3" t="s">
        <v>176</v>
      </c>
      <c r="J23" s="3" t="s">
        <v>176</v>
      </c>
      <c r="K23" s="4">
        <v>46049.517800925933</v>
      </c>
      <c r="L23" s="5">
        <v>46049</v>
      </c>
      <c r="M23" s="3" t="s">
        <v>23</v>
      </c>
      <c r="N23" s="3" t="s">
        <v>100</v>
      </c>
      <c r="O23" s="3" t="s">
        <v>25</v>
      </c>
      <c r="P23" s="3" t="s">
        <v>247</v>
      </c>
      <c r="Q23" s="3" t="s">
        <v>27</v>
      </c>
    </row>
    <row r="24" spans="1:17" x14ac:dyDescent="0.35">
      <c r="A24" s="2" t="str">
        <f>HYPERLINK("https://vtmf.veevavault.com/ui/#doc_info/30855694/1/0", "77242113UCO3001-CZE-DD5-CZ10012-Protocol Signature Page-21 Jan 2026 (v1.0)")</f>
        <v>77242113UCO3001-CZE-DD5-CZ10012-Protocol Signature Page-21 Jan 2026 (v1.0)</v>
      </c>
      <c r="B24" s="3" t="s">
        <v>176</v>
      </c>
      <c r="C24" s="3" t="s">
        <v>18</v>
      </c>
      <c r="D24" s="3" t="s">
        <v>57</v>
      </c>
      <c r="E24" s="3" t="s">
        <v>101</v>
      </c>
      <c r="F24" s="3" t="s">
        <v>262</v>
      </c>
      <c r="G24" s="2" t="str">
        <f>HYPERLINK("https://vtmf.veevavault.com/ui/#doc_info/30855694/1/0", "VTMF-24867025")</f>
        <v>VTMF-24867025</v>
      </c>
      <c r="H24" s="3"/>
      <c r="I24" s="3" t="s">
        <v>22</v>
      </c>
      <c r="J24" s="3" t="s">
        <v>176</v>
      </c>
      <c r="K24" s="4">
        <v>46049.495462962957</v>
      </c>
      <c r="L24" s="5">
        <v>46049</v>
      </c>
      <c r="M24" s="3" t="s">
        <v>23</v>
      </c>
      <c r="N24" s="3" t="s">
        <v>103</v>
      </c>
      <c r="O24" s="3" t="s">
        <v>25</v>
      </c>
      <c r="P24" s="3" t="s">
        <v>247</v>
      </c>
      <c r="Q24" s="3" t="s">
        <v>27</v>
      </c>
    </row>
    <row r="25" spans="1:17" x14ac:dyDescent="0.35">
      <c r="A25" s="2" t="str">
        <f>HYPERLINK("https://vtmf.veevavault.com/ui/#doc_info/30804292/1/0", "77242113UCO3001-CZE-DD5-CZ10012-Site Confirmation Letter-SIVR_CL-21 Jan 2025 (v1.0)")</f>
        <v>77242113UCO3001-CZE-DD5-CZ10012-Site Confirmation Letter-SIVR_CL-21 Jan 2025 (v1.0)</v>
      </c>
      <c r="B25" s="3" t="s">
        <v>38</v>
      </c>
      <c r="C25" s="3" t="s">
        <v>18</v>
      </c>
      <c r="D25" s="3" t="s">
        <v>18</v>
      </c>
      <c r="E25" s="3" t="s">
        <v>47</v>
      </c>
      <c r="F25" s="3"/>
      <c r="G25" s="2" t="str">
        <f>HYPERLINK("https://vtmf.veevavault.com/ui/#doc_info/30804292/1/0", "VTMF-24823588")</f>
        <v>VTMF-24823588</v>
      </c>
      <c r="H25" s="3"/>
      <c r="I25" s="3" t="s">
        <v>40</v>
      </c>
      <c r="J25" s="3" t="s">
        <v>38</v>
      </c>
      <c r="K25" s="4">
        <v>46041.690462962957</v>
      </c>
      <c r="L25" s="5">
        <v>46041</v>
      </c>
      <c r="M25" s="3" t="s">
        <v>23</v>
      </c>
      <c r="N25" s="3" t="s">
        <v>41</v>
      </c>
      <c r="O25" s="3" t="s">
        <v>25</v>
      </c>
      <c r="P25" s="3" t="s">
        <v>247</v>
      </c>
      <c r="Q25" s="3" t="s">
        <v>27</v>
      </c>
    </row>
    <row r="26" spans="1:17" x14ac:dyDescent="0.35">
      <c r="A26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26" s="3" t="s">
        <v>119</v>
      </c>
      <c r="C26" s="3" t="s">
        <v>48</v>
      </c>
      <c r="D26" s="3" t="s">
        <v>19</v>
      </c>
      <c r="E26" s="3" t="s">
        <v>20</v>
      </c>
      <c r="F26" s="3" t="s">
        <v>120</v>
      </c>
      <c r="G26" s="2" t="str">
        <f>HYPERLINK("https://vtmf.veevavault.com/ui/#doc_info/29980647/1/0", "VTMF-24136357")</f>
        <v>VTMF-24136357</v>
      </c>
      <c r="H26" s="3"/>
      <c r="I26" s="3" t="s">
        <v>22</v>
      </c>
      <c r="J26" s="3" t="s">
        <v>119</v>
      </c>
      <c r="K26" s="4">
        <v>45918.85465277778</v>
      </c>
      <c r="L26" s="5">
        <v>45919</v>
      </c>
      <c r="M26" s="3" t="s">
        <v>23</v>
      </c>
      <c r="N26" s="3" t="s">
        <v>121</v>
      </c>
      <c r="O26" s="3" t="s">
        <v>122</v>
      </c>
      <c r="P26" s="3" t="s">
        <v>123</v>
      </c>
      <c r="Q26" s="3" t="s">
        <v>27</v>
      </c>
    </row>
    <row r="27" spans="1:17" x14ac:dyDescent="0.35">
      <c r="A27" s="2" t="str">
        <f>HYPERLINK("https://vtmf.veevavault.com/ui/#doc_info/29882004/1/0", "77242113UCO3001-CZE-DD5-CZ10012-Feasibility Documentation-03 Sep 2025 (v1.0)")</f>
        <v>77242113UCO3001-CZE-DD5-CZ10012-Feasibility Documentation-03 Sep 2025 (v1.0)</v>
      </c>
      <c r="B27" s="3" t="s">
        <v>130</v>
      </c>
      <c r="C27" s="3" t="s">
        <v>18</v>
      </c>
      <c r="D27" s="3" t="s">
        <v>131</v>
      </c>
      <c r="E27" s="3" t="s">
        <v>132</v>
      </c>
      <c r="F27" s="3" t="s">
        <v>263</v>
      </c>
      <c r="G27" s="2" t="str">
        <f>HYPERLINK("https://vtmf.veevavault.com/ui/#doc_info/29882004/1/0", "VTMF-24052358")</f>
        <v>VTMF-24052358</v>
      </c>
      <c r="H27" s="3"/>
      <c r="I27" s="3" t="s">
        <v>22</v>
      </c>
      <c r="J27" s="3" t="s">
        <v>130</v>
      </c>
      <c r="K27" s="4">
        <v>45903.459247685183</v>
      </c>
      <c r="L27" s="5">
        <v>45903</v>
      </c>
      <c r="M27" s="3" t="s">
        <v>23</v>
      </c>
      <c r="N27" s="3" t="s">
        <v>60</v>
      </c>
      <c r="O27" s="3" t="s">
        <v>81</v>
      </c>
      <c r="P27" s="3" t="s">
        <v>264</v>
      </c>
      <c r="Q27" s="3" t="s">
        <v>83</v>
      </c>
    </row>
    <row r="28" spans="1:17" x14ac:dyDescent="0.35">
      <c r="A28" s="2" t="str">
        <f>HYPERLINK("https://vtmf.veevavault.com/ui/#doc_info/29738934/1/0", "77242113UCO3001-CZE-DD5-CZ10012-Site/Staff Qualification Supporting Information (v1.0)")</f>
        <v>77242113UCO3001-CZE-DD5-CZ10012-Site/Staff Qualification Supporting Information (v1.0)</v>
      </c>
      <c r="B28" s="3" t="s">
        <v>94</v>
      </c>
      <c r="C28" s="3" t="s">
        <v>18</v>
      </c>
      <c r="D28" s="3" t="s">
        <v>57</v>
      </c>
      <c r="E28" s="3" t="s">
        <v>124</v>
      </c>
      <c r="F28" s="3" t="s">
        <v>265</v>
      </c>
      <c r="G28" s="2" t="str">
        <f>HYPERLINK("https://vtmf.veevavault.com/ui/#doc_info/29738934/1/0", "VTMF-23929389")</f>
        <v>VTMF-23929389</v>
      </c>
      <c r="H28" s="3"/>
      <c r="I28" s="3" t="s">
        <v>126</v>
      </c>
      <c r="J28" s="3" t="s">
        <v>94</v>
      </c>
      <c r="K28" s="4">
        <v>45880.417175925933</v>
      </c>
      <c r="L28" s="5">
        <v>45880</v>
      </c>
      <c r="M28" s="3" t="s">
        <v>23</v>
      </c>
      <c r="N28" s="3" t="s">
        <v>60</v>
      </c>
      <c r="O28" s="3" t="s">
        <v>25</v>
      </c>
      <c r="P28" s="3" t="s">
        <v>247</v>
      </c>
      <c r="Q28" s="3" t="s">
        <v>27</v>
      </c>
    </row>
    <row r="29" spans="1:17" x14ac:dyDescent="0.35">
      <c r="A29" s="2" t="str">
        <f>HYPERLINK("https://vtmf.veevavault.com/ui/#doc_info/29735863/1/0", "77242113UCO3001-CZE-DD5-CZ10012-Principal Investigator Curriculum Vitae-16 Jun 2025 (v1.0)")</f>
        <v>77242113UCO3001-CZE-DD5-CZ10012-Principal Investigator Curriculum Vitae-16 Jun 2025 (v1.0)</v>
      </c>
      <c r="B29" s="3" t="s">
        <v>94</v>
      </c>
      <c r="C29" s="3" t="s">
        <v>18</v>
      </c>
      <c r="D29" s="3" t="s">
        <v>57</v>
      </c>
      <c r="E29" s="3" t="s">
        <v>65</v>
      </c>
      <c r="F29" s="3" t="s">
        <v>266</v>
      </c>
      <c r="G29" s="2" t="str">
        <f>HYPERLINK("https://vtmf.veevavault.com/ui/#doc_info/29735863/1/0", "VTMF-23926929")</f>
        <v>VTMF-23926929</v>
      </c>
      <c r="H29" s="3"/>
      <c r="I29" s="3" t="s">
        <v>126</v>
      </c>
      <c r="J29" s="3" t="s">
        <v>94</v>
      </c>
      <c r="K29" s="4">
        <v>45878.776956018519</v>
      </c>
      <c r="L29" s="5">
        <v>45878</v>
      </c>
      <c r="M29" s="3" t="s">
        <v>23</v>
      </c>
      <c r="N29" s="3" t="s">
        <v>67</v>
      </c>
      <c r="O29" s="3" t="s">
        <v>25</v>
      </c>
      <c r="P29" s="3" t="s">
        <v>247</v>
      </c>
      <c r="Q29" s="3" t="s">
        <v>27</v>
      </c>
    </row>
    <row r="30" spans="1:17" x14ac:dyDescent="0.35">
      <c r="A30" s="2" t="str">
        <f>HYPERLINK("https://vtmf.veevavault.com/ui/#doc_info/29708135/1/0", "77242113UCO3001-CZE-DD5-CZ10012-Principal Investigator Financial Disclosure Form-18 Jul 2025 (v1.0)")</f>
        <v>77242113UCO3001-CZE-DD5-CZ10012-Principal Investigator Financial Disclosure Form-18 Jul 2025 (v1.0)</v>
      </c>
      <c r="B30" s="3" t="s">
        <v>94</v>
      </c>
      <c r="C30" s="3" t="s">
        <v>18</v>
      </c>
      <c r="D30" s="3" t="s">
        <v>57</v>
      </c>
      <c r="E30" s="3" t="s">
        <v>98</v>
      </c>
      <c r="F30" s="3" t="s">
        <v>267</v>
      </c>
      <c r="G30" s="2" t="str">
        <f>HYPERLINK("https://vtmf.veevavault.com/ui/#doc_info/29708135/1/0", "VTMF-23902782")</f>
        <v>VTMF-23902782</v>
      </c>
      <c r="H30" s="3"/>
      <c r="I30" s="3" t="s">
        <v>126</v>
      </c>
      <c r="J30" s="3" t="s">
        <v>94</v>
      </c>
      <c r="K30" s="4">
        <v>45875.29278935185</v>
      </c>
      <c r="L30" s="5">
        <v>45875</v>
      </c>
      <c r="M30" s="3" t="s">
        <v>23</v>
      </c>
      <c r="N30" s="3" t="s">
        <v>100</v>
      </c>
      <c r="O30" s="3" t="s">
        <v>25</v>
      </c>
      <c r="P30" s="3" t="s">
        <v>247</v>
      </c>
      <c r="Q30" s="3" t="s">
        <v>27</v>
      </c>
    </row>
    <row r="31" spans="1:17" x14ac:dyDescent="0.35">
      <c r="A31" s="2" t="str">
        <f>HYPERLINK("https://vtmf.veevavault.com/ui/#doc_info/29243922/1/0", "77242113UCO3001-CZE-DD5-CZ10012-Monitoring Visit Follow-up Letter-SQVR_FL-22 May 2025 (v1.0)")</f>
        <v>77242113UCO3001-CZE-DD5-CZ10012-Monitoring Visit Follow-up Letter-SQVR_FL-22 May 2025 (v1.0)</v>
      </c>
      <c r="B31" s="3" t="s">
        <v>38</v>
      </c>
      <c r="C31" s="3" t="s">
        <v>18</v>
      </c>
      <c r="D31" s="3" t="s">
        <v>18</v>
      </c>
      <c r="E31" s="3" t="s">
        <v>39</v>
      </c>
      <c r="F31" s="3"/>
      <c r="G31" s="2" t="str">
        <f>HYPERLINK("https://vtmf.veevavault.com/ui/#doc_info/29243922/1/0", "VTMF-23506187")</f>
        <v>VTMF-23506187</v>
      </c>
      <c r="H31" s="3"/>
      <c r="I31" s="3" t="s">
        <v>40</v>
      </c>
      <c r="J31" s="3" t="s">
        <v>38</v>
      </c>
      <c r="K31" s="4">
        <v>45810.521886574083</v>
      </c>
      <c r="L31" s="5">
        <v>45810</v>
      </c>
      <c r="M31" s="3" t="s">
        <v>23</v>
      </c>
      <c r="N31" s="3" t="s">
        <v>41</v>
      </c>
      <c r="O31" s="3" t="s">
        <v>25</v>
      </c>
      <c r="P31" s="3" t="s">
        <v>247</v>
      </c>
      <c r="Q31" s="3" t="s">
        <v>27</v>
      </c>
    </row>
    <row r="32" spans="1:17" x14ac:dyDescent="0.35">
      <c r="A32" s="2" t="str">
        <f>HYPERLINK("https://vtmf.veevavault.com/ui/#doc_info/29230233/1/0", "77242113UCO3001-CZE-DD5-CZ10012-Pre Trial Monitoring Report-22 May 2025 (v1.0)")</f>
        <v>77242113UCO3001-CZE-DD5-CZ10012-Pre Trial Monitoring Report-22 May 2025 (v1.0)</v>
      </c>
      <c r="B32" s="3" t="s">
        <v>38</v>
      </c>
      <c r="C32" s="3" t="s">
        <v>18</v>
      </c>
      <c r="D32" s="3" t="s">
        <v>131</v>
      </c>
      <c r="E32" s="3" t="s">
        <v>134</v>
      </c>
      <c r="F32" s="3"/>
      <c r="G32" s="2" t="str">
        <f>HYPERLINK("https://vtmf.veevavault.com/ui/#doc_info/29230233/1/0", "VTMF-23494231")</f>
        <v>VTMF-23494231</v>
      </c>
      <c r="H32" s="3"/>
      <c r="I32" s="3" t="s">
        <v>40</v>
      </c>
      <c r="J32" s="3" t="s">
        <v>38</v>
      </c>
      <c r="K32" s="4">
        <v>45806.943009259259</v>
      </c>
      <c r="L32" s="5">
        <v>45806</v>
      </c>
      <c r="M32" s="3" t="s">
        <v>23</v>
      </c>
      <c r="N32" s="3" t="s">
        <v>97</v>
      </c>
      <c r="O32" s="3" t="s">
        <v>25</v>
      </c>
      <c r="P32" s="3" t="s">
        <v>247</v>
      </c>
      <c r="Q32" s="3" t="s">
        <v>27</v>
      </c>
    </row>
    <row r="33" spans="1:17" x14ac:dyDescent="0.35">
      <c r="A33" s="2" t="str">
        <f>HYPERLINK("https://vtmf.veevavault.com/ui/#doc_info/29174029/1/0", "77242113UCO3001-CZE-DD5-CZ10012-Site Confirmation Letter-SQVR_CL-22 May 2025 (v1.0)")</f>
        <v>77242113UCO3001-CZE-DD5-CZ10012-Site Confirmation Letter-SQVR_CL-22 May 2025 (v1.0)</v>
      </c>
      <c r="B33" s="3" t="s">
        <v>38</v>
      </c>
      <c r="C33" s="3" t="s">
        <v>18</v>
      </c>
      <c r="D33" s="3" t="s">
        <v>18</v>
      </c>
      <c r="E33" s="3" t="s">
        <v>47</v>
      </c>
      <c r="F33" s="3"/>
      <c r="G33" s="2" t="str">
        <f>HYPERLINK("https://vtmf.veevavault.com/ui/#doc_info/29174029/1/0", "VTMF-23448300")</f>
        <v>VTMF-23448300</v>
      </c>
      <c r="H33" s="3"/>
      <c r="I33" s="3" t="s">
        <v>40</v>
      </c>
      <c r="J33" s="3" t="s">
        <v>38</v>
      </c>
      <c r="K33" s="4">
        <v>45798.981157407397</v>
      </c>
      <c r="L33" s="5">
        <v>45798</v>
      </c>
      <c r="M33" s="3" t="s">
        <v>23</v>
      </c>
      <c r="N33" s="3" t="s">
        <v>41</v>
      </c>
      <c r="O33" s="3" t="s">
        <v>25</v>
      </c>
      <c r="P33" s="3" t="s">
        <v>247</v>
      </c>
      <c r="Q33" s="3" t="s">
        <v>27</v>
      </c>
    </row>
    <row r="34" spans="1:17" x14ac:dyDescent="0.35">
      <c r="A34" s="2" t="str">
        <f>HYPERLINK("https://vtmf.veevavault.com/ui/#doc_info/28854553/1/0", "77242113CRD3001-CZE-DD6-CZ10012-Confidentiality Agreement-19 Dec 2022 (v1.0)")</f>
        <v>77242113CRD3001-CZE-DD6-CZ10012-Confidentiality Agreement-19 Dec 2022 (v1.0)</v>
      </c>
      <c r="B34" s="3" t="s">
        <v>268</v>
      </c>
      <c r="C34" s="3" t="s">
        <v>18</v>
      </c>
      <c r="D34" s="3" t="s">
        <v>131</v>
      </c>
      <c r="E34" s="3" t="s">
        <v>269</v>
      </c>
      <c r="F34" s="3" t="s">
        <v>270</v>
      </c>
      <c r="G34" s="2" t="str">
        <f>HYPERLINK("https://vtmf.veevavault.com/ui/#doc_info/28854553/1/0", "VTMF-23185021")</f>
        <v>VTMF-23185021</v>
      </c>
      <c r="H34" s="3"/>
      <c r="I34" s="3" t="s">
        <v>268</v>
      </c>
      <c r="J34" s="3" t="s">
        <v>268</v>
      </c>
      <c r="K34" s="4">
        <v>45757.932534722233</v>
      </c>
      <c r="L34" s="5">
        <v>45763</v>
      </c>
      <c r="M34" s="3" t="s">
        <v>23</v>
      </c>
      <c r="N34" s="3" t="s">
        <v>97</v>
      </c>
      <c r="O34" s="3" t="s">
        <v>271</v>
      </c>
      <c r="P34" s="3" t="s">
        <v>264</v>
      </c>
      <c r="Q34" s="3" t="s">
        <v>272</v>
      </c>
    </row>
    <row r="35" spans="1:17" x14ac:dyDescent="0.35">
      <c r="A35" s="2" t="str">
        <f>HYPERLINK("https://vtmf.veevavault.com/ui/#doc_info/13319456/2/0", "54179060CLL2032-CZE-BH5-CZ10001-Electronic Source Data Compliance Assessment Questionnaire (ESDCAQ)- (v2.0)")</f>
        <v>54179060CLL2032-CZE-BH5-CZ10001-Electronic Source Data Compliance Assessment Questionnaire (ESDCAQ)- (v2.0)</v>
      </c>
      <c r="B35" s="3" t="s">
        <v>114</v>
      </c>
      <c r="C35" s="3" t="s">
        <v>18</v>
      </c>
      <c r="D35" s="3" t="s">
        <v>57</v>
      </c>
      <c r="E35" s="3" t="s">
        <v>115</v>
      </c>
      <c r="F35" s="3" t="s">
        <v>116</v>
      </c>
      <c r="G35" s="2" t="str">
        <f>HYPERLINK("https://vtmf.veevavault.com/ui/#doc_info/13319456/2/0", "VTMF-9108777")</f>
        <v>VTMF-9108777</v>
      </c>
      <c r="H35" s="3"/>
      <c r="I35" s="3" t="s">
        <v>22</v>
      </c>
      <c r="J35" s="3" t="s">
        <v>114</v>
      </c>
      <c r="K35" s="4">
        <v>45127.466990740737</v>
      </c>
      <c r="L35" s="5">
        <v>45127</v>
      </c>
      <c r="M35" s="3" t="s">
        <v>23</v>
      </c>
      <c r="N35" s="3" t="s">
        <v>118</v>
      </c>
      <c r="O35" s="3" t="s">
        <v>273</v>
      </c>
      <c r="P35" s="3" t="s">
        <v>274</v>
      </c>
      <c r="Q35" s="3" t="s">
        <v>275</v>
      </c>
    </row>
    <row r="36" spans="1:17" x14ac:dyDescent="0.35">
      <c r="A36" s="2" t="str">
        <f>HYPERLINK("https://vtmf.veevavault.com/ui/#doc_info/31475796/1/0", "77242113UCO3001-CZE-DD5-CZ10012-Monitoring Visit Follow-up Letter-SMVR_FL-30 Mar 2026 (v1.0)")</f>
        <v>77242113UCO3001-CZE-DD5-CZ10012-Monitoring Visit Follow-up Letter-SMVR_FL-30 Mar 2026 (v1.0)</v>
      </c>
      <c r="B36" s="3" t="s">
        <v>38</v>
      </c>
      <c r="C36" s="3" t="s">
        <v>18</v>
      </c>
      <c r="D36" s="3" t="s">
        <v>18</v>
      </c>
      <c r="E36" s="3" t="s">
        <v>39</v>
      </c>
      <c r="F36" s="3"/>
      <c r="G36" s="2" t="str">
        <f>HYPERLINK("https://vtmf.veevavault.com/ui/#doc_info/31475796/1/0", "VTMF-25398821")</f>
        <v>VTMF-25398821</v>
      </c>
      <c r="H36" s="3"/>
      <c r="I36" s="3" t="s">
        <v>40</v>
      </c>
      <c r="J36" s="3" t="s">
        <v>38</v>
      </c>
      <c r="K36" s="4">
        <v>46129.397118055553</v>
      </c>
      <c r="L36" s="5"/>
      <c r="M36" s="3" t="s">
        <v>23</v>
      </c>
      <c r="N36" s="3" t="s">
        <v>41</v>
      </c>
      <c r="O36" s="3" t="s">
        <v>25</v>
      </c>
      <c r="P36" s="3" t="s">
        <v>247</v>
      </c>
      <c r="Q36" s="3" t="s">
        <v>27</v>
      </c>
    </row>
    <row r="37" spans="1:17" x14ac:dyDescent="0.35">
      <c r="A37" s="2" t="str">
        <f>HYPERLINK("https://vtmf.veevavault.com/ui/#doc_info/31467429/1/0", "77242113UCO3001-CZE-DD5-CZ10012-Monitoring Visit Report-30 Mar 2026 (v1.0)")</f>
        <v>77242113UCO3001-CZE-DD5-CZ10012-Monitoring Visit Report-30 Mar 2026 (v1.0)</v>
      </c>
      <c r="B37" s="3" t="s">
        <v>38</v>
      </c>
      <c r="C37" s="3" t="s">
        <v>18</v>
      </c>
      <c r="D37" s="3" t="s">
        <v>18</v>
      </c>
      <c r="E37" s="3" t="s">
        <v>42</v>
      </c>
      <c r="F37" s="3"/>
      <c r="G37" s="2" t="str">
        <f>HYPERLINK("https://vtmf.veevavault.com/ui/#doc_info/31467429/1/0", "VTMF-25391466")</f>
        <v>VTMF-25391466</v>
      </c>
      <c r="H37" s="3"/>
      <c r="I37" s="3" t="s">
        <v>40</v>
      </c>
      <c r="J37" s="3" t="s">
        <v>38</v>
      </c>
      <c r="K37" s="4">
        <v>46128.562685185178</v>
      </c>
      <c r="L37" s="5"/>
      <c r="M37" s="3" t="s">
        <v>23</v>
      </c>
      <c r="N37" s="3" t="s">
        <v>43</v>
      </c>
      <c r="O37" s="3" t="s">
        <v>25</v>
      </c>
      <c r="P37" s="3" t="s">
        <v>247</v>
      </c>
      <c r="Q37" s="3" t="s">
        <v>27</v>
      </c>
    </row>
  </sheetData>
  <autoFilter ref="A1:Q37" xr:uid="{00000000-0009-0000-0000-000005000000}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Q35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HYPERLINK("https://vtmf.veevavault.com/ui/#doc_info/31413602/1/0", "77242113UCO3001-CZE-DD5-CZ10013-Non-IP Shipment Documentation-03 Mar 2026 (v1.0)")</f>
        <v>77242113UCO3001-CZE-DD5-CZ10013-Non-IP Shipment Documentation-03 Mar 2026 (v1.0)</v>
      </c>
      <c r="B2" s="3" t="s">
        <v>17</v>
      </c>
      <c r="C2" s="3" t="s">
        <v>28</v>
      </c>
      <c r="D2" s="3" t="s">
        <v>29</v>
      </c>
      <c r="E2" s="3" t="s">
        <v>30</v>
      </c>
      <c r="F2" s="3" t="s">
        <v>33</v>
      </c>
      <c r="G2" s="2" t="str">
        <f>HYPERLINK("https://vtmf.veevavault.com/ui/#doc_info/31413602/1/0", "VTMF-25345934")</f>
        <v>VTMF-25345934</v>
      </c>
      <c r="H2" s="3"/>
      <c r="I2" s="3" t="s">
        <v>22</v>
      </c>
      <c r="J2" s="3" t="s">
        <v>17</v>
      </c>
      <c r="K2" s="4">
        <v>46120.67627314815</v>
      </c>
      <c r="L2" s="5">
        <v>46125</v>
      </c>
      <c r="M2" s="3" t="s">
        <v>23</v>
      </c>
      <c r="N2" s="3" t="s">
        <v>32</v>
      </c>
      <c r="O2" s="3" t="s">
        <v>25</v>
      </c>
      <c r="P2" s="3" t="s">
        <v>276</v>
      </c>
      <c r="Q2" s="3" t="s">
        <v>27</v>
      </c>
    </row>
    <row r="3" spans="1:17" x14ac:dyDescent="0.35">
      <c r="A3" s="2" t="str">
        <f>HYPERLINK("https://vtmf.veevavault.com/ui/#doc_info/31413603/1/0", "77242113UCO3001-CZE-DD5-CZ10013-Non-IP Shipment Documentation-16 Feb 2026 (v1.0)")</f>
        <v>77242113UCO3001-CZE-DD5-CZ10013-Non-IP Shipment Documentation-16 Feb 2026 (v1.0)</v>
      </c>
      <c r="B3" s="3" t="s">
        <v>17</v>
      </c>
      <c r="C3" s="3" t="s">
        <v>28</v>
      </c>
      <c r="D3" s="3" t="s">
        <v>29</v>
      </c>
      <c r="E3" s="3" t="s">
        <v>30</v>
      </c>
      <c r="F3" s="3" t="s">
        <v>213</v>
      </c>
      <c r="G3" s="2" t="str">
        <f>HYPERLINK("https://vtmf.veevavault.com/ui/#doc_info/31413603/1/0", "VTMF-25345935")</f>
        <v>VTMF-25345935</v>
      </c>
      <c r="H3" s="3"/>
      <c r="I3" s="3" t="s">
        <v>22</v>
      </c>
      <c r="J3" s="3" t="s">
        <v>17</v>
      </c>
      <c r="K3" s="4">
        <v>46120.67627314815</v>
      </c>
      <c r="L3" s="5">
        <v>46125</v>
      </c>
      <c r="M3" s="3" t="s">
        <v>23</v>
      </c>
      <c r="N3" s="3" t="s">
        <v>32</v>
      </c>
      <c r="O3" s="3" t="s">
        <v>25</v>
      </c>
      <c r="P3" s="3" t="s">
        <v>276</v>
      </c>
      <c r="Q3" s="3" t="s">
        <v>27</v>
      </c>
    </row>
    <row r="4" spans="1:17" x14ac:dyDescent="0.35">
      <c r="A4" s="2" t="str">
        <f>HYPERLINK("https://vtmf.veevavault.com/ui/#doc_info/31413744/1/0", "77242113UCO3001-CZE-DD5-CZ10013-Non-IP Shipment Documentation-23 Feb 2026 (v1.0)")</f>
        <v>77242113UCO3001-CZE-DD5-CZ10013-Non-IP Shipment Documentation-23 Feb 2026 (v1.0)</v>
      </c>
      <c r="B4" s="3" t="s">
        <v>17</v>
      </c>
      <c r="C4" s="3" t="s">
        <v>28</v>
      </c>
      <c r="D4" s="3" t="s">
        <v>29</v>
      </c>
      <c r="E4" s="3" t="s">
        <v>30</v>
      </c>
      <c r="F4" s="3" t="s">
        <v>277</v>
      </c>
      <c r="G4" s="2" t="str">
        <f>HYPERLINK("https://vtmf.veevavault.com/ui/#doc_info/31413744/1/0", "VTMF-25346130")</f>
        <v>VTMF-25346130</v>
      </c>
      <c r="H4" s="3"/>
      <c r="I4" s="3" t="s">
        <v>22</v>
      </c>
      <c r="J4" s="3" t="s">
        <v>17</v>
      </c>
      <c r="K4" s="4">
        <v>46120.693287037036</v>
      </c>
      <c r="L4" s="5">
        <v>46125</v>
      </c>
      <c r="M4" s="3" t="s">
        <v>23</v>
      </c>
      <c r="N4" s="3" t="s">
        <v>32</v>
      </c>
      <c r="O4" s="3" t="s">
        <v>25</v>
      </c>
      <c r="P4" s="3" t="s">
        <v>276</v>
      </c>
      <c r="Q4" s="3" t="s">
        <v>27</v>
      </c>
    </row>
    <row r="5" spans="1:17" x14ac:dyDescent="0.35">
      <c r="A5" s="2" t="str">
        <f>HYPERLINK("https://vtmf.veevavault.com/ui/#doc_info/31320127/1/0", "77242113UCO3001-CZE-DD5-CZ10013-Monitoring Visit Report-23 Mar 2026 (v1.0)")</f>
        <v>77242113UCO3001-CZE-DD5-CZ10013-Monitoring Visit Report-23 Mar 2026 (v1.0)</v>
      </c>
      <c r="B5" s="3" t="s">
        <v>38</v>
      </c>
      <c r="C5" s="3" t="s">
        <v>18</v>
      </c>
      <c r="D5" s="3" t="s">
        <v>18</v>
      </c>
      <c r="E5" s="3" t="s">
        <v>42</v>
      </c>
      <c r="F5" s="3"/>
      <c r="G5" s="2" t="str">
        <f>HYPERLINK("https://vtmf.veevavault.com/ui/#doc_info/31320127/1/0", "VTMF-25258098")</f>
        <v>VTMF-25258098</v>
      </c>
      <c r="H5" s="3"/>
      <c r="I5" s="3" t="s">
        <v>40</v>
      </c>
      <c r="J5" s="3" t="s">
        <v>38</v>
      </c>
      <c r="K5" s="4">
        <v>46113.525891203702</v>
      </c>
      <c r="L5" s="5">
        <v>46113</v>
      </c>
      <c r="M5" s="3" t="s">
        <v>23</v>
      </c>
      <c r="N5" s="3" t="s">
        <v>43</v>
      </c>
      <c r="O5" s="3" t="s">
        <v>25</v>
      </c>
      <c r="P5" s="3" t="s">
        <v>276</v>
      </c>
      <c r="Q5" s="3" t="s">
        <v>27</v>
      </c>
    </row>
    <row r="6" spans="1:17" x14ac:dyDescent="0.35">
      <c r="A6" s="2" t="str">
        <f>HYPERLINK("https://vtmf.veevavault.com/ui/#doc_info/31211652/1/0", "77242113UCO3001-CZE-DD5-CZ10013-Site Confirmation Letter-SMVR_CL-23 Mar 2026 (v1.0)")</f>
        <v>77242113UCO3001-CZE-DD5-CZ10013-Site Confirmation Letter-SMVR_CL-23 Mar 2026 (v1.0)</v>
      </c>
      <c r="B6" s="3" t="s">
        <v>38</v>
      </c>
      <c r="C6" s="3" t="s">
        <v>18</v>
      </c>
      <c r="D6" s="3" t="s">
        <v>18</v>
      </c>
      <c r="E6" s="3" t="s">
        <v>47</v>
      </c>
      <c r="F6" s="3"/>
      <c r="G6" s="2" t="str">
        <f>HYPERLINK("https://vtmf.veevavault.com/ui/#doc_info/31211652/1/0", "VTMF-25167334")</f>
        <v>VTMF-25167334</v>
      </c>
      <c r="H6" s="3"/>
      <c r="I6" s="3" t="s">
        <v>40</v>
      </c>
      <c r="J6" s="3" t="s">
        <v>38</v>
      </c>
      <c r="K6" s="4">
        <v>46100.563611111109</v>
      </c>
      <c r="L6" s="5">
        <v>46100</v>
      </c>
      <c r="M6" s="3" t="s">
        <v>23</v>
      </c>
      <c r="N6" s="3" t="s">
        <v>41</v>
      </c>
      <c r="O6" s="3" t="s">
        <v>25</v>
      </c>
      <c r="P6" s="3" t="s">
        <v>276</v>
      </c>
      <c r="Q6" s="3" t="s">
        <v>27</v>
      </c>
    </row>
    <row r="7" spans="1:17" x14ac:dyDescent="0.35">
      <c r="A7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7" s="3" t="s">
        <v>35</v>
      </c>
      <c r="C7" s="3" t="s">
        <v>18</v>
      </c>
      <c r="D7" s="3" t="s">
        <v>19</v>
      </c>
      <c r="E7" s="3" t="s">
        <v>20</v>
      </c>
      <c r="F7" s="3" t="s">
        <v>44</v>
      </c>
      <c r="G7" s="2" t="str">
        <f>HYPERLINK("https://vtmf.veevavault.com/ui/#doc_info/30957580/1/0", "VTMF-24952860")</f>
        <v>VTMF-24952860</v>
      </c>
      <c r="H7" s="3"/>
      <c r="I7" s="3" t="s">
        <v>35</v>
      </c>
      <c r="J7" s="3" t="s">
        <v>35</v>
      </c>
      <c r="K7" s="4">
        <v>46063.445960648147</v>
      </c>
      <c r="L7" s="5">
        <v>46063</v>
      </c>
      <c r="M7" s="3" t="s">
        <v>23</v>
      </c>
      <c r="N7" s="3" t="s">
        <v>24</v>
      </c>
      <c r="O7" s="3" t="s">
        <v>25</v>
      </c>
      <c r="P7" s="3" t="s">
        <v>45</v>
      </c>
      <c r="Q7" s="3" t="s">
        <v>27</v>
      </c>
    </row>
    <row r="8" spans="1:17" x14ac:dyDescent="0.35">
      <c r="A8" s="2" t="str">
        <f>HYPERLINK("https://vtmf.veevavault.com/ui/#doc_info/30819372/1/0", "77242113UCO3001-CZE-DD5-CZ10013-Recruitment Plan-11 Jan 2026 (v1.0)")</f>
        <v>77242113UCO3001-CZE-DD5-CZ10013-Recruitment Plan-11 Jan 2026 (v1.0)</v>
      </c>
      <c r="B8" s="3" t="s">
        <v>214</v>
      </c>
      <c r="C8" s="3" t="s">
        <v>48</v>
      </c>
      <c r="D8" s="3" t="s">
        <v>49</v>
      </c>
      <c r="E8" s="3" t="s">
        <v>50</v>
      </c>
      <c r="F8" s="3" t="s">
        <v>278</v>
      </c>
      <c r="G8" s="2" t="str">
        <f>HYPERLINK("https://vtmf.veevavault.com/ui/#doc_info/30819372/1/0", "VTMF-24836080")</f>
        <v>VTMF-24836080</v>
      </c>
      <c r="H8" s="3"/>
      <c r="I8" s="3" t="s">
        <v>22</v>
      </c>
      <c r="J8" s="3" t="s">
        <v>214</v>
      </c>
      <c r="K8" s="4">
        <v>46043.613553240742</v>
      </c>
      <c r="L8" s="5">
        <v>46043</v>
      </c>
      <c r="M8" s="3" t="s">
        <v>23</v>
      </c>
      <c r="N8" s="3" t="s">
        <v>52</v>
      </c>
      <c r="O8" s="3" t="s">
        <v>25</v>
      </c>
      <c r="P8" s="3" t="s">
        <v>276</v>
      </c>
      <c r="Q8" s="3" t="s">
        <v>27</v>
      </c>
    </row>
    <row r="9" spans="1:17" x14ac:dyDescent="0.35">
      <c r="A9" s="2" t="str">
        <f>HYPERLINK("https://vtmf.veevavault.com/ui/#doc_info/30809207/1/0", "77242113UCO3001-CZE-DD5-CZ10013-Trial Initiation Monitoring Report-12 Jan 2026 (v1.0)")</f>
        <v>77242113UCO3001-CZE-DD5-CZ10013-Trial Initiation Monitoring Report-12 Jan 2026 (v1.0)</v>
      </c>
      <c r="B9" s="3" t="s">
        <v>38</v>
      </c>
      <c r="C9" s="3" t="s">
        <v>18</v>
      </c>
      <c r="D9" s="3" t="s">
        <v>68</v>
      </c>
      <c r="E9" s="3" t="s">
        <v>90</v>
      </c>
      <c r="F9" s="3"/>
      <c r="G9" s="2" t="str">
        <f>HYPERLINK("https://vtmf.veevavault.com/ui/#doc_info/30809207/1/0", "VTMF-24827423")</f>
        <v>VTMF-24827423</v>
      </c>
      <c r="H9" s="3"/>
      <c r="I9" s="3" t="s">
        <v>40</v>
      </c>
      <c r="J9" s="3" t="s">
        <v>38</v>
      </c>
      <c r="K9" s="4">
        <v>46042.479432870372</v>
      </c>
      <c r="L9" s="5">
        <v>46042</v>
      </c>
      <c r="M9" s="3" t="s">
        <v>23</v>
      </c>
      <c r="N9" s="3" t="s">
        <v>91</v>
      </c>
      <c r="O9" s="3" t="s">
        <v>25</v>
      </c>
      <c r="P9" s="3" t="s">
        <v>276</v>
      </c>
      <c r="Q9" s="3" t="s">
        <v>27</v>
      </c>
    </row>
    <row r="10" spans="1:17" x14ac:dyDescent="0.35">
      <c r="A10" s="2" t="str">
        <f>HYPERLINK("https://vtmf.veevavault.com/ui/#doc_info/30802781/1/0", "77242113UCO3001-CZE-DD5-CZ10013-Monitoring Visit Follow-up Letter-SIVR_FL-12 Jan 2026 (v1.0)")</f>
        <v>77242113UCO3001-CZE-DD5-CZ10013-Monitoring Visit Follow-up Letter-SIVR_FL-12 Jan 2026 (v1.0)</v>
      </c>
      <c r="B10" s="3" t="s">
        <v>38</v>
      </c>
      <c r="C10" s="3" t="s">
        <v>18</v>
      </c>
      <c r="D10" s="3" t="s">
        <v>18</v>
      </c>
      <c r="E10" s="3" t="s">
        <v>39</v>
      </c>
      <c r="F10" s="3"/>
      <c r="G10" s="2" t="str">
        <f>HYPERLINK("https://vtmf.veevavault.com/ui/#doc_info/30802781/1/0", "VTMF-24822348")</f>
        <v>VTMF-24822348</v>
      </c>
      <c r="H10" s="3"/>
      <c r="I10" s="3" t="s">
        <v>40</v>
      </c>
      <c r="J10" s="3" t="s">
        <v>38</v>
      </c>
      <c r="K10" s="4">
        <v>46041.519548611112</v>
      </c>
      <c r="L10" s="5">
        <v>46041</v>
      </c>
      <c r="M10" s="3" t="s">
        <v>23</v>
      </c>
      <c r="N10" s="3" t="s">
        <v>41</v>
      </c>
      <c r="O10" s="3" t="s">
        <v>25</v>
      </c>
      <c r="P10" s="3" t="s">
        <v>276</v>
      </c>
      <c r="Q10" s="3" t="s">
        <v>27</v>
      </c>
    </row>
    <row r="11" spans="1:17" x14ac:dyDescent="0.35">
      <c r="A11" s="2" t="str">
        <f>HYPERLINK("https://vtmf.veevavault.com/ui/#doc_info/30759631/1/0", "77242113UCO3001-CZE-DD5-CZ10013-IP Site Release Documentation-12 Jan 2026 (v1.0)")</f>
        <v>77242113UCO3001-CZE-DD5-CZ10013-IP Site Release Documentation-12 Jan 2026 (v1.0)</v>
      </c>
      <c r="B11" s="3" t="s">
        <v>94</v>
      </c>
      <c r="C11" s="3" t="s">
        <v>18</v>
      </c>
      <c r="D11" s="3" t="s">
        <v>57</v>
      </c>
      <c r="E11" s="3" t="s">
        <v>95</v>
      </c>
      <c r="F11" s="3" t="s">
        <v>195</v>
      </c>
      <c r="G11" s="2" t="str">
        <f>HYPERLINK("https://vtmf.veevavault.com/ui/#doc_info/30759631/1/0", "VTMF-24786255")</f>
        <v>VTMF-24786255</v>
      </c>
      <c r="H11" s="3"/>
      <c r="I11" s="3" t="s">
        <v>22</v>
      </c>
      <c r="J11" s="3" t="s">
        <v>94</v>
      </c>
      <c r="K11" s="4">
        <v>46034.513356481482</v>
      </c>
      <c r="L11" s="5">
        <v>46034</v>
      </c>
      <c r="M11" s="3" t="s">
        <v>23</v>
      </c>
      <c r="N11" s="3" t="s">
        <v>97</v>
      </c>
      <c r="O11" s="3" t="s">
        <v>25</v>
      </c>
      <c r="P11" s="3" t="s">
        <v>276</v>
      </c>
      <c r="Q11" s="3" t="s">
        <v>27</v>
      </c>
    </row>
    <row r="12" spans="1:17" x14ac:dyDescent="0.35">
      <c r="A12" s="2" t="str">
        <f>HYPERLINK("https://vtmf.veevavault.com/ui/#doc_info/30746640/1/0", "77242113UCO3001-CZE-DD5-CZ10013-Acceptance of Investigator Brochure-09 Dec 2025 (v1.0)")</f>
        <v>77242113UCO3001-CZE-DD5-CZ10013-Acceptance of Investigator Brochure-09 Dec 2025 (v1.0)</v>
      </c>
      <c r="B12" s="3" t="s">
        <v>216</v>
      </c>
      <c r="C12" s="3" t="s">
        <v>18</v>
      </c>
      <c r="D12" s="3" t="s">
        <v>57</v>
      </c>
      <c r="E12" s="3" t="s">
        <v>92</v>
      </c>
      <c r="F12" s="3" t="s">
        <v>279</v>
      </c>
      <c r="G12" s="2" t="str">
        <f>HYPERLINK("https://vtmf.veevavault.com/ui/#doc_info/30746640/1/0", "VTMF-24775309")</f>
        <v>VTMF-24775309</v>
      </c>
      <c r="H12" s="3"/>
      <c r="I12" s="3" t="s">
        <v>22</v>
      </c>
      <c r="J12" s="3" t="s">
        <v>216</v>
      </c>
      <c r="K12" s="4">
        <v>46031.351481481477</v>
      </c>
      <c r="L12" s="5">
        <v>46031</v>
      </c>
      <c r="M12" s="3" t="s">
        <v>23</v>
      </c>
      <c r="N12" s="3" t="s">
        <v>67</v>
      </c>
      <c r="O12" s="3" t="s">
        <v>25</v>
      </c>
      <c r="P12" s="3" t="s">
        <v>276</v>
      </c>
      <c r="Q12" s="3" t="s">
        <v>27</v>
      </c>
    </row>
    <row r="13" spans="1:17" x14ac:dyDescent="0.35">
      <c r="A13" s="2" t="str">
        <f>HYPERLINK("https://vtmf.veevavault.com/ui/#doc_info/30747128/1/0", "77242113UCO3001-CZE-DD5-CZ10013-Non-IP Shipment Documentation-09 Dec 2025 (v1.0)")</f>
        <v>77242113UCO3001-CZE-DD5-CZ10013-Non-IP Shipment Documentation-09 Dec 2025 (v1.0)</v>
      </c>
      <c r="B13" s="3" t="s">
        <v>216</v>
      </c>
      <c r="C13" s="3" t="s">
        <v>28</v>
      </c>
      <c r="D13" s="3" t="s">
        <v>29</v>
      </c>
      <c r="E13" s="3" t="s">
        <v>30</v>
      </c>
      <c r="F13" s="3" t="s">
        <v>280</v>
      </c>
      <c r="G13" s="2" t="str">
        <f>HYPERLINK("https://vtmf.veevavault.com/ui/#doc_info/30747128/1/0", "VTMF-24775436")</f>
        <v>VTMF-24775436</v>
      </c>
      <c r="H13" s="3"/>
      <c r="I13" s="3" t="s">
        <v>22</v>
      </c>
      <c r="J13" s="3" t="s">
        <v>216</v>
      </c>
      <c r="K13" s="4">
        <v>46031.370972222219</v>
      </c>
      <c r="L13" s="5">
        <v>46031</v>
      </c>
      <c r="M13" s="3" t="s">
        <v>23</v>
      </c>
      <c r="N13" s="3" t="s">
        <v>32</v>
      </c>
      <c r="O13" s="3" t="s">
        <v>25</v>
      </c>
      <c r="P13" s="3" t="s">
        <v>276</v>
      </c>
      <c r="Q13" s="3" t="s">
        <v>27</v>
      </c>
    </row>
    <row r="14" spans="1:17" x14ac:dyDescent="0.35">
      <c r="A14" s="2" t="str">
        <f>HYPERLINK("https://vtmf.veevavault.com/ui/#doc_info/30747129/1/0", "77242113UCO3001-CZE-DD5-CZ10013-Non-IP Shipment Documentation-09 Dec 2025 (v1.0)")</f>
        <v>77242113UCO3001-CZE-DD5-CZ10013-Non-IP Shipment Documentation-09 Dec 2025 (v1.0)</v>
      </c>
      <c r="B14" s="3" t="s">
        <v>216</v>
      </c>
      <c r="C14" s="3" t="s">
        <v>28</v>
      </c>
      <c r="D14" s="3" t="s">
        <v>29</v>
      </c>
      <c r="E14" s="3" t="s">
        <v>30</v>
      </c>
      <c r="F14" s="3" t="s">
        <v>281</v>
      </c>
      <c r="G14" s="2" t="str">
        <f>HYPERLINK("https://vtmf.veevavault.com/ui/#doc_info/30747129/1/0", "VTMF-24775437")</f>
        <v>VTMF-24775437</v>
      </c>
      <c r="H14" s="3"/>
      <c r="I14" s="3" t="s">
        <v>22</v>
      </c>
      <c r="J14" s="3" t="s">
        <v>216</v>
      </c>
      <c r="K14" s="4">
        <v>46031.370972222219</v>
      </c>
      <c r="L14" s="5">
        <v>46031</v>
      </c>
      <c r="M14" s="3" t="s">
        <v>23</v>
      </c>
      <c r="N14" s="3" t="s">
        <v>32</v>
      </c>
      <c r="O14" s="3" t="s">
        <v>25</v>
      </c>
      <c r="P14" s="3" t="s">
        <v>276</v>
      </c>
      <c r="Q14" s="3" t="s">
        <v>27</v>
      </c>
    </row>
    <row r="15" spans="1:17" x14ac:dyDescent="0.35">
      <c r="A15" s="2" t="str">
        <f>HYPERLINK("https://vtmf.veevavault.com/ui/#doc_info/30747130/1/0", "77242113UCO3001-CZE-DD5-CZ10013-Non-IP Shipment Documentation-09 Dec 2025 (v1.0)")</f>
        <v>77242113UCO3001-CZE-DD5-CZ10013-Non-IP Shipment Documentation-09 Dec 2025 (v1.0)</v>
      </c>
      <c r="B15" s="3" t="s">
        <v>216</v>
      </c>
      <c r="C15" s="3" t="s">
        <v>28</v>
      </c>
      <c r="D15" s="3" t="s">
        <v>29</v>
      </c>
      <c r="E15" s="3" t="s">
        <v>30</v>
      </c>
      <c r="F15" s="3" t="s">
        <v>282</v>
      </c>
      <c r="G15" s="2" t="str">
        <f>HYPERLINK("https://vtmf.veevavault.com/ui/#doc_info/30747130/1/0", "VTMF-24775438")</f>
        <v>VTMF-24775438</v>
      </c>
      <c r="H15" s="3"/>
      <c r="I15" s="3" t="s">
        <v>22</v>
      </c>
      <c r="J15" s="3" t="s">
        <v>216</v>
      </c>
      <c r="K15" s="4">
        <v>46031.370972222219</v>
      </c>
      <c r="L15" s="5">
        <v>46031</v>
      </c>
      <c r="M15" s="3" t="s">
        <v>23</v>
      </c>
      <c r="N15" s="3" t="s">
        <v>32</v>
      </c>
      <c r="O15" s="3" t="s">
        <v>25</v>
      </c>
      <c r="P15" s="3" t="s">
        <v>276</v>
      </c>
      <c r="Q15" s="3" t="s">
        <v>27</v>
      </c>
    </row>
    <row r="16" spans="1:17" x14ac:dyDescent="0.35">
      <c r="A16" s="2" t="str">
        <f>HYPERLINK("https://vtmf.veevavault.com/ui/#doc_info/30747131/1/0", "77242113UCO3001-CZE-DD5-CZ10013-Non-IP Shipment Documentation-09 Dec 2025 (v1.0)")</f>
        <v>77242113UCO3001-CZE-DD5-CZ10013-Non-IP Shipment Documentation-09 Dec 2025 (v1.0)</v>
      </c>
      <c r="B16" s="3" t="s">
        <v>216</v>
      </c>
      <c r="C16" s="3" t="s">
        <v>28</v>
      </c>
      <c r="D16" s="3" t="s">
        <v>29</v>
      </c>
      <c r="E16" s="3" t="s">
        <v>30</v>
      </c>
      <c r="F16" s="3" t="s">
        <v>283</v>
      </c>
      <c r="G16" s="2" t="str">
        <f>HYPERLINK("https://vtmf.veevavault.com/ui/#doc_info/30747131/1/0", "VTMF-24775439")</f>
        <v>VTMF-24775439</v>
      </c>
      <c r="H16" s="3"/>
      <c r="I16" s="3" t="s">
        <v>22</v>
      </c>
      <c r="J16" s="3" t="s">
        <v>216</v>
      </c>
      <c r="K16" s="4">
        <v>46031.370972222219</v>
      </c>
      <c r="L16" s="5">
        <v>46031</v>
      </c>
      <c r="M16" s="3" t="s">
        <v>23</v>
      </c>
      <c r="N16" s="3" t="s">
        <v>32</v>
      </c>
      <c r="O16" s="3" t="s">
        <v>25</v>
      </c>
      <c r="P16" s="3" t="s">
        <v>276</v>
      </c>
      <c r="Q16" s="3" t="s">
        <v>27</v>
      </c>
    </row>
    <row r="17" spans="1:17" x14ac:dyDescent="0.35">
      <c r="A17" s="2" t="str">
        <f>HYPERLINK("https://vtmf.veevavault.com/ui/#doc_info/30747132/1/0", "77242113UCO3001-CZE-DD5-CZ10013-Non-IP Shipment Documentation-09 Dec 2025 (v1.0)")</f>
        <v>77242113UCO3001-CZE-DD5-CZ10013-Non-IP Shipment Documentation-09 Dec 2025 (v1.0)</v>
      </c>
      <c r="B17" s="3" t="s">
        <v>216</v>
      </c>
      <c r="C17" s="3" t="s">
        <v>28</v>
      </c>
      <c r="D17" s="3" t="s">
        <v>29</v>
      </c>
      <c r="E17" s="3" t="s">
        <v>30</v>
      </c>
      <c r="F17" s="3" t="s">
        <v>284</v>
      </c>
      <c r="G17" s="2" t="str">
        <f>HYPERLINK("https://vtmf.veevavault.com/ui/#doc_info/30747132/1/0", "VTMF-24775440")</f>
        <v>VTMF-24775440</v>
      </c>
      <c r="H17" s="3"/>
      <c r="I17" s="3" t="s">
        <v>22</v>
      </c>
      <c r="J17" s="3" t="s">
        <v>216</v>
      </c>
      <c r="K17" s="4">
        <v>46031.370972222219</v>
      </c>
      <c r="L17" s="5">
        <v>46031</v>
      </c>
      <c r="M17" s="3" t="s">
        <v>23</v>
      </c>
      <c r="N17" s="3" t="s">
        <v>32</v>
      </c>
      <c r="O17" s="3" t="s">
        <v>25</v>
      </c>
      <c r="P17" s="3" t="s">
        <v>276</v>
      </c>
      <c r="Q17" s="3" t="s">
        <v>27</v>
      </c>
    </row>
    <row r="18" spans="1:17" x14ac:dyDescent="0.35">
      <c r="A18" s="2" t="str">
        <f>HYPERLINK("https://vtmf.veevavault.com/ui/#doc_info/30746672/1/0", "77242113UCO3001-CZE-DD5-CZ10013-Principal Investigator Financial Disclosure Form-09 Dec 2025 (v1.0)")</f>
        <v>77242113UCO3001-CZE-DD5-CZ10013-Principal Investigator Financial Disclosure Form-09 Dec 2025 (v1.0)</v>
      </c>
      <c r="B18" s="3" t="s">
        <v>216</v>
      </c>
      <c r="C18" s="3" t="s">
        <v>18</v>
      </c>
      <c r="D18" s="3" t="s">
        <v>57</v>
      </c>
      <c r="E18" s="3" t="s">
        <v>98</v>
      </c>
      <c r="F18" s="3" t="s">
        <v>285</v>
      </c>
      <c r="G18" s="2" t="str">
        <f>HYPERLINK("https://vtmf.veevavault.com/ui/#doc_info/30746672/1/0", "VTMF-24775371")</f>
        <v>VTMF-24775371</v>
      </c>
      <c r="H18" s="3"/>
      <c r="I18" s="3" t="s">
        <v>22</v>
      </c>
      <c r="J18" s="3" t="s">
        <v>216</v>
      </c>
      <c r="K18" s="4">
        <v>46031.362361111111</v>
      </c>
      <c r="L18" s="5">
        <v>46031</v>
      </c>
      <c r="M18" s="3" t="s">
        <v>23</v>
      </c>
      <c r="N18" s="3" t="s">
        <v>100</v>
      </c>
      <c r="O18" s="3" t="s">
        <v>25</v>
      </c>
      <c r="P18" s="3" t="s">
        <v>276</v>
      </c>
      <c r="Q18" s="3" t="s">
        <v>27</v>
      </c>
    </row>
    <row r="19" spans="1:17" x14ac:dyDescent="0.35">
      <c r="A19" s="2" t="str">
        <f>HYPERLINK("https://vtmf.veevavault.com/ui/#doc_info/30746656/1/0", "77242113UCO3001-CZE-DD5-CZ10013-Protocol Signature Page-09 Dec 2025 (v1.0)")</f>
        <v>77242113UCO3001-CZE-DD5-CZ10013-Protocol Signature Page-09 Dec 2025 (v1.0)</v>
      </c>
      <c r="B19" s="3" t="s">
        <v>216</v>
      </c>
      <c r="C19" s="3" t="s">
        <v>18</v>
      </c>
      <c r="D19" s="3" t="s">
        <v>57</v>
      </c>
      <c r="E19" s="3" t="s">
        <v>101</v>
      </c>
      <c r="F19" s="3" t="s">
        <v>286</v>
      </c>
      <c r="G19" s="2" t="str">
        <f>HYPERLINK("https://vtmf.veevavault.com/ui/#doc_info/30746656/1/0", "VTMF-24775346")</f>
        <v>VTMF-24775346</v>
      </c>
      <c r="H19" s="3"/>
      <c r="I19" s="3" t="s">
        <v>22</v>
      </c>
      <c r="J19" s="3" t="s">
        <v>216</v>
      </c>
      <c r="K19" s="4">
        <v>46031.358402777783</v>
      </c>
      <c r="L19" s="5">
        <v>46031</v>
      </c>
      <c r="M19" s="3" t="s">
        <v>23</v>
      </c>
      <c r="N19" s="3" t="s">
        <v>103</v>
      </c>
      <c r="O19" s="3" t="s">
        <v>25</v>
      </c>
      <c r="P19" s="3" t="s">
        <v>276</v>
      </c>
      <c r="Q19" s="3" t="s">
        <v>27</v>
      </c>
    </row>
    <row r="20" spans="1:17" x14ac:dyDescent="0.35">
      <c r="A20" s="2" t="str">
        <f>HYPERLINK("https://vtmf.veevavault.com/ui/#doc_info/30743123/1/0", "77242113UCO3001-CZE-DD5-CZ10013-Source Data-08 Jan 2026 (v1.0)")</f>
        <v>77242113UCO3001-CZE-DD5-CZ10013-Source Data-08 Jan 2026 (v1.0)</v>
      </c>
      <c r="B20" s="3" t="s">
        <v>107</v>
      </c>
      <c r="C20" s="3" t="s">
        <v>18</v>
      </c>
      <c r="D20" s="3" t="s">
        <v>18</v>
      </c>
      <c r="E20" s="3" t="s">
        <v>88</v>
      </c>
      <c r="F20" s="3" t="s">
        <v>108</v>
      </c>
      <c r="G20" s="2" t="str">
        <f>HYPERLINK("https://vtmf.veevavault.com/ui/#doc_info/30743123/1/0", "VTMF-24771817")</f>
        <v>VTMF-24771817</v>
      </c>
      <c r="H20" s="3"/>
      <c r="I20" s="3" t="s">
        <v>22</v>
      </c>
      <c r="J20" s="3" t="s">
        <v>107</v>
      </c>
      <c r="K20" s="4">
        <v>46030.815891203703</v>
      </c>
      <c r="L20" s="5">
        <v>46031</v>
      </c>
      <c r="M20" s="3" t="s">
        <v>23</v>
      </c>
      <c r="N20" s="3" t="s">
        <v>60</v>
      </c>
      <c r="O20" s="3" t="s">
        <v>25</v>
      </c>
      <c r="P20" s="3" t="s">
        <v>276</v>
      </c>
      <c r="Q20" s="3" t="s">
        <v>27</v>
      </c>
    </row>
    <row r="21" spans="1:17" x14ac:dyDescent="0.35">
      <c r="A21" s="2" t="str">
        <f>HYPERLINK("https://vtmf.veevavault.com/ui/#doc_info/30715150/1/0", "77242113UCO3001-CZE-DD5-CZ10013-Temperature Monitor Validation/Calibration Cert.-22 Oct 2025 (v1.0)")</f>
        <v>77242113UCO3001-CZE-DD5-CZ10013-Temperature Monitor Validation/Calibration Cert.-22 Oct 2025 (v1.0)</v>
      </c>
      <c r="B21" s="3" t="s">
        <v>17</v>
      </c>
      <c r="C21" s="3" t="s">
        <v>28</v>
      </c>
      <c r="D21" s="3" t="s">
        <v>77</v>
      </c>
      <c r="E21" s="3" t="s">
        <v>78</v>
      </c>
      <c r="F21" s="3" t="s">
        <v>287</v>
      </c>
      <c r="G21" s="2" t="str">
        <f>HYPERLINK("https://vtmf.veevavault.com/ui/#doc_info/30715150/1/0", "VTMF-24749801")</f>
        <v>VTMF-24749801</v>
      </c>
      <c r="H21" s="3"/>
      <c r="I21" s="3" t="s">
        <v>22</v>
      </c>
      <c r="J21" s="3" t="s">
        <v>17</v>
      </c>
      <c r="K21" s="4">
        <v>46027.479849537027</v>
      </c>
      <c r="L21" s="5">
        <v>46027</v>
      </c>
      <c r="M21" s="3" t="s">
        <v>23</v>
      </c>
      <c r="N21" s="3" t="s">
        <v>80</v>
      </c>
      <c r="O21" s="3" t="s">
        <v>81</v>
      </c>
      <c r="P21" s="3" t="s">
        <v>288</v>
      </c>
      <c r="Q21" s="3" t="s">
        <v>83</v>
      </c>
    </row>
    <row r="22" spans="1:17" x14ac:dyDescent="0.35">
      <c r="A22" s="2" t="str">
        <f>HYPERLINK("https://vtmf.veevavault.com/ui/#doc_info/30557303/1/0", "77242113UCO3001-CZE-DD5-CZ10013-Site Confirmation Letter-SIVR_CL-09 Dec 2025 (v1.0)")</f>
        <v>77242113UCO3001-CZE-DD5-CZ10013-Site Confirmation Letter-SIVR_CL-09 Dec 2025 (v1.0)</v>
      </c>
      <c r="B22" s="3" t="s">
        <v>38</v>
      </c>
      <c r="C22" s="3" t="s">
        <v>18</v>
      </c>
      <c r="D22" s="3" t="s">
        <v>18</v>
      </c>
      <c r="E22" s="3" t="s">
        <v>47</v>
      </c>
      <c r="F22" s="3"/>
      <c r="G22" s="2" t="str">
        <f>HYPERLINK("https://vtmf.veevavault.com/ui/#doc_info/30557303/1/0", "VTMF-24619358")</f>
        <v>VTMF-24619358</v>
      </c>
      <c r="H22" s="3"/>
      <c r="I22" s="3" t="s">
        <v>40</v>
      </c>
      <c r="J22" s="3" t="s">
        <v>38</v>
      </c>
      <c r="K22" s="4">
        <v>45999.608252314807</v>
      </c>
      <c r="L22" s="5">
        <v>45999</v>
      </c>
      <c r="M22" s="3" t="s">
        <v>23</v>
      </c>
      <c r="N22" s="3" t="s">
        <v>41</v>
      </c>
      <c r="O22" s="3" t="s">
        <v>25</v>
      </c>
      <c r="P22" s="3" t="s">
        <v>276</v>
      </c>
      <c r="Q22" s="3" t="s">
        <v>27</v>
      </c>
    </row>
    <row r="23" spans="1:17" x14ac:dyDescent="0.35">
      <c r="A23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23" s="3" t="s">
        <v>119</v>
      </c>
      <c r="C23" s="3" t="s">
        <v>48</v>
      </c>
      <c r="D23" s="3" t="s">
        <v>19</v>
      </c>
      <c r="E23" s="3" t="s">
        <v>20</v>
      </c>
      <c r="F23" s="3" t="s">
        <v>120</v>
      </c>
      <c r="G23" s="2" t="str">
        <f>HYPERLINK("https://vtmf.veevavault.com/ui/#doc_info/29980647/1/0", "VTMF-24136357")</f>
        <v>VTMF-24136357</v>
      </c>
      <c r="H23" s="3"/>
      <c r="I23" s="3" t="s">
        <v>22</v>
      </c>
      <c r="J23" s="3" t="s">
        <v>119</v>
      </c>
      <c r="K23" s="4">
        <v>45918.85465277778</v>
      </c>
      <c r="L23" s="5">
        <v>45919</v>
      </c>
      <c r="M23" s="3" t="s">
        <v>23</v>
      </c>
      <c r="N23" s="3" t="s">
        <v>121</v>
      </c>
      <c r="O23" s="3" t="s">
        <v>122</v>
      </c>
      <c r="P23" s="3" t="s">
        <v>123</v>
      </c>
      <c r="Q23" s="3" t="s">
        <v>27</v>
      </c>
    </row>
    <row r="24" spans="1:17" x14ac:dyDescent="0.35">
      <c r="A24" s="2" t="str">
        <f>HYPERLINK("https://vtmf.veevavault.com/ui/#doc_info/29737112/1/0", "77242113UCO3001-CZE-DD5-CZ10013-Site/Staff Qualification Supporting Information (v1.0)")</f>
        <v>77242113UCO3001-CZE-DD5-CZ10013-Site/Staff Qualification Supporting Information (v1.0)</v>
      </c>
      <c r="B24" s="3" t="s">
        <v>94</v>
      </c>
      <c r="C24" s="3" t="s">
        <v>18</v>
      </c>
      <c r="D24" s="3" t="s">
        <v>57</v>
      </c>
      <c r="E24" s="3" t="s">
        <v>124</v>
      </c>
      <c r="F24" s="3" t="s">
        <v>289</v>
      </c>
      <c r="G24" s="2" t="str">
        <f>HYPERLINK("https://vtmf.veevavault.com/ui/#doc_info/29737112/1/0", "VTMF-23927946")</f>
        <v>VTMF-23927946</v>
      </c>
      <c r="H24" s="3"/>
      <c r="I24" s="3" t="s">
        <v>126</v>
      </c>
      <c r="J24" s="3" t="s">
        <v>94</v>
      </c>
      <c r="K24" s="4">
        <v>45879.815023148149</v>
      </c>
      <c r="L24" s="5">
        <v>45879</v>
      </c>
      <c r="M24" s="3" t="s">
        <v>23</v>
      </c>
      <c r="N24" s="3" t="s">
        <v>60</v>
      </c>
      <c r="O24" s="3" t="s">
        <v>25</v>
      </c>
      <c r="P24" s="3" t="s">
        <v>276</v>
      </c>
      <c r="Q24" s="3" t="s">
        <v>27</v>
      </c>
    </row>
    <row r="25" spans="1:17" x14ac:dyDescent="0.35">
      <c r="A25" s="2" t="str">
        <f>HYPERLINK("https://vtmf.veevavault.com/ui/#doc_info/29735935/1/0", "77242113UCO3001-CZE-DD5-CZ10013-Principal Investigator Financial Disclosure Form-16 Jun 2025 (v1.0)")</f>
        <v>77242113UCO3001-CZE-DD5-CZ10013-Principal Investigator Financial Disclosure Form-16 Jun 2025 (v1.0)</v>
      </c>
      <c r="B25" s="3" t="s">
        <v>94</v>
      </c>
      <c r="C25" s="3" t="s">
        <v>18</v>
      </c>
      <c r="D25" s="3" t="s">
        <v>57</v>
      </c>
      <c r="E25" s="3" t="s">
        <v>98</v>
      </c>
      <c r="F25" s="3" t="s">
        <v>290</v>
      </c>
      <c r="G25" s="2" t="str">
        <f>HYPERLINK("https://vtmf.veevavault.com/ui/#doc_info/29735935/1/0", "VTMF-23926953")</f>
        <v>VTMF-23926953</v>
      </c>
      <c r="H25" s="3"/>
      <c r="I25" s="3" t="s">
        <v>126</v>
      </c>
      <c r="J25" s="3" t="s">
        <v>94</v>
      </c>
      <c r="K25" s="4">
        <v>45878.784629629627</v>
      </c>
      <c r="L25" s="5">
        <v>45878</v>
      </c>
      <c r="M25" s="3" t="s">
        <v>23</v>
      </c>
      <c r="N25" s="3" t="s">
        <v>100</v>
      </c>
      <c r="O25" s="3" t="s">
        <v>25</v>
      </c>
      <c r="P25" s="3" t="s">
        <v>276</v>
      </c>
      <c r="Q25" s="3" t="s">
        <v>27</v>
      </c>
    </row>
    <row r="26" spans="1:17" x14ac:dyDescent="0.35">
      <c r="A26" s="2" t="str">
        <f>HYPERLINK("https://vtmf.veevavault.com/ui/#doc_info/29717277/1/0", "77242113UCO3001-CZE-DD5-CZ10013-Principal Investigator Curriculum Vitae-06 Aug 2025 (v1.0)")</f>
        <v>77242113UCO3001-CZE-DD5-CZ10013-Principal Investigator Curriculum Vitae-06 Aug 2025 (v1.0)</v>
      </c>
      <c r="B26" s="3" t="s">
        <v>94</v>
      </c>
      <c r="C26" s="3" t="s">
        <v>18</v>
      </c>
      <c r="D26" s="3" t="s">
        <v>57</v>
      </c>
      <c r="E26" s="3" t="s">
        <v>65</v>
      </c>
      <c r="F26" s="3" t="s">
        <v>291</v>
      </c>
      <c r="G26" s="2" t="str">
        <f>HYPERLINK("https://vtmf.veevavault.com/ui/#doc_info/29717277/1/0", "VTMF-23910352")</f>
        <v>VTMF-23910352</v>
      </c>
      <c r="H26" s="3"/>
      <c r="I26" s="3" t="s">
        <v>126</v>
      </c>
      <c r="J26" s="3" t="s">
        <v>94</v>
      </c>
      <c r="K26" s="4">
        <v>45876.274178240739</v>
      </c>
      <c r="L26" s="5">
        <v>45876</v>
      </c>
      <c r="M26" s="3" t="s">
        <v>23</v>
      </c>
      <c r="N26" s="3" t="s">
        <v>67</v>
      </c>
      <c r="O26" s="3" t="s">
        <v>25</v>
      </c>
      <c r="P26" s="3" t="s">
        <v>276</v>
      </c>
      <c r="Q26" s="3" t="s">
        <v>27</v>
      </c>
    </row>
    <row r="27" spans="1:17" x14ac:dyDescent="0.35">
      <c r="A27" s="2" t="str">
        <f>HYPERLINK("https://vtmf.veevavault.com/ui/#doc_info/29717271/1/0", "77242113UCO3001-CZE-DD5-CZ10013-Site/Staff Qualification Supporting Information (v1.0)")</f>
        <v>77242113UCO3001-CZE-DD5-CZ10013-Site/Staff Qualification Supporting Information (v1.0)</v>
      </c>
      <c r="B27" s="3" t="s">
        <v>94</v>
      </c>
      <c r="C27" s="3" t="s">
        <v>18</v>
      </c>
      <c r="D27" s="3" t="s">
        <v>57</v>
      </c>
      <c r="E27" s="3" t="s">
        <v>124</v>
      </c>
      <c r="F27" s="3" t="s">
        <v>292</v>
      </c>
      <c r="G27" s="2" t="str">
        <f>HYPERLINK("https://vtmf.veevavault.com/ui/#doc_info/29717271/1/0", "VTMF-23910343")</f>
        <v>VTMF-23910343</v>
      </c>
      <c r="H27" s="3"/>
      <c r="I27" s="3" t="s">
        <v>94</v>
      </c>
      <c r="J27" s="3" t="s">
        <v>94</v>
      </c>
      <c r="K27" s="4">
        <v>45876.271678240737</v>
      </c>
      <c r="L27" s="5">
        <v>45876</v>
      </c>
      <c r="M27" s="3" t="s">
        <v>23</v>
      </c>
      <c r="N27" s="3" t="s">
        <v>60</v>
      </c>
      <c r="O27" s="3" t="s">
        <v>25</v>
      </c>
      <c r="P27" s="3" t="s">
        <v>276</v>
      </c>
      <c r="Q27" s="3" t="s">
        <v>27</v>
      </c>
    </row>
    <row r="28" spans="1:17" x14ac:dyDescent="0.35">
      <c r="A28" s="2" t="str">
        <f>HYPERLINK("https://vtmf.veevavault.com/ui/#doc_info/29699292/1/0", "77242113UCO3001-CZE-DD5-CZ10013-Site/Staff Qualification Supporting Information (v1.0)")</f>
        <v>77242113UCO3001-CZE-DD5-CZ10013-Site/Staff Qualification Supporting Information (v1.0)</v>
      </c>
      <c r="B28" s="3" t="s">
        <v>94</v>
      </c>
      <c r="C28" s="3" t="s">
        <v>18</v>
      </c>
      <c r="D28" s="3" t="s">
        <v>57</v>
      </c>
      <c r="E28" s="3" t="s">
        <v>124</v>
      </c>
      <c r="F28" s="3" t="s">
        <v>293</v>
      </c>
      <c r="G28" s="2" t="str">
        <f>HYPERLINK("https://vtmf.veevavault.com/ui/#doc_info/29699292/1/0", "VTMF-23895220")</f>
        <v>VTMF-23895220</v>
      </c>
      <c r="H28" s="3"/>
      <c r="I28" s="3" t="s">
        <v>22</v>
      </c>
      <c r="J28" s="3" t="s">
        <v>94</v>
      </c>
      <c r="K28" s="4">
        <v>45874.320104166669</v>
      </c>
      <c r="L28" s="5">
        <v>45874</v>
      </c>
      <c r="M28" s="3" t="s">
        <v>23</v>
      </c>
      <c r="N28" s="3" t="s">
        <v>60</v>
      </c>
      <c r="O28" s="3" t="s">
        <v>25</v>
      </c>
      <c r="P28" s="3" t="s">
        <v>276</v>
      </c>
      <c r="Q28" s="3" t="s">
        <v>27</v>
      </c>
    </row>
    <row r="29" spans="1:17" x14ac:dyDescent="0.35">
      <c r="A29" s="2" t="str">
        <f>HYPERLINK("https://vtmf.veevavault.com/ui/#doc_info/29353202/1/0", "77242113UCO3001-CZE-DD5-CZ10013-Feasibility Documentation-13 Jun 2025 (v1.0)")</f>
        <v>77242113UCO3001-CZE-DD5-CZ10013-Feasibility Documentation-13 Jun 2025 (v1.0)</v>
      </c>
      <c r="B29" s="3" t="s">
        <v>130</v>
      </c>
      <c r="C29" s="3" t="s">
        <v>18</v>
      </c>
      <c r="D29" s="3" t="s">
        <v>131</v>
      </c>
      <c r="E29" s="3" t="s">
        <v>132</v>
      </c>
      <c r="F29" s="3" t="s">
        <v>294</v>
      </c>
      <c r="G29" s="2" t="str">
        <f>HYPERLINK("https://vtmf.veevavault.com/ui/#doc_info/29353202/1/0", "VTMF-23596736")</f>
        <v>VTMF-23596736</v>
      </c>
      <c r="H29" s="3"/>
      <c r="I29" s="3" t="s">
        <v>22</v>
      </c>
      <c r="J29" s="3" t="s">
        <v>130</v>
      </c>
      <c r="K29" s="4">
        <v>45821.763009259259</v>
      </c>
      <c r="L29" s="5">
        <v>45821</v>
      </c>
      <c r="M29" s="3" t="s">
        <v>23</v>
      </c>
      <c r="N29" s="3" t="s">
        <v>60</v>
      </c>
      <c r="O29" s="3" t="s">
        <v>81</v>
      </c>
      <c r="P29" s="3" t="s">
        <v>288</v>
      </c>
      <c r="Q29" s="3" t="s">
        <v>83</v>
      </c>
    </row>
    <row r="30" spans="1:17" x14ac:dyDescent="0.35">
      <c r="A30" s="2" t="str">
        <f>HYPERLINK("https://vtmf.veevavault.com/ui/#doc_info/29246358/1/0", "77242113UCO3001-CZE-DD5-CZ10013-Monitoring Visit Follow-up Letter-SQVR_FL-13 May 2025 (v1.0)")</f>
        <v>77242113UCO3001-CZE-DD5-CZ10013-Monitoring Visit Follow-up Letter-SQVR_FL-13 May 2025 (v1.0)</v>
      </c>
      <c r="B30" s="3" t="s">
        <v>38</v>
      </c>
      <c r="C30" s="3" t="s">
        <v>18</v>
      </c>
      <c r="D30" s="3" t="s">
        <v>18</v>
      </c>
      <c r="E30" s="3" t="s">
        <v>39</v>
      </c>
      <c r="F30" s="3"/>
      <c r="G30" s="2" t="str">
        <f>HYPERLINK("https://vtmf.veevavault.com/ui/#doc_info/29246358/1/0", "VTMF-23508021")</f>
        <v>VTMF-23508021</v>
      </c>
      <c r="H30" s="3"/>
      <c r="I30" s="3" t="s">
        <v>40</v>
      </c>
      <c r="J30" s="3" t="s">
        <v>38</v>
      </c>
      <c r="K30" s="4">
        <v>45810.733831018522</v>
      </c>
      <c r="L30" s="5">
        <v>45810</v>
      </c>
      <c r="M30" s="3" t="s">
        <v>23</v>
      </c>
      <c r="N30" s="3" t="s">
        <v>41</v>
      </c>
      <c r="O30" s="3" t="s">
        <v>25</v>
      </c>
      <c r="P30" s="3" t="s">
        <v>276</v>
      </c>
      <c r="Q30" s="3" t="s">
        <v>27</v>
      </c>
    </row>
    <row r="31" spans="1:17" x14ac:dyDescent="0.35">
      <c r="A31" s="2" t="str">
        <f>HYPERLINK("https://vtmf.veevavault.com/ui/#doc_info/29212071/1/0", "77242113UCO3001-CZE-DD5-CZ10013-Pre Trial Monitoring Report-13 May 2025 (v1.0)")</f>
        <v>77242113UCO3001-CZE-DD5-CZ10013-Pre Trial Monitoring Report-13 May 2025 (v1.0)</v>
      </c>
      <c r="B31" s="3" t="s">
        <v>38</v>
      </c>
      <c r="C31" s="3" t="s">
        <v>18</v>
      </c>
      <c r="D31" s="3" t="s">
        <v>131</v>
      </c>
      <c r="E31" s="3" t="s">
        <v>134</v>
      </c>
      <c r="F31" s="3"/>
      <c r="G31" s="2" t="str">
        <f>HYPERLINK("https://vtmf.veevavault.com/ui/#doc_info/29212071/1/0", "VTMF-23479726")</f>
        <v>VTMF-23479726</v>
      </c>
      <c r="H31" s="3"/>
      <c r="I31" s="3" t="s">
        <v>40</v>
      </c>
      <c r="J31" s="3" t="s">
        <v>38</v>
      </c>
      <c r="K31" s="4">
        <v>45805.354097222233</v>
      </c>
      <c r="L31" s="5">
        <v>45805</v>
      </c>
      <c r="M31" s="3" t="s">
        <v>23</v>
      </c>
      <c r="N31" s="3" t="s">
        <v>97</v>
      </c>
      <c r="O31" s="3" t="s">
        <v>25</v>
      </c>
      <c r="P31" s="3" t="s">
        <v>276</v>
      </c>
      <c r="Q31" s="3" t="s">
        <v>27</v>
      </c>
    </row>
    <row r="32" spans="1:17" x14ac:dyDescent="0.35">
      <c r="A32" s="2" t="str">
        <f>HYPERLINK("https://vtmf.veevavault.com/ui/#doc_info/29080330/1/0", "77242113UCO3001-CZE-DD5-CZ10013-Site Confirmation Letter-SQVR_CL-13 May 2025 (v1.0)")</f>
        <v>77242113UCO3001-CZE-DD5-CZ10013-Site Confirmation Letter-SQVR_CL-13 May 2025 (v1.0)</v>
      </c>
      <c r="B32" s="3" t="s">
        <v>38</v>
      </c>
      <c r="C32" s="3" t="s">
        <v>18</v>
      </c>
      <c r="D32" s="3" t="s">
        <v>18</v>
      </c>
      <c r="E32" s="3" t="s">
        <v>47</v>
      </c>
      <c r="F32" s="3"/>
      <c r="G32" s="2" t="str">
        <f>HYPERLINK("https://vtmf.veevavault.com/ui/#doc_info/29080330/1/0", "VTMF-23366118")</f>
        <v>VTMF-23366118</v>
      </c>
      <c r="H32" s="3"/>
      <c r="I32" s="3" t="s">
        <v>40</v>
      </c>
      <c r="J32" s="3" t="s">
        <v>38</v>
      </c>
      <c r="K32" s="4">
        <v>45786.695208333331</v>
      </c>
      <c r="L32" s="5">
        <v>45786</v>
      </c>
      <c r="M32" s="3" t="s">
        <v>23</v>
      </c>
      <c r="N32" s="3" t="s">
        <v>41</v>
      </c>
      <c r="O32" s="3" t="s">
        <v>25</v>
      </c>
      <c r="P32" s="3" t="s">
        <v>276</v>
      </c>
      <c r="Q32" s="3" t="s">
        <v>27</v>
      </c>
    </row>
    <row r="33" spans="1:17" x14ac:dyDescent="0.35">
      <c r="A33" s="2" t="str">
        <f>HYPERLINK("https://vtmf.veevavault.com/ui/#doc_info/31411626/1/0", "77242113UCO3001-CZE-DD5-CZ10013-Monitoring Visit Follow-up Letter-SMVR_FL-23 Mar 2026 (v1.0)")</f>
        <v>77242113UCO3001-CZE-DD5-CZ10013-Monitoring Visit Follow-up Letter-SMVR_FL-23 Mar 2026 (v1.0)</v>
      </c>
      <c r="B33" s="3" t="s">
        <v>38</v>
      </c>
      <c r="C33" s="3" t="s">
        <v>18</v>
      </c>
      <c r="D33" s="3" t="s">
        <v>18</v>
      </c>
      <c r="E33" s="3" t="s">
        <v>39</v>
      </c>
      <c r="F33" s="3"/>
      <c r="G33" s="2" t="str">
        <f>HYPERLINK("https://vtmf.veevavault.com/ui/#doc_info/31411626/1/0", "VTMF-25344347")</f>
        <v>VTMF-25344347</v>
      </c>
      <c r="H33" s="3"/>
      <c r="I33" s="3" t="s">
        <v>40</v>
      </c>
      <c r="J33" s="3" t="s">
        <v>38</v>
      </c>
      <c r="K33" s="4">
        <v>46120.523043981477</v>
      </c>
      <c r="L33" s="5"/>
      <c r="M33" s="3" t="s">
        <v>23</v>
      </c>
      <c r="N33" s="3" t="s">
        <v>41</v>
      </c>
      <c r="O33" s="3" t="s">
        <v>25</v>
      </c>
      <c r="P33" s="3" t="s">
        <v>276</v>
      </c>
      <c r="Q33" s="3" t="s">
        <v>27</v>
      </c>
    </row>
    <row r="34" spans="1:17" x14ac:dyDescent="0.35">
      <c r="A34" s="2" t="str">
        <f>HYPERLINK("https://vtmf.veevavault.com/ui/#doc_info/31270225/0/1", "77242113UCO3001-CZE-DD5-CZ10013-Relevant Communications-25 Mar 2026 (v0.1)")</f>
        <v>77242113UCO3001-CZE-DD5-CZ10013-Relevant Communications-25 Mar 2026 (v0.1)</v>
      </c>
      <c r="B34" s="3" t="s">
        <v>214</v>
      </c>
      <c r="C34" s="3" t="s">
        <v>18</v>
      </c>
      <c r="D34" s="3" t="s">
        <v>19</v>
      </c>
      <c r="E34" s="3" t="s">
        <v>20</v>
      </c>
      <c r="F34" s="3" t="s">
        <v>246</v>
      </c>
      <c r="G34" s="2" t="str">
        <f>HYPERLINK("https://vtmf.veevavault.com/ui/#doc_info/31270225/0/1", "VTMF-25218702")</f>
        <v>VTMF-25218702</v>
      </c>
      <c r="H34" s="3"/>
      <c r="I34" s="3" t="s">
        <v>214</v>
      </c>
      <c r="J34" s="3" t="s">
        <v>214</v>
      </c>
      <c r="K34" s="4">
        <v>46106.59957175926</v>
      </c>
      <c r="L34" s="5"/>
      <c r="M34" s="3" t="s">
        <v>234</v>
      </c>
      <c r="N34" s="3" t="s">
        <v>24</v>
      </c>
      <c r="O34" s="3" t="s">
        <v>25</v>
      </c>
      <c r="P34" s="3" t="s">
        <v>276</v>
      </c>
      <c r="Q34" s="3" t="s">
        <v>27</v>
      </c>
    </row>
    <row r="35" spans="1:17" x14ac:dyDescent="0.35">
      <c r="A35" s="2" t="str">
        <f>HYPERLINK("https://vtmf.veevavault.com/ui/#doc_info/29116330/0/2", "77242113CRD3001-CZE-DD6-CZ10013-Temperature Monitor Validation/Calibration Cert.-22 Oct 1899 (v0.2)")</f>
        <v>77242113CRD3001-CZE-DD6-CZ10013-Temperature Monitor Validation/Calibration Cert.-22 Oct 1899 (v0.2)</v>
      </c>
      <c r="B35" s="3" t="s">
        <v>295</v>
      </c>
      <c r="C35" s="3" t="s">
        <v>28</v>
      </c>
      <c r="D35" s="3" t="s">
        <v>77</v>
      </c>
      <c r="E35" s="3" t="s">
        <v>78</v>
      </c>
      <c r="F35" s="3" t="s">
        <v>296</v>
      </c>
      <c r="G35" s="2" t="str">
        <f>HYPERLINK("https://vtmf.veevavault.com/ui/#doc_info/29116330/0/2", "VTMF-23397537")</f>
        <v>VTMF-23397537</v>
      </c>
      <c r="H35" s="3"/>
      <c r="I35" s="3" t="s">
        <v>17</v>
      </c>
      <c r="J35" s="3" t="s">
        <v>17</v>
      </c>
      <c r="K35" s="4">
        <v>46021.58861111111</v>
      </c>
      <c r="L35" s="5"/>
      <c r="M35" s="3" t="s">
        <v>297</v>
      </c>
      <c r="N35" s="3" t="s">
        <v>80</v>
      </c>
      <c r="O35" s="3" t="s">
        <v>81</v>
      </c>
      <c r="P35" s="3" t="s">
        <v>288</v>
      </c>
      <c r="Q35" s="3" t="s">
        <v>83</v>
      </c>
    </row>
  </sheetData>
  <autoFilter ref="A1:Q35" xr:uid="{00000000-0009-0000-0000-000006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Q46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HYPERLINK("https://vtmf.veevavault.com/ui/#doc_info/31413564/1/0", "77242113UCO3001-CZE-DD5-CZ10015-Non-IP Shipment Documentation-01 Apr 2026 (v1.0)")</f>
        <v>77242113UCO3001-CZE-DD5-CZ10015-Non-IP Shipment Documentation-01 Apr 2026 (v1.0)</v>
      </c>
      <c r="B2" s="3" t="s">
        <v>17</v>
      </c>
      <c r="C2" s="3" t="s">
        <v>28</v>
      </c>
      <c r="D2" s="3" t="s">
        <v>29</v>
      </c>
      <c r="E2" s="3" t="s">
        <v>30</v>
      </c>
      <c r="F2" s="3" t="s">
        <v>211</v>
      </c>
      <c r="G2" s="2" t="str">
        <f>HYPERLINK("https://vtmf.veevavault.com/ui/#doc_info/31413564/1/0", "VTMF-25345997")</f>
        <v>VTMF-25345997</v>
      </c>
      <c r="H2" s="3"/>
      <c r="I2" s="3" t="s">
        <v>22</v>
      </c>
      <c r="J2" s="3" t="s">
        <v>17</v>
      </c>
      <c r="K2" s="4">
        <v>46120.682569444441</v>
      </c>
      <c r="L2" s="5">
        <v>46125</v>
      </c>
      <c r="M2" s="3" t="s">
        <v>23</v>
      </c>
      <c r="N2" s="3" t="s">
        <v>32</v>
      </c>
      <c r="O2" s="3" t="s">
        <v>25</v>
      </c>
      <c r="P2" s="3" t="s">
        <v>298</v>
      </c>
      <c r="Q2" s="3" t="s">
        <v>27</v>
      </c>
    </row>
    <row r="3" spans="1:17" x14ac:dyDescent="0.35">
      <c r="A3" s="2" t="str">
        <f>HYPERLINK("https://vtmf.veevavault.com/ui/#doc_info/31413781/1/0", "77242113UCO3001-CZE-DD5-CZ10015-Non-IP Shipment Documentation-16 Feb 2026 (v1.0)")</f>
        <v>77242113UCO3001-CZE-DD5-CZ10015-Non-IP Shipment Documentation-16 Feb 2026 (v1.0)</v>
      </c>
      <c r="B3" s="3" t="s">
        <v>17</v>
      </c>
      <c r="C3" s="3" t="s">
        <v>28</v>
      </c>
      <c r="D3" s="3" t="s">
        <v>29</v>
      </c>
      <c r="E3" s="3" t="s">
        <v>30</v>
      </c>
      <c r="F3" s="3" t="s">
        <v>299</v>
      </c>
      <c r="G3" s="2" t="str">
        <f>HYPERLINK("https://vtmf.veevavault.com/ui/#doc_info/31413781/1/0", "VTMF-25346187")</f>
        <v>VTMF-25346187</v>
      </c>
      <c r="H3" s="3"/>
      <c r="I3" s="3" t="s">
        <v>22</v>
      </c>
      <c r="J3" s="3" t="s">
        <v>17</v>
      </c>
      <c r="K3" s="4">
        <v>46120.696550925917</v>
      </c>
      <c r="L3" s="5">
        <v>46125</v>
      </c>
      <c r="M3" s="3" t="s">
        <v>23</v>
      </c>
      <c r="N3" s="3" t="s">
        <v>32</v>
      </c>
      <c r="O3" s="3" t="s">
        <v>25</v>
      </c>
      <c r="P3" s="3" t="s">
        <v>298</v>
      </c>
      <c r="Q3" s="3" t="s">
        <v>27</v>
      </c>
    </row>
    <row r="4" spans="1:17" x14ac:dyDescent="0.35">
      <c r="A4" s="2" t="str">
        <f>HYPERLINK("https://vtmf.veevavault.com/ui/#doc_info/31286735/1/0", "77242113UCO3001-CHN-DD5-CZ10015-Non-IP Shipment Documentation-09 Mar 2026 (v1.0)")</f>
        <v>77242113UCO3001-CHN-DD5-CZ10015-Non-IP Shipment Documentation-09 Mar 2026 (v1.0)</v>
      </c>
      <c r="B4" s="3" t="s">
        <v>17</v>
      </c>
      <c r="C4" s="3" t="s">
        <v>28</v>
      </c>
      <c r="D4" s="3" t="s">
        <v>29</v>
      </c>
      <c r="E4" s="3" t="s">
        <v>30</v>
      </c>
      <c r="F4" s="3" t="s">
        <v>300</v>
      </c>
      <c r="G4" s="2" t="str">
        <f>HYPERLINK("https://vtmf.veevavault.com/ui/#doc_info/31286735/1/0", "VTMF-25232954")</f>
        <v>VTMF-25232954</v>
      </c>
      <c r="H4" s="3"/>
      <c r="I4" s="3" t="s">
        <v>22</v>
      </c>
      <c r="J4" s="3" t="s">
        <v>17</v>
      </c>
      <c r="K4" s="4">
        <v>46108.495729166672</v>
      </c>
      <c r="L4" s="5">
        <v>46125</v>
      </c>
      <c r="M4" s="3" t="s">
        <v>23</v>
      </c>
      <c r="N4" s="3" t="s">
        <v>32</v>
      </c>
      <c r="O4" s="3" t="s">
        <v>301</v>
      </c>
      <c r="P4" s="3" t="s">
        <v>302</v>
      </c>
      <c r="Q4" s="3" t="s">
        <v>83</v>
      </c>
    </row>
    <row r="5" spans="1:17" x14ac:dyDescent="0.35">
      <c r="A5" s="2" t="str">
        <f>HYPERLINK("https://vtmf.veevavault.com/ui/#doc_info/30625323/1/0", "77242113UCO3001-CZE-DD5-CZ10015-Other Curriculum Vitae-30 Apr 2025 (v1.0)")</f>
        <v>77242113UCO3001-CZE-DD5-CZ10015-Other Curriculum Vitae-30 Apr 2025 (v1.0)</v>
      </c>
      <c r="B5" s="3" t="s">
        <v>56</v>
      </c>
      <c r="C5" s="3" t="s">
        <v>18</v>
      </c>
      <c r="D5" s="3" t="s">
        <v>57</v>
      </c>
      <c r="E5" s="3" t="s">
        <v>58</v>
      </c>
      <c r="F5" s="3" t="s">
        <v>303</v>
      </c>
      <c r="G5" s="2" t="str">
        <f>HYPERLINK("https://vtmf.veevavault.com/ui/#doc_info/30625323/1/0", "VTMF-24676851")</f>
        <v>VTMF-24676851</v>
      </c>
      <c r="H5" s="3"/>
      <c r="I5" s="3" t="s">
        <v>22</v>
      </c>
      <c r="J5" s="3" t="s">
        <v>56</v>
      </c>
      <c r="K5" s="4">
        <v>46008.551666666674</v>
      </c>
      <c r="L5" s="5">
        <v>46105</v>
      </c>
      <c r="M5" s="3" t="s">
        <v>23</v>
      </c>
      <c r="N5" s="3" t="s">
        <v>60</v>
      </c>
      <c r="O5" s="3" t="s">
        <v>25</v>
      </c>
      <c r="P5" s="3" t="s">
        <v>298</v>
      </c>
      <c r="Q5" s="3" t="s">
        <v>27</v>
      </c>
    </row>
    <row r="6" spans="1:17" x14ac:dyDescent="0.35">
      <c r="A6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6" s="3" t="s">
        <v>35</v>
      </c>
      <c r="C6" s="3" t="s">
        <v>18</v>
      </c>
      <c r="D6" s="3" t="s">
        <v>19</v>
      </c>
      <c r="E6" s="3" t="s">
        <v>20</v>
      </c>
      <c r="F6" s="3" t="s">
        <v>44</v>
      </c>
      <c r="G6" s="2" t="str">
        <f>HYPERLINK("https://vtmf.veevavault.com/ui/#doc_info/30957580/1/0", "VTMF-24952860")</f>
        <v>VTMF-24952860</v>
      </c>
      <c r="H6" s="3"/>
      <c r="I6" s="3" t="s">
        <v>35</v>
      </c>
      <c r="J6" s="3" t="s">
        <v>35</v>
      </c>
      <c r="K6" s="4">
        <v>46063.445960648147</v>
      </c>
      <c r="L6" s="5">
        <v>46063</v>
      </c>
      <c r="M6" s="3" t="s">
        <v>23</v>
      </c>
      <c r="N6" s="3" t="s">
        <v>24</v>
      </c>
      <c r="O6" s="3" t="s">
        <v>25</v>
      </c>
      <c r="P6" s="3" t="s">
        <v>45</v>
      </c>
      <c r="Q6" s="3" t="s">
        <v>27</v>
      </c>
    </row>
    <row r="7" spans="1:17" x14ac:dyDescent="0.35">
      <c r="A7" s="2" t="str">
        <f>HYPERLINK("https://vtmf.veevavault.com/ui/#doc_info/30948623/1/0", "77242113UCO3001-CZE-DD5-CZ10015-Non-IP Shipment Documentation-22 Jan 2026 (v1.0)")</f>
        <v>77242113UCO3001-CZE-DD5-CZ10015-Non-IP Shipment Documentation-22 Jan 2026 (v1.0)</v>
      </c>
      <c r="B7" s="3" t="s">
        <v>17</v>
      </c>
      <c r="C7" s="3" t="s">
        <v>28</v>
      </c>
      <c r="D7" s="3" t="s">
        <v>29</v>
      </c>
      <c r="E7" s="3" t="s">
        <v>30</v>
      </c>
      <c r="F7" s="3" t="s">
        <v>304</v>
      </c>
      <c r="G7" s="2" t="str">
        <f>HYPERLINK("https://vtmf.veevavault.com/ui/#doc_info/30948623/1/0", "VTMF-24945027")</f>
        <v>VTMF-24945027</v>
      </c>
      <c r="H7" s="3"/>
      <c r="I7" s="3" t="s">
        <v>22</v>
      </c>
      <c r="J7" s="3" t="s">
        <v>17</v>
      </c>
      <c r="K7" s="4">
        <v>46062.452650462961</v>
      </c>
      <c r="L7" s="5">
        <v>46062</v>
      </c>
      <c r="M7" s="3" t="s">
        <v>23</v>
      </c>
      <c r="N7" s="3" t="s">
        <v>32</v>
      </c>
      <c r="O7" s="3" t="s">
        <v>25</v>
      </c>
      <c r="P7" s="3" t="s">
        <v>298</v>
      </c>
      <c r="Q7" s="3" t="s">
        <v>27</v>
      </c>
    </row>
    <row r="8" spans="1:17" x14ac:dyDescent="0.35">
      <c r="A8" s="2" t="str">
        <f>HYPERLINK("https://vtmf.veevavault.com/ui/#doc_info/30795275/1/0", "77242113UCO3001-CZE-DD5-CZ10015-Recruitment Plan-16 Jan 2026 (v1.0)")</f>
        <v>77242113UCO3001-CZE-DD5-CZ10015-Recruitment Plan-16 Jan 2026 (v1.0)</v>
      </c>
      <c r="B8" s="3" t="s">
        <v>35</v>
      </c>
      <c r="C8" s="3" t="s">
        <v>48</v>
      </c>
      <c r="D8" s="3" t="s">
        <v>49</v>
      </c>
      <c r="E8" s="3" t="s">
        <v>50</v>
      </c>
      <c r="F8" s="3" t="s">
        <v>51</v>
      </c>
      <c r="G8" s="2" t="str">
        <f>HYPERLINK("https://vtmf.veevavault.com/ui/#doc_info/30795275/1/0", "VTMF-24816062")</f>
        <v>VTMF-24816062</v>
      </c>
      <c r="H8" s="3"/>
      <c r="I8" s="3" t="s">
        <v>22</v>
      </c>
      <c r="J8" s="3" t="s">
        <v>35</v>
      </c>
      <c r="K8" s="4">
        <v>46038.748622685183</v>
      </c>
      <c r="L8" s="5">
        <v>46038</v>
      </c>
      <c r="M8" s="3" t="s">
        <v>23</v>
      </c>
      <c r="N8" s="3" t="s">
        <v>52</v>
      </c>
      <c r="O8" s="3" t="s">
        <v>25</v>
      </c>
      <c r="P8" s="3" t="s">
        <v>298</v>
      </c>
      <c r="Q8" s="3" t="s">
        <v>27</v>
      </c>
    </row>
    <row r="9" spans="1:17" x14ac:dyDescent="0.35">
      <c r="A9" s="2" t="str">
        <f>HYPERLINK("https://vtmf.veevavault.com/ui/#doc_info/30748877/1/0", "77242113UCO3001-CZE-DD5-CZ10015-Relevant Communications-07 Jan 2026 (v1.0)")</f>
        <v>77242113UCO3001-CZE-DD5-CZ10015-Relevant Communications-07 Jan 2026 (v1.0)</v>
      </c>
      <c r="B9" s="3" t="s">
        <v>56</v>
      </c>
      <c r="C9" s="3" t="s">
        <v>18</v>
      </c>
      <c r="D9" s="3" t="s">
        <v>19</v>
      </c>
      <c r="E9" s="3" t="s">
        <v>20</v>
      </c>
      <c r="F9" s="3" t="s">
        <v>140</v>
      </c>
      <c r="G9" s="2" t="str">
        <f>HYPERLINK("https://vtmf.veevavault.com/ui/#doc_info/30748877/1/0", "VTMF-24776960")</f>
        <v>VTMF-24776960</v>
      </c>
      <c r="H9" s="3"/>
      <c r="I9" s="3" t="s">
        <v>22</v>
      </c>
      <c r="J9" s="3" t="s">
        <v>56</v>
      </c>
      <c r="K9" s="4">
        <v>46031.581284722219</v>
      </c>
      <c r="L9" s="5">
        <v>46031</v>
      </c>
      <c r="M9" s="3" t="s">
        <v>23</v>
      </c>
      <c r="N9" s="3" t="s">
        <v>24</v>
      </c>
      <c r="O9" s="3" t="s">
        <v>25</v>
      </c>
      <c r="P9" s="3" t="s">
        <v>298</v>
      </c>
      <c r="Q9" s="3" t="s">
        <v>27</v>
      </c>
    </row>
    <row r="10" spans="1:17" x14ac:dyDescent="0.35">
      <c r="A10" s="2" t="str">
        <f>HYPERLINK("https://vtmf.veevavault.com/ui/#doc_info/30714720/1/0", "77242113UCO3001-CZE-DD5-CZ10015-Non-IP Shipment Documentation-03 Dec 2025 (v1.0)")</f>
        <v>77242113UCO3001-CZE-DD5-CZ10015-Non-IP Shipment Documentation-03 Dec 2025 (v1.0)</v>
      </c>
      <c r="B10" s="3" t="s">
        <v>17</v>
      </c>
      <c r="C10" s="3" t="s">
        <v>28</v>
      </c>
      <c r="D10" s="3" t="s">
        <v>29</v>
      </c>
      <c r="E10" s="3" t="s">
        <v>30</v>
      </c>
      <c r="F10" s="3" t="s">
        <v>305</v>
      </c>
      <c r="G10" s="2" t="str">
        <f>HYPERLINK("https://vtmf.veevavault.com/ui/#doc_info/30714720/1/0", "VTMF-24749366")</f>
        <v>VTMF-24749366</v>
      </c>
      <c r="H10" s="3"/>
      <c r="I10" s="3" t="s">
        <v>22</v>
      </c>
      <c r="J10" s="3" t="s">
        <v>17</v>
      </c>
      <c r="K10" s="4">
        <v>46027.414942129632</v>
      </c>
      <c r="L10" s="5">
        <v>46027</v>
      </c>
      <c r="M10" s="3" t="s">
        <v>23</v>
      </c>
      <c r="N10" s="3" t="s">
        <v>32</v>
      </c>
      <c r="O10" s="3" t="s">
        <v>25</v>
      </c>
      <c r="P10" s="3" t="s">
        <v>298</v>
      </c>
      <c r="Q10" s="3" t="s">
        <v>27</v>
      </c>
    </row>
    <row r="11" spans="1:17" x14ac:dyDescent="0.35">
      <c r="A11" s="2" t="str">
        <f>HYPERLINK("https://vtmf.veevavault.com/ui/#doc_info/30714766/1/0", "77242113UCO3001-CZE-DD5-CZ10015-Non-IP Shipment Documentation-03 Dec 2025 (v1.0)")</f>
        <v>77242113UCO3001-CZE-DD5-CZ10015-Non-IP Shipment Documentation-03 Dec 2025 (v1.0)</v>
      </c>
      <c r="B11" s="3" t="s">
        <v>17</v>
      </c>
      <c r="C11" s="3" t="s">
        <v>28</v>
      </c>
      <c r="D11" s="3" t="s">
        <v>29</v>
      </c>
      <c r="E11" s="3" t="s">
        <v>30</v>
      </c>
      <c r="F11" s="3" t="s">
        <v>306</v>
      </c>
      <c r="G11" s="2" t="str">
        <f>HYPERLINK("https://vtmf.veevavault.com/ui/#doc_info/30714766/1/0", "VTMF-24749454")</f>
        <v>VTMF-24749454</v>
      </c>
      <c r="H11" s="3"/>
      <c r="I11" s="3" t="s">
        <v>22</v>
      </c>
      <c r="J11" s="3" t="s">
        <v>17</v>
      </c>
      <c r="K11" s="4">
        <v>46027.429722222223</v>
      </c>
      <c r="L11" s="5">
        <v>46027</v>
      </c>
      <c r="M11" s="3" t="s">
        <v>23</v>
      </c>
      <c r="N11" s="3" t="s">
        <v>32</v>
      </c>
      <c r="O11" s="3" t="s">
        <v>25</v>
      </c>
      <c r="P11" s="3" t="s">
        <v>298</v>
      </c>
      <c r="Q11" s="3" t="s">
        <v>27</v>
      </c>
    </row>
    <row r="12" spans="1:17" x14ac:dyDescent="0.35">
      <c r="A12" s="2" t="str">
        <f>HYPERLINK("https://vtmf.veevavault.com/ui/#doc_info/30714767/1/0", "77242113UCO3001-CZE-DD5-CZ10015-Non-IP Shipment Documentation-03 Dec 2025 (v1.0)")</f>
        <v>77242113UCO3001-CZE-DD5-CZ10015-Non-IP Shipment Documentation-03 Dec 2025 (v1.0)</v>
      </c>
      <c r="B12" s="3" t="s">
        <v>17</v>
      </c>
      <c r="C12" s="3" t="s">
        <v>28</v>
      </c>
      <c r="D12" s="3" t="s">
        <v>29</v>
      </c>
      <c r="E12" s="3" t="s">
        <v>30</v>
      </c>
      <c r="F12" s="3" t="s">
        <v>307</v>
      </c>
      <c r="G12" s="2" t="str">
        <f>HYPERLINK("https://vtmf.veevavault.com/ui/#doc_info/30714767/1/0", "VTMF-24749455")</f>
        <v>VTMF-24749455</v>
      </c>
      <c r="H12" s="3"/>
      <c r="I12" s="3" t="s">
        <v>22</v>
      </c>
      <c r="J12" s="3" t="s">
        <v>17</v>
      </c>
      <c r="K12" s="4">
        <v>46027.429722222223</v>
      </c>
      <c r="L12" s="5">
        <v>46027</v>
      </c>
      <c r="M12" s="3" t="s">
        <v>23</v>
      </c>
      <c r="N12" s="3" t="s">
        <v>32</v>
      </c>
      <c r="O12" s="3" t="s">
        <v>25</v>
      </c>
      <c r="P12" s="3" t="s">
        <v>298</v>
      </c>
      <c r="Q12" s="3" t="s">
        <v>27</v>
      </c>
    </row>
    <row r="13" spans="1:17" x14ac:dyDescent="0.35">
      <c r="A13" s="2" t="str">
        <f>HYPERLINK("https://vtmf.veevavault.com/ui/#doc_info/30714719/1/0", "77242113UCO3001-CZE-DD5-CZ10015-Non-IP Shipment Documentation-12 Dec 2025 (v1.0)")</f>
        <v>77242113UCO3001-CZE-DD5-CZ10015-Non-IP Shipment Documentation-12 Dec 2025 (v1.0)</v>
      </c>
      <c r="B13" s="3" t="s">
        <v>17</v>
      </c>
      <c r="C13" s="3" t="s">
        <v>28</v>
      </c>
      <c r="D13" s="3" t="s">
        <v>29</v>
      </c>
      <c r="E13" s="3" t="s">
        <v>30</v>
      </c>
      <c r="F13" s="3" t="s">
        <v>308</v>
      </c>
      <c r="G13" s="2" t="str">
        <f>HYPERLINK("https://vtmf.veevavault.com/ui/#doc_info/30714719/1/0", "VTMF-24749365")</f>
        <v>VTMF-24749365</v>
      </c>
      <c r="H13" s="3"/>
      <c r="I13" s="3" t="s">
        <v>22</v>
      </c>
      <c r="J13" s="3" t="s">
        <v>17</v>
      </c>
      <c r="K13" s="4">
        <v>46027.414942129632</v>
      </c>
      <c r="L13" s="5">
        <v>46027</v>
      </c>
      <c r="M13" s="3" t="s">
        <v>23</v>
      </c>
      <c r="N13" s="3" t="s">
        <v>32</v>
      </c>
      <c r="O13" s="3" t="s">
        <v>25</v>
      </c>
      <c r="P13" s="3" t="s">
        <v>298</v>
      </c>
      <c r="Q13" s="3" t="s">
        <v>27</v>
      </c>
    </row>
    <row r="14" spans="1:17" x14ac:dyDescent="0.35">
      <c r="A14" s="2" t="str">
        <f>HYPERLINK("https://vtmf.veevavault.com/ui/#doc_info/30714721/1/0", "77242113UCO3001-CZE-DD5-CZ10015-Non-IP Shipment Documentation-22 Dec 2025 (v1.0)")</f>
        <v>77242113UCO3001-CZE-DD5-CZ10015-Non-IP Shipment Documentation-22 Dec 2025 (v1.0)</v>
      </c>
      <c r="B14" s="3" t="s">
        <v>17</v>
      </c>
      <c r="C14" s="3" t="s">
        <v>28</v>
      </c>
      <c r="D14" s="3" t="s">
        <v>29</v>
      </c>
      <c r="E14" s="3" t="s">
        <v>30</v>
      </c>
      <c r="F14" s="3" t="s">
        <v>309</v>
      </c>
      <c r="G14" s="2" t="str">
        <f>HYPERLINK("https://vtmf.veevavault.com/ui/#doc_info/30714721/1/0", "VTMF-24749367")</f>
        <v>VTMF-24749367</v>
      </c>
      <c r="H14" s="3"/>
      <c r="I14" s="3" t="s">
        <v>22</v>
      </c>
      <c r="J14" s="3" t="s">
        <v>17</v>
      </c>
      <c r="K14" s="4">
        <v>46027.414942129632</v>
      </c>
      <c r="L14" s="5">
        <v>46027</v>
      </c>
      <c r="M14" s="3" t="s">
        <v>23</v>
      </c>
      <c r="N14" s="3" t="s">
        <v>32</v>
      </c>
      <c r="O14" s="3" t="s">
        <v>25</v>
      </c>
      <c r="P14" s="3" t="s">
        <v>298</v>
      </c>
      <c r="Q14" s="3" t="s">
        <v>27</v>
      </c>
    </row>
    <row r="15" spans="1:17" x14ac:dyDescent="0.35">
      <c r="A15" s="2" t="str">
        <f>HYPERLINK("https://vtmf.veevavault.com/ui/#doc_info/30705999/1/0", "77242113UCO3001-CZE-DD5-CZ10015-Certification of Electronic Signature-03 Dec 2025 (v1.0)")</f>
        <v>77242113UCO3001-CZE-DD5-CZ10015-Certification of Electronic Signature-03 Dec 2025 (v1.0)</v>
      </c>
      <c r="B15" s="3" t="s">
        <v>35</v>
      </c>
      <c r="C15" s="3" t="s">
        <v>84</v>
      </c>
      <c r="D15" s="3" t="s">
        <v>85</v>
      </c>
      <c r="E15" s="3" t="s">
        <v>86</v>
      </c>
      <c r="F15" s="3" t="s">
        <v>310</v>
      </c>
      <c r="G15" s="2" t="str">
        <f>HYPERLINK("https://vtmf.veevavault.com/ui/#doc_info/30705999/1/0", "VTMF-24744236")</f>
        <v>VTMF-24744236</v>
      </c>
      <c r="H15" s="3"/>
      <c r="I15" s="3" t="s">
        <v>22</v>
      </c>
      <c r="J15" s="3" t="s">
        <v>35</v>
      </c>
      <c r="K15" s="4">
        <v>46024.626574074071</v>
      </c>
      <c r="L15" s="5">
        <v>46024</v>
      </c>
      <c r="M15" s="3" t="s">
        <v>23</v>
      </c>
      <c r="N15" s="3" t="s">
        <v>60</v>
      </c>
      <c r="O15" s="3" t="s">
        <v>25</v>
      </c>
      <c r="P15" s="3" t="s">
        <v>298</v>
      </c>
      <c r="Q15" s="3" t="s">
        <v>27</v>
      </c>
    </row>
    <row r="16" spans="1:17" x14ac:dyDescent="0.35">
      <c r="A16" s="2" t="str">
        <f>HYPERLINK("https://vtmf.veevavault.com/ui/#doc_info/30705973/1/0", "77242113UCO3001-CZE-DD5-CZ10015-Clinical Trial Agreement-03 Dec 2025 (v1.0)")</f>
        <v>77242113UCO3001-CZE-DD5-CZ10015-Clinical Trial Agreement-03 Dec 2025 (v1.0)</v>
      </c>
      <c r="B16" s="3" t="s">
        <v>35</v>
      </c>
      <c r="C16" s="3" t="s">
        <v>18</v>
      </c>
      <c r="D16" s="3" t="s">
        <v>57</v>
      </c>
      <c r="E16" s="3" t="s">
        <v>158</v>
      </c>
      <c r="F16" s="3" t="s">
        <v>311</v>
      </c>
      <c r="G16" s="2" t="str">
        <f>HYPERLINK("https://vtmf.veevavault.com/ui/#doc_info/30705973/1/0", "VTMF-24744195")</f>
        <v>VTMF-24744195</v>
      </c>
      <c r="H16" s="3"/>
      <c r="I16" s="3" t="s">
        <v>35</v>
      </c>
      <c r="J16" s="3" t="s">
        <v>35</v>
      </c>
      <c r="K16" s="4">
        <v>46024.615740740737</v>
      </c>
      <c r="L16" s="5">
        <v>46024</v>
      </c>
      <c r="M16" s="3" t="s">
        <v>23</v>
      </c>
      <c r="N16" s="3" t="s">
        <v>97</v>
      </c>
      <c r="O16" s="3" t="s">
        <v>25</v>
      </c>
      <c r="P16" s="3" t="s">
        <v>298</v>
      </c>
      <c r="Q16" s="3" t="s">
        <v>27</v>
      </c>
    </row>
    <row r="17" spans="1:17" x14ac:dyDescent="0.35">
      <c r="A17" s="2" t="str">
        <f>HYPERLINK("https://vtmf.veevavault.com/ui/#doc_info/30705977/2/0", "77242113UCO3001-CZE-DD5-CZ10015-Clinical Trial Agreement-03 Dec 2025 (v2.0)")</f>
        <v>77242113UCO3001-CZE-DD5-CZ10015-Clinical Trial Agreement-03 Dec 2025 (v2.0)</v>
      </c>
      <c r="B17" s="3" t="s">
        <v>35</v>
      </c>
      <c r="C17" s="3" t="s">
        <v>18</v>
      </c>
      <c r="D17" s="3" t="s">
        <v>57</v>
      </c>
      <c r="E17" s="3" t="s">
        <v>158</v>
      </c>
      <c r="F17" s="3" t="s">
        <v>312</v>
      </c>
      <c r="G17" s="2" t="str">
        <f>HYPERLINK("https://vtmf.veevavault.com/ui/#doc_info/30705977/2/0", "VTMF-24744203")</f>
        <v>VTMF-24744203</v>
      </c>
      <c r="H17" s="3"/>
      <c r="I17" s="3" t="s">
        <v>35</v>
      </c>
      <c r="J17" s="3" t="s">
        <v>35</v>
      </c>
      <c r="K17" s="4">
        <v>46024.618692129632</v>
      </c>
      <c r="L17" s="5">
        <v>46024</v>
      </c>
      <c r="M17" s="3" t="s">
        <v>23</v>
      </c>
      <c r="N17" s="3" t="s">
        <v>97</v>
      </c>
      <c r="O17" s="3" t="s">
        <v>25</v>
      </c>
      <c r="P17" s="3" t="s">
        <v>298</v>
      </c>
      <c r="Q17" s="3" t="s">
        <v>27</v>
      </c>
    </row>
    <row r="18" spans="1:17" x14ac:dyDescent="0.35">
      <c r="A18" s="2" t="str">
        <f>HYPERLINK("https://vtmf.veevavault.com/ui/#doc_info/30705987/1/0", "77242113UCO3001-CZE-DD5-CZ10015-Source Data-03 Dec 2025 (v1.0)")</f>
        <v>77242113UCO3001-CZE-DD5-CZ10015-Source Data-03 Dec 2025 (v1.0)</v>
      </c>
      <c r="B18" s="3" t="s">
        <v>35</v>
      </c>
      <c r="C18" s="3" t="s">
        <v>18</v>
      </c>
      <c r="D18" s="3" t="s">
        <v>18</v>
      </c>
      <c r="E18" s="3" t="s">
        <v>88</v>
      </c>
      <c r="F18" s="3" t="s">
        <v>313</v>
      </c>
      <c r="G18" s="2" t="str">
        <f>HYPERLINK("https://vtmf.veevavault.com/ui/#doc_info/30705987/1/0", "VTMF-24744215")</f>
        <v>VTMF-24744215</v>
      </c>
      <c r="H18" s="3"/>
      <c r="I18" s="3" t="s">
        <v>22</v>
      </c>
      <c r="J18" s="3" t="s">
        <v>35</v>
      </c>
      <c r="K18" s="4">
        <v>46024.620567129627</v>
      </c>
      <c r="L18" s="5">
        <v>46024</v>
      </c>
      <c r="M18" s="3" t="s">
        <v>23</v>
      </c>
      <c r="N18" s="3" t="s">
        <v>60</v>
      </c>
      <c r="O18" s="3" t="s">
        <v>25</v>
      </c>
      <c r="P18" s="3" t="s">
        <v>298</v>
      </c>
      <c r="Q18" s="3" t="s">
        <v>27</v>
      </c>
    </row>
    <row r="19" spans="1:17" x14ac:dyDescent="0.35">
      <c r="A19" s="2" t="str">
        <f>HYPERLINK("https://vtmf.veevavault.com/ui/#doc_info/30650121/1/0", "77242113UCO3001-CZE-DD5-CZ10015-IP Site Release Documentation-19 Dec 2025 (v1.0)")</f>
        <v>77242113UCO3001-CZE-DD5-CZ10015-IP Site Release Documentation-19 Dec 2025 (v1.0)</v>
      </c>
      <c r="B19" s="3" t="s">
        <v>94</v>
      </c>
      <c r="C19" s="3" t="s">
        <v>18</v>
      </c>
      <c r="D19" s="3" t="s">
        <v>57</v>
      </c>
      <c r="E19" s="3" t="s">
        <v>95</v>
      </c>
      <c r="F19" s="3" t="s">
        <v>314</v>
      </c>
      <c r="G19" s="2" t="str">
        <f>HYPERLINK("https://vtmf.veevavault.com/ui/#doc_info/30650121/1/0", "VTMF-24697855")</f>
        <v>VTMF-24697855</v>
      </c>
      <c r="H19" s="3"/>
      <c r="I19" s="3" t="s">
        <v>22</v>
      </c>
      <c r="J19" s="3" t="s">
        <v>94</v>
      </c>
      <c r="K19" s="4">
        <v>46010.699108796303</v>
      </c>
      <c r="L19" s="5">
        <v>46013</v>
      </c>
      <c r="M19" s="3" t="s">
        <v>23</v>
      </c>
      <c r="N19" s="3" t="s">
        <v>97</v>
      </c>
      <c r="O19" s="3" t="s">
        <v>25</v>
      </c>
      <c r="P19" s="3" t="s">
        <v>298</v>
      </c>
      <c r="Q19" s="3" t="s">
        <v>27</v>
      </c>
    </row>
    <row r="20" spans="1:17" x14ac:dyDescent="0.35">
      <c r="A20" s="2" t="str">
        <f>HYPERLINK("https://vtmf.veevavault.com/ui/#doc_info/30660918/1/0", "77242113UCO3001-CZE-DD5-CZ10015-Monitoring Visit Follow-up Letter-SIVR_FL-18 Dec 2025 (v1.0)")</f>
        <v>77242113UCO3001-CZE-DD5-CZ10015-Monitoring Visit Follow-up Letter-SIVR_FL-18 Dec 2025 (v1.0)</v>
      </c>
      <c r="B20" s="3" t="s">
        <v>38</v>
      </c>
      <c r="C20" s="3" t="s">
        <v>18</v>
      </c>
      <c r="D20" s="3" t="s">
        <v>18</v>
      </c>
      <c r="E20" s="3" t="s">
        <v>39</v>
      </c>
      <c r="F20" s="3"/>
      <c r="G20" s="2" t="str">
        <f>HYPERLINK("https://vtmf.veevavault.com/ui/#doc_info/30660918/1/0", "VTMF-24706762")</f>
        <v>VTMF-24706762</v>
      </c>
      <c r="H20" s="3"/>
      <c r="I20" s="3" t="s">
        <v>40</v>
      </c>
      <c r="J20" s="3" t="s">
        <v>38</v>
      </c>
      <c r="K20" s="4">
        <v>46013.611319444448</v>
      </c>
      <c r="L20" s="5">
        <v>46013</v>
      </c>
      <c r="M20" s="3" t="s">
        <v>23</v>
      </c>
      <c r="N20" s="3" t="s">
        <v>41</v>
      </c>
      <c r="O20" s="3" t="s">
        <v>25</v>
      </c>
      <c r="P20" s="3" t="s">
        <v>298</v>
      </c>
      <c r="Q20" s="3" t="s">
        <v>27</v>
      </c>
    </row>
    <row r="21" spans="1:17" x14ac:dyDescent="0.35">
      <c r="A21" s="2" t="str">
        <f>HYPERLINK("https://vtmf.veevavault.com/ui/#doc_info/30658792/1/0", "77242113UCO3001-CZE-DD5-CZ10015-Trial Initiation Monitoring Report-18 Dec 2025 (v1.0)")</f>
        <v>77242113UCO3001-CZE-DD5-CZ10015-Trial Initiation Monitoring Report-18 Dec 2025 (v1.0)</v>
      </c>
      <c r="B21" s="3" t="s">
        <v>38</v>
      </c>
      <c r="C21" s="3" t="s">
        <v>18</v>
      </c>
      <c r="D21" s="3" t="s">
        <v>68</v>
      </c>
      <c r="E21" s="3" t="s">
        <v>90</v>
      </c>
      <c r="F21" s="3"/>
      <c r="G21" s="2" t="str">
        <f>HYPERLINK("https://vtmf.veevavault.com/ui/#doc_info/30658792/1/0", "VTMF-24705099")</f>
        <v>VTMF-24705099</v>
      </c>
      <c r="H21" s="3"/>
      <c r="I21" s="3" t="s">
        <v>40</v>
      </c>
      <c r="J21" s="3" t="s">
        <v>38</v>
      </c>
      <c r="K21" s="4">
        <v>46013.397962962961</v>
      </c>
      <c r="L21" s="5">
        <v>46013</v>
      </c>
      <c r="M21" s="3" t="s">
        <v>23</v>
      </c>
      <c r="N21" s="3" t="s">
        <v>91</v>
      </c>
      <c r="O21" s="3" t="s">
        <v>25</v>
      </c>
      <c r="P21" s="3" t="s">
        <v>298</v>
      </c>
      <c r="Q21" s="3" t="s">
        <v>27</v>
      </c>
    </row>
    <row r="22" spans="1:17" x14ac:dyDescent="0.35">
      <c r="A22" s="2" t="str">
        <f>HYPERLINK("https://vtmf.veevavault.com/ui/#doc_info/30625232/1/0", "77242113UCO3001-CZE-DD5-CZ10015-Acceptance of Investigator Brochure-03 Dec 2025 (v1.0)")</f>
        <v>77242113UCO3001-CZE-DD5-CZ10015-Acceptance of Investigator Brochure-03 Dec 2025 (v1.0)</v>
      </c>
      <c r="B22" s="3" t="s">
        <v>56</v>
      </c>
      <c r="C22" s="3" t="s">
        <v>18</v>
      </c>
      <c r="D22" s="3" t="s">
        <v>57</v>
      </c>
      <c r="E22" s="3" t="s">
        <v>92</v>
      </c>
      <c r="F22" s="3" t="s">
        <v>315</v>
      </c>
      <c r="G22" s="2" t="str">
        <f>HYPERLINK("https://vtmf.veevavault.com/ui/#doc_info/30625232/1/0", "VTMF-24676729")</f>
        <v>VTMF-24676729</v>
      </c>
      <c r="H22" s="3"/>
      <c r="I22" s="3" t="s">
        <v>22</v>
      </c>
      <c r="J22" s="3" t="s">
        <v>56</v>
      </c>
      <c r="K22" s="4">
        <v>46008.539895833332</v>
      </c>
      <c r="L22" s="5">
        <v>46008</v>
      </c>
      <c r="M22" s="3" t="s">
        <v>23</v>
      </c>
      <c r="N22" s="3" t="s">
        <v>67</v>
      </c>
      <c r="O22" s="3" t="s">
        <v>25</v>
      </c>
      <c r="P22" s="3" t="s">
        <v>298</v>
      </c>
      <c r="Q22" s="3" t="s">
        <v>27</v>
      </c>
    </row>
    <row r="23" spans="1:17" x14ac:dyDescent="0.35">
      <c r="A23" s="2" t="str">
        <f>HYPERLINK("https://vtmf.veevavault.com/ui/#doc_info/30625306/1/0", "77242113UCO3001-CZE-DD5-CZ10015-Financial Disclosure Form-08 Dec 2025 (v1.0)")</f>
        <v>77242113UCO3001-CZE-DD5-CZ10015-Financial Disclosure Form-08 Dec 2025 (v1.0)</v>
      </c>
      <c r="B23" s="3" t="s">
        <v>316</v>
      </c>
      <c r="C23" s="3" t="s">
        <v>18</v>
      </c>
      <c r="D23" s="3" t="s">
        <v>57</v>
      </c>
      <c r="E23" s="3" t="s">
        <v>189</v>
      </c>
      <c r="F23" s="3" t="s">
        <v>317</v>
      </c>
      <c r="G23" s="2" t="str">
        <f>HYPERLINK("https://vtmf.veevavault.com/ui/#doc_info/30625306/1/0", "VTMF-24676816")</f>
        <v>VTMF-24676816</v>
      </c>
      <c r="H23" s="3"/>
      <c r="I23" s="3" t="s">
        <v>22</v>
      </c>
      <c r="J23" s="3" t="s">
        <v>316</v>
      </c>
      <c r="K23" s="4">
        <v>46008.547384259262</v>
      </c>
      <c r="L23" s="5">
        <v>46008</v>
      </c>
      <c r="M23" s="3" t="s">
        <v>23</v>
      </c>
      <c r="N23" s="3" t="s">
        <v>191</v>
      </c>
      <c r="O23" s="3" t="s">
        <v>25</v>
      </c>
      <c r="P23" s="3" t="s">
        <v>298</v>
      </c>
      <c r="Q23" s="3" t="s">
        <v>27</v>
      </c>
    </row>
    <row r="24" spans="1:17" x14ac:dyDescent="0.35">
      <c r="A24" s="2" t="str">
        <f>HYPERLINK("https://vtmf.veevavault.com/ui/#doc_info/30625314/1/0", "77242113UCO3001-CZE-DD5-CZ10015-Other Curriculum Vitae-02 Oct 2025 (v1.0)")</f>
        <v>77242113UCO3001-CZE-DD5-CZ10015-Other Curriculum Vitae-02 Oct 2025 (v1.0)</v>
      </c>
      <c r="B24" s="3" t="s">
        <v>56</v>
      </c>
      <c r="C24" s="3" t="s">
        <v>18</v>
      </c>
      <c r="D24" s="3" t="s">
        <v>57</v>
      </c>
      <c r="E24" s="3" t="s">
        <v>58</v>
      </c>
      <c r="F24" s="3" t="s">
        <v>318</v>
      </c>
      <c r="G24" s="2" t="str">
        <f>HYPERLINK("https://vtmf.veevavault.com/ui/#doc_info/30625314/1/0", "VTMF-24676829")</f>
        <v>VTMF-24676829</v>
      </c>
      <c r="H24" s="3"/>
      <c r="I24" s="3" t="s">
        <v>22</v>
      </c>
      <c r="J24" s="3" t="s">
        <v>56</v>
      </c>
      <c r="K24" s="4">
        <v>46008.549247685187</v>
      </c>
      <c r="L24" s="5">
        <v>46008</v>
      </c>
      <c r="M24" s="3" t="s">
        <v>23</v>
      </c>
      <c r="N24" s="3" t="s">
        <v>60</v>
      </c>
      <c r="O24" s="3" t="s">
        <v>25</v>
      </c>
      <c r="P24" s="3" t="s">
        <v>298</v>
      </c>
      <c r="Q24" s="3" t="s">
        <v>27</v>
      </c>
    </row>
    <row r="25" spans="1:17" x14ac:dyDescent="0.35">
      <c r="A25" s="2" t="str">
        <f>HYPERLINK("https://vtmf.veevavault.com/ui/#doc_info/30626215/1/0", "77242113UCO3001-CZE-DD5-CZ10015-Other Curriculum Vitae-09 Apr 2025 (v1.0)")</f>
        <v>77242113UCO3001-CZE-DD5-CZ10015-Other Curriculum Vitae-09 Apr 2025 (v1.0)</v>
      </c>
      <c r="B25" s="3" t="s">
        <v>316</v>
      </c>
      <c r="C25" s="3" t="s">
        <v>18</v>
      </c>
      <c r="D25" s="3" t="s">
        <v>57</v>
      </c>
      <c r="E25" s="3" t="s">
        <v>58</v>
      </c>
      <c r="F25" s="3" t="s">
        <v>319</v>
      </c>
      <c r="G25" s="2" t="str">
        <f>HYPERLINK("https://vtmf.veevavault.com/ui/#doc_info/30626215/1/0", "VTMF-24677450")</f>
        <v>VTMF-24677450</v>
      </c>
      <c r="H25" s="3"/>
      <c r="I25" s="3" t="s">
        <v>22</v>
      </c>
      <c r="J25" s="3" t="s">
        <v>316</v>
      </c>
      <c r="K25" s="4">
        <v>46008.609270833331</v>
      </c>
      <c r="L25" s="5">
        <v>46008</v>
      </c>
      <c r="M25" s="3" t="s">
        <v>23</v>
      </c>
      <c r="N25" s="3" t="s">
        <v>60</v>
      </c>
      <c r="O25" s="3" t="s">
        <v>25</v>
      </c>
      <c r="P25" s="3" t="s">
        <v>298</v>
      </c>
      <c r="Q25" s="3" t="s">
        <v>27</v>
      </c>
    </row>
    <row r="26" spans="1:17" x14ac:dyDescent="0.35">
      <c r="A26" s="2" t="str">
        <f>HYPERLINK("https://vtmf.veevavault.com/ui/#doc_info/30625391/1/0", "77242113UCO3001-CZE-DD5-CZ10015-Other Curriculum Vitae-29 Apr 2025 (v1.0)")</f>
        <v>77242113UCO3001-CZE-DD5-CZ10015-Other Curriculum Vitae-29 Apr 2025 (v1.0)</v>
      </c>
      <c r="B26" s="3" t="s">
        <v>316</v>
      </c>
      <c r="C26" s="3" t="s">
        <v>18</v>
      </c>
      <c r="D26" s="3" t="s">
        <v>57</v>
      </c>
      <c r="E26" s="3" t="s">
        <v>58</v>
      </c>
      <c r="F26" s="3" t="s">
        <v>320</v>
      </c>
      <c r="G26" s="2" t="str">
        <f>HYPERLINK("https://vtmf.veevavault.com/ui/#doc_info/30625391/1/0", "VTMF-24676994")</f>
        <v>VTMF-24676994</v>
      </c>
      <c r="H26" s="3"/>
      <c r="I26" s="3" t="s">
        <v>22</v>
      </c>
      <c r="J26" s="3" t="s">
        <v>316</v>
      </c>
      <c r="K26" s="4">
        <v>46008.567800925928</v>
      </c>
      <c r="L26" s="5">
        <v>46008</v>
      </c>
      <c r="M26" s="3" t="s">
        <v>23</v>
      </c>
      <c r="N26" s="3" t="s">
        <v>60</v>
      </c>
      <c r="O26" s="3" t="s">
        <v>25</v>
      </c>
      <c r="P26" s="3" t="s">
        <v>298</v>
      </c>
      <c r="Q26" s="3" t="s">
        <v>27</v>
      </c>
    </row>
    <row r="27" spans="1:17" x14ac:dyDescent="0.35">
      <c r="A27" s="2" t="str">
        <f>HYPERLINK("https://vtmf.veevavault.com/ui/#doc_info/30625514/1/0", "77242113UCO3001-CZE-DD5-CZ10015-Other Curriculum Vitae-29 Apr 2025 (v1.0)")</f>
        <v>77242113UCO3001-CZE-DD5-CZ10015-Other Curriculum Vitae-29 Apr 2025 (v1.0)</v>
      </c>
      <c r="B27" s="3" t="s">
        <v>316</v>
      </c>
      <c r="C27" s="3" t="s">
        <v>18</v>
      </c>
      <c r="D27" s="3" t="s">
        <v>57</v>
      </c>
      <c r="E27" s="3" t="s">
        <v>58</v>
      </c>
      <c r="F27" s="3" t="s">
        <v>321</v>
      </c>
      <c r="G27" s="2" t="str">
        <f>HYPERLINK("https://vtmf.veevavault.com/ui/#doc_info/30625514/1/0", "VTMF-24677026")</f>
        <v>VTMF-24677026</v>
      </c>
      <c r="H27" s="3"/>
      <c r="I27" s="3" t="s">
        <v>22</v>
      </c>
      <c r="J27" s="3" t="s">
        <v>316</v>
      </c>
      <c r="K27" s="4">
        <v>46008.569594907407</v>
      </c>
      <c r="L27" s="5">
        <v>46008</v>
      </c>
      <c r="M27" s="3" t="s">
        <v>23</v>
      </c>
      <c r="N27" s="3" t="s">
        <v>60</v>
      </c>
      <c r="O27" s="3" t="s">
        <v>25</v>
      </c>
      <c r="P27" s="3" t="s">
        <v>298</v>
      </c>
      <c r="Q27" s="3" t="s">
        <v>27</v>
      </c>
    </row>
    <row r="28" spans="1:17" x14ac:dyDescent="0.35">
      <c r="A28" s="2" t="str">
        <f>HYPERLINK("https://vtmf.veevavault.com/ui/#doc_info/30625316/1/0", "77242113UCO3001-CZE-DD5-CZ10015-Other Curriculum Vitae-30 Apr 2025 (v1.0)")</f>
        <v>77242113UCO3001-CZE-DD5-CZ10015-Other Curriculum Vitae-30 Apr 2025 (v1.0)</v>
      </c>
      <c r="B28" s="3" t="s">
        <v>56</v>
      </c>
      <c r="C28" s="3" t="s">
        <v>18</v>
      </c>
      <c r="D28" s="3" t="s">
        <v>57</v>
      </c>
      <c r="E28" s="3" t="s">
        <v>58</v>
      </c>
      <c r="F28" s="3" t="s">
        <v>322</v>
      </c>
      <c r="G28" s="2" t="str">
        <f>HYPERLINK("https://vtmf.veevavault.com/ui/#doc_info/30625316/1/0", "VTMF-24676836")</f>
        <v>VTMF-24676836</v>
      </c>
      <c r="H28" s="3"/>
      <c r="I28" s="3" t="s">
        <v>22</v>
      </c>
      <c r="J28" s="3" t="s">
        <v>56</v>
      </c>
      <c r="K28" s="4">
        <v>46008.550185185188</v>
      </c>
      <c r="L28" s="5">
        <v>46008</v>
      </c>
      <c r="M28" s="3" t="s">
        <v>23</v>
      </c>
      <c r="N28" s="3" t="s">
        <v>60</v>
      </c>
      <c r="O28" s="3" t="s">
        <v>25</v>
      </c>
      <c r="P28" s="3" t="s">
        <v>298</v>
      </c>
      <c r="Q28" s="3" t="s">
        <v>27</v>
      </c>
    </row>
    <row r="29" spans="1:17" x14ac:dyDescent="0.35">
      <c r="A29" s="2" t="str">
        <f>HYPERLINK("https://vtmf.veevavault.com/ui/#doc_info/30625185/1/0", "77242113UCO3001-CZE-DD5-CZ10015-Protocol Signature Page-12 Dec 2025 (v1.0)")</f>
        <v>77242113UCO3001-CZE-DD5-CZ10015-Protocol Signature Page-12 Dec 2025 (v1.0)</v>
      </c>
      <c r="B29" s="3" t="s">
        <v>316</v>
      </c>
      <c r="C29" s="3" t="s">
        <v>18</v>
      </c>
      <c r="D29" s="3" t="s">
        <v>57</v>
      </c>
      <c r="E29" s="3" t="s">
        <v>101</v>
      </c>
      <c r="F29" s="3" t="s">
        <v>323</v>
      </c>
      <c r="G29" s="2" t="str">
        <f>HYPERLINK("https://vtmf.veevavault.com/ui/#doc_info/30625185/1/0", "VTMF-24676771")</f>
        <v>VTMF-24676771</v>
      </c>
      <c r="H29" s="3"/>
      <c r="I29" s="3" t="s">
        <v>22</v>
      </c>
      <c r="J29" s="3" t="s">
        <v>316</v>
      </c>
      <c r="K29" s="4">
        <v>46008.542847222219</v>
      </c>
      <c r="L29" s="5">
        <v>46008</v>
      </c>
      <c r="M29" s="3" t="s">
        <v>23</v>
      </c>
      <c r="N29" s="3" t="s">
        <v>103</v>
      </c>
      <c r="O29" s="3" t="s">
        <v>25</v>
      </c>
      <c r="P29" s="3" t="s">
        <v>298</v>
      </c>
      <c r="Q29" s="3" t="s">
        <v>27</v>
      </c>
    </row>
    <row r="30" spans="1:17" x14ac:dyDescent="0.35">
      <c r="A30" s="2" t="str">
        <f>HYPERLINK("https://vtmf.veevavault.com/ui/#doc_info/30625369/1/0", "77242113UCO3001-CZE-DD5-CZ10015-Site Signature Sheet-03 Dec 2025 (v1.0)")</f>
        <v>77242113UCO3001-CZE-DD5-CZ10015-Site Signature Sheet-03 Dec 2025 (v1.0)</v>
      </c>
      <c r="B30" s="3" t="s">
        <v>316</v>
      </c>
      <c r="C30" s="3" t="s">
        <v>18</v>
      </c>
      <c r="D30" s="3" t="s">
        <v>57</v>
      </c>
      <c r="E30" s="3" t="s">
        <v>104</v>
      </c>
      <c r="F30" s="3" t="s">
        <v>324</v>
      </c>
      <c r="G30" s="2" t="str">
        <f>HYPERLINK("https://vtmf.veevavault.com/ui/#doc_info/30625369/1/0", "VTMF-24676950")</f>
        <v>VTMF-24676950</v>
      </c>
      <c r="H30" s="3"/>
      <c r="I30" s="3" t="s">
        <v>22</v>
      </c>
      <c r="J30" s="3" t="s">
        <v>316</v>
      </c>
      <c r="K30" s="4">
        <v>46008.562013888892</v>
      </c>
      <c r="L30" s="5">
        <v>46008</v>
      </c>
      <c r="M30" s="3" t="s">
        <v>23</v>
      </c>
      <c r="N30" s="3" t="s">
        <v>106</v>
      </c>
      <c r="O30" s="3" t="s">
        <v>25</v>
      </c>
      <c r="P30" s="3" t="s">
        <v>298</v>
      </c>
      <c r="Q30" s="3" t="s">
        <v>27</v>
      </c>
    </row>
    <row r="31" spans="1:17" x14ac:dyDescent="0.35">
      <c r="A31" s="2" t="str">
        <f>HYPERLINK("https://vtmf.veevavault.com/ui/#doc_info/30625311/1/0", "77242113UCO3001-CZE-DD5-CZ10015-Sub-Investigator Curriculum Vitae-05 Aug 2025 (v1.0)")</f>
        <v>77242113UCO3001-CZE-DD5-CZ10015-Sub-Investigator Curriculum Vitae-05 Aug 2025 (v1.0)</v>
      </c>
      <c r="B31" s="3" t="s">
        <v>56</v>
      </c>
      <c r="C31" s="3" t="s">
        <v>18</v>
      </c>
      <c r="D31" s="3" t="s">
        <v>57</v>
      </c>
      <c r="E31" s="3" t="s">
        <v>75</v>
      </c>
      <c r="F31" s="3" t="s">
        <v>325</v>
      </c>
      <c r="G31" s="2" t="str">
        <f>HYPERLINK("https://vtmf.veevavault.com/ui/#doc_info/30625311/1/0", "VTMF-24676823")</f>
        <v>VTMF-24676823</v>
      </c>
      <c r="H31" s="3"/>
      <c r="I31" s="3" t="s">
        <v>22</v>
      </c>
      <c r="J31" s="3" t="s">
        <v>56</v>
      </c>
      <c r="K31" s="4">
        <v>46008.547812500001</v>
      </c>
      <c r="L31" s="5">
        <v>46008</v>
      </c>
      <c r="M31" s="3" t="s">
        <v>23</v>
      </c>
      <c r="N31" s="3" t="s">
        <v>67</v>
      </c>
      <c r="O31" s="3" t="s">
        <v>25</v>
      </c>
      <c r="P31" s="3" t="s">
        <v>298</v>
      </c>
      <c r="Q31" s="3" t="s">
        <v>27</v>
      </c>
    </row>
    <row r="32" spans="1:17" x14ac:dyDescent="0.35">
      <c r="A32" s="2" t="str">
        <f>HYPERLINK("https://vtmf.veevavault.com/ui/#doc_info/30625327/1/0", "77242113UCO3001-CZE-DD5-CZ10015-Sub-Investigator Curriculum Vitae-28 Aug 2025 (v1.0)")</f>
        <v>77242113UCO3001-CZE-DD5-CZ10015-Sub-Investigator Curriculum Vitae-28 Aug 2025 (v1.0)</v>
      </c>
      <c r="B32" s="3" t="s">
        <v>56</v>
      </c>
      <c r="C32" s="3" t="s">
        <v>18</v>
      </c>
      <c r="D32" s="3" t="s">
        <v>57</v>
      </c>
      <c r="E32" s="3" t="s">
        <v>75</v>
      </c>
      <c r="F32" s="3" t="s">
        <v>326</v>
      </c>
      <c r="G32" s="2" t="str">
        <f>HYPERLINK("https://vtmf.veevavault.com/ui/#doc_info/30625327/1/0", "VTMF-24676858")</f>
        <v>VTMF-24676858</v>
      </c>
      <c r="H32" s="3"/>
      <c r="I32" s="3" t="s">
        <v>22</v>
      </c>
      <c r="J32" s="3" t="s">
        <v>56</v>
      </c>
      <c r="K32" s="4">
        <v>46008.552800925929</v>
      </c>
      <c r="L32" s="5">
        <v>46008</v>
      </c>
      <c r="M32" s="3" t="s">
        <v>23</v>
      </c>
      <c r="N32" s="3" t="s">
        <v>67</v>
      </c>
      <c r="O32" s="3" t="s">
        <v>25</v>
      </c>
      <c r="P32" s="3" t="s">
        <v>298</v>
      </c>
      <c r="Q32" s="3" t="s">
        <v>27</v>
      </c>
    </row>
    <row r="33" spans="1:17" x14ac:dyDescent="0.35">
      <c r="A33" s="2" t="str">
        <f>HYPERLINK("https://vtmf.veevavault.com/ui/#doc_info/30583396/1/0", "77242113UCO3001-CZE-DD5-CZ10015-Electronic Source Data Compliance Assessment Questionnaire (ESDCAQ)- (v1.0)")</f>
        <v>77242113UCO3001-CZE-DD5-CZ10015-Electronic Source Data Compliance Assessment Questionnaire (ESDCAQ)- (v1.0)</v>
      </c>
      <c r="B33" s="3" t="s">
        <v>114</v>
      </c>
      <c r="C33" s="3" t="s">
        <v>18</v>
      </c>
      <c r="D33" s="3" t="s">
        <v>57</v>
      </c>
      <c r="E33" s="3" t="s">
        <v>115</v>
      </c>
      <c r="F33" s="3" t="s">
        <v>116</v>
      </c>
      <c r="G33" s="2" t="str">
        <f>HYPERLINK("https://vtmf.veevavault.com/ui/#doc_info/30583396/1/0", "VTMF-24641747")</f>
        <v>VTMF-24641747</v>
      </c>
      <c r="H33" s="3"/>
      <c r="I33" s="3" t="s">
        <v>22</v>
      </c>
      <c r="J33" s="3" t="s">
        <v>114</v>
      </c>
      <c r="K33" s="4">
        <v>46002.463738425933</v>
      </c>
      <c r="L33" s="5">
        <v>46002</v>
      </c>
      <c r="M33" s="3" t="s">
        <v>23</v>
      </c>
      <c r="N33" s="3" t="s">
        <v>118</v>
      </c>
      <c r="O33" s="3" t="s">
        <v>25</v>
      </c>
      <c r="P33" s="3" t="s">
        <v>298</v>
      </c>
      <c r="Q33" s="3" t="s">
        <v>27</v>
      </c>
    </row>
    <row r="34" spans="1:17" x14ac:dyDescent="0.35">
      <c r="A34" s="2" t="str">
        <f>HYPERLINK("https://vtmf.veevavault.com/ui/#doc_info/30560059/1/0", "77242113UCO3001-CZE-DD5-CZ10015-Source Data-08 Dec 2025 (v1.0)")</f>
        <v>77242113UCO3001-CZE-DD5-CZ10015-Source Data-08 Dec 2025 (v1.0)</v>
      </c>
      <c r="B34" s="3" t="s">
        <v>107</v>
      </c>
      <c r="C34" s="3" t="s">
        <v>18</v>
      </c>
      <c r="D34" s="3" t="s">
        <v>18</v>
      </c>
      <c r="E34" s="3" t="s">
        <v>88</v>
      </c>
      <c r="F34" s="3" t="s">
        <v>108</v>
      </c>
      <c r="G34" s="2" t="str">
        <f>HYPERLINK("https://vtmf.veevavault.com/ui/#doc_info/30560059/1/0", "VTMF-24621830")</f>
        <v>VTMF-24621830</v>
      </c>
      <c r="H34" s="3"/>
      <c r="I34" s="3" t="s">
        <v>22</v>
      </c>
      <c r="J34" s="3" t="s">
        <v>107</v>
      </c>
      <c r="K34" s="4">
        <v>45999.89943287037</v>
      </c>
      <c r="L34" s="5">
        <v>46000</v>
      </c>
      <c r="M34" s="3" t="s">
        <v>23</v>
      </c>
      <c r="N34" s="3" t="s">
        <v>60</v>
      </c>
      <c r="O34" s="3" t="s">
        <v>25</v>
      </c>
      <c r="P34" s="3" t="s">
        <v>298</v>
      </c>
      <c r="Q34" s="3" t="s">
        <v>27</v>
      </c>
    </row>
    <row r="35" spans="1:17" x14ac:dyDescent="0.35">
      <c r="A35" s="2" t="str">
        <f>HYPERLINK("https://vtmf.veevavault.com/ui/#doc_info/30512752/1/0", "77242113UCO3001-CZE-DD5-CZ10015-Site Confirmation Letter-SIVR_CL-03 Dec 2025 (v1.0)")</f>
        <v>77242113UCO3001-CZE-DD5-CZ10015-Site Confirmation Letter-SIVR_CL-03 Dec 2025 (v1.0)</v>
      </c>
      <c r="B35" s="3" t="s">
        <v>38</v>
      </c>
      <c r="C35" s="3" t="s">
        <v>18</v>
      </c>
      <c r="D35" s="3" t="s">
        <v>18</v>
      </c>
      <c r="E35" s="3" t="s">
        <v>47</v>
      </c>
      <c r="F35" s="3"/>
      <c r="G35" s="2" t="str">
        <f>HYPERLINK("https://vtmf.veevavault.com/ui/#doc_info/30512752/1/0", "VTMF-24584294")</f>
        <v>VTMF-24584294</v>
      </c>
      <c r="H35" s="3"/>
      <c r="I35" s="3" t="s">
        <v>40</v>
      </c>
      <c r="J35" s="3" t="s">
        <v>38</v>
      </c>
      <c r="K35" s="4">
        <v>45993.567256944443</v>
      </c>
      <c r="L35" s="5">
        <v>45993</v>
      </c>
      <c r="M35" s="3" t="s">
        <v>23</v>
      </c>
      <c r="N35" s="3" t="s">
        <v>41</v>
      </c>
      <c r="O35" s="3" t="s">
        <v>25</v>
      </c>
      <c r="P35" s="3" t="s">
        <v>298</v>
      </c>
      <c r="Q35" s="3" t="s">
        <v>27</v>
      </c>
    </row>
    <row r="36" spans="1:17" x14ac:dyDescent="0.35">
      <c r="A36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36" s="3" t="s">
        <v>119</v>
      </c>
      <c r="C36" s="3" t="s">
        <v>48</v>
      </c>
      <c r="D36" s="3" t="s">
        <v>19</v>
      </c>
      <c r="E36" s="3" t="s">
        <v>20</v>
      </c>
      <c r="F36" s="3" t="s">
        <v>120</v>
      </c>
      <c r="G36" s="2" t="str">
        <f>HYPERLINK("https://vtmf.veevavault.com/ui/#doc_info/29980647/1/0", "VTMF-24136357")</f>
        <v>VTMF-24136357</v>
      </c>
      <c r="H36" s="3"/>
      <c r="I36" s="3" t="s">
        <v>22</v>
      </c>
      <c r="J36" s="3" t="s">
        <v>119</v>
      </c>
      <c r="K36" s="4">
        <v>45918.85465277778</v>
      </c>
      <c r="L36" s="5">
        <v>45919</v>
      </c>
      <c r="M36" s="3" t="s">
        <v>23</v>
      </c>
      <c r="N36" s="3" t="s">
        <v>121</v>
      </c>
      <c r="O36" s="3" t="s">
        <v>122</v>
      </c>
      <c r="P36" s="3" t="s">
        <v>123</v>
      </c>
      <c r="Q36" s="3" t="s">
        <v>27</v>
      </c>
    </row>
    <row r="37" spans="1:17" x14ac:dyDescent="0.35">
      <c r="A37" s="2" t="str">
        <f>HYPERLINK("https://vtmf.veevavault.com/ui/#doc_info/29708215/1/0", "77242113UCO3001-CZE-DD5-CZ10015-Principal Investigator Curriculum Vitae-16 Jun 2025 (v1.0)")</f>
        <v>77242113UCO3001-CZE-DD5-CZ10015-Principal Investigator Curriculum Vitae-16 Jun 2025 (v1.0)</v>
      </c>
      <c r="B37" s="3" t="s">
        <v>94</v>
      </c>
      <c r="C37" s="3" t="s">
        <v>18</v>
      </c>
      <c r="D37" s="3" t="s">
        <v>57</v>
      </c>
      <c r="E37" s="3" t="s">
        <v>65</v>
      </c>
      <c r="F37" s="3" t="s">
        <v>327</v>
      </c>
      <c r="G37" s="2" t="str">
        <f>HYPERLINK("https://vtmf.veevavault.com/ui/#doc_info/29708215/1/0", "VTMF-23902855")</f>
        <v>VTMF-23902855</v>
      </c>
      <c r="H37" s="3"/>
      <c r="I37" s="3" t="s">
        <v>126</v>
      </c>
      <c r="J37" s="3" t="s">
        <v>94</v>
      </c>
      <c r="K37" s="4">
        <v>45875.31391203704</v>
      </c>
      <c r="L37" s="5">
        <v>45875</v>
      </c>
      <c r="M37" s="3" t="s">
        <v>23</v>
      </c>
      <c r="N37" s="3" t="s">
        <v>67</v>
      </c>
      <c r="O37" s="3" t="s">
        <v>25</v>
      </c>
      <c r="P37" s="3" t="s">
        <v>298</v>
      </c>
      <c r="Q37" s="3" t="s">
        <v>27</v>
      </c>
    </row>
    <row r="38" spans="1:17" x14ac:dyDescent="0.35">
      <c r="A38" s="2" t="str">
        <f>HYPERLINK("https://vtmf.veevavault.com/ui/#doc_info/29708077/1/0", "77242113UCO3001-CZE-DD5-CZ10015-Principal Investigator Financial Disclosure Form-23 Jul 2025 (v1.0)")</f>
        <v>77242113UCO3001-CZE-DD5-CZ10015-Principal Investigator Financial Disclosure Form-23 Jul 2025 (v1.0)</v>
      </c>
      <c r="B38" s="3" t="s">
        <v>94</v>
      </c>
      <c r="C38" s="3" t="s">
        <v>18</v>
      </c>
      <c r="D38" s="3" t="s">
        <v>57</v>
      </c>
      <c r="E38" s="3" t="s">
        <v>98</v>
      </c>
      <c r="F38" s="3" t="s">
        <v>328</v>
      </c>
      <c r="G38" s="2" t="str">
        <f>HYPERLINK("https://vtmf.veevavault.com/ui/#doc_info/29708077/1/0", "VTMF-23902797")</f>
        <v>VTMF-23902797</v>
      </c>
      <c r="H38" s="3"/>
      <c r="I38" s="3" t="s">
        <v>126</v>
      </c>
      <c r="J38" s="3" t="s">
        <v>94</v>
      </c>
      <c r="K38" s="4">
        <v>45875.298043981478</v>
      </c>
      <c r="L38" s="5">
        <v>45875</v>
      </c>
      <c r="M38" s="3" t="s">
        <v>23</v>
      </c>
      <c r="N38" s="3" t="s">
        <v>100</v>
      </c>
      <c r="O38" s="3" t="s">
        <v>25</v>
      </c>
      <c r="P38" s="3" t="s">
        <v>298</v>
      </c>
      <c r="Q38" s="3" t="s">
        <v>27</v>
      </c>
    </row>
    <row r="39" spans="1:17" x14ac:dyDescent="0.35">
      <c r="A39" s="2" t="str">
        <f>HYPERLINK("https://vtmf.veevavault.com/ui/#doc_info/29708236/1/0", "77242113UCO3001-CZE-DD5-CZ10015-Site/Staff Qualification Supporting Information (v1.0)")</f>
        <v>77242113UCO3001-CZE-DD5-CZ10015-Site/Staff Qualification Supporting Information (v1.0)</v>
      </c>
      <c r="B39" s="3" t="s">
        <v>94</v>
      </c>
      <c r="C39" s="3" t="s">
        <v>18</v>
      </c>
      <c r="D39" s="3" t="s">
        <v>57</v>
      </c>
      <c r="E39" s="3" t="s">
        <v>124</v>
      </c>
      <c r="F39" s="3" t="s">
        <v>329</v>
      </c>
      <c r="G39" s="2" t="str">
        <f>HYPERLINK("https://vtmf.veevavault.com/ui/#doc_info/29708236/1/0", "VTMF-23902886")</f>
        <v>VTMF-23902886</v>
      </c>
      <c r="H39" s="3"/>
      <c r="I39" s="3" t="s">
        <v>126</v>
      </c>
      <c r="J39" s="3" t="s">
        <v>94</v>
      </c>
      <c r="K39" s="4">
        <v>45875.319895833331</v>
      </c>
      <c r="L39" s="5">
        <v>45875</v>
      </c>
      <c r="M39" s="3" t="s">
        <v>23</v>
      </c>
      <c r="N39" s="3" t="s">
        <v>60</v>
      </c>
      <c r="O39" s="3" t="s">
        <v>25</v>
      </c>
      <c r="P39" s="3" t="s">
        <v>298</v>
      </c>
      <c r="Q39" s="3" t="s">
        <v>27</v>
      </c>
    </row>
    <row r="40" spans="1:17" x14ac:dyDescent="0.35">
      <c r="A40" s="2" t="str">
        <f>HYPERLINK("https://vtmf.veevavault.com/ui/#doc_info/29699295/1/0", "77242113UCO3001-CZE-DD5-CZ10015-Site/Staff Qualification Supporting Information (v1.0)")</f>
        <v>77242113UCO3001-CZE-DD5-CZ10015-Site/Staff Qualification Supporting Information (v1.0)</v>
      </c>
      <c r="B40" s="3" t="s">
        <v>94</v>
      </c>
      <c r="C40" s="3" t="s">
        <v>18</v>
      </c>
      <c r="D40" s="3" t="s">
        <v>57</v>
      </c>
      <c r="E40" s="3" t="s">
        <v>124</v>
      </c>
      <c r="F40" s="3" t="s">
        <v>330</v>
      </c>
      <c r="G40" s="2" t="str">
        <f>HYPERLINK("https://vtmf.veevavault.com/ui/#doc_info/29699295/1/0", "VTMF-23895223")</f>
        <v>VTMF-23895223</v>
      </c>
      <c r="H40" s="3"/>
      <c r="I40" s="3" t="s">
        <v>22</v>
      </c>
      <c r="J40" s="3" t="s">
        <v>94</v>
      </c>
      <c r="K40" s="4">
        <v>45874.320104166669</v>
      </c>
      <c r="L40" s="5">
        <v>45874</v>
      </c>
      <c r="M40" s="3" t="s">
        <v>23</v>
      </c>
      <c r="N40" s="3" t="s">
        <v>60</v>
      </c>
      <c r="O40" s="3" t="s">
        <v>25</v>
      </c>
      <c r="P40" s="3" t="s">
        <v>298</v>
      </c>
      <c r="Q40" s="3" t="s">
        <v>27</v>
      </c>
    </row>
    <row r="41" spans="1:17" x14ac:dyDescent="0.35">
      <c r="A41" s="2" t="str">
        <f>HYPERLINK("https://vtmf.veevavault.com/ui/#doc_info/29352978/1/0", "77242113UCO3001-CZE-DD5-CZ10015-Feasibility Documentation-13 Jun 2025 (v1.0)")</f>
        <v>77242113UCO3001-CZE-DD5-CZ10015-Feasibility Documentation-13 Jun 2025 (v1.0)</v>
      </c>
      <c r="B41" s="3" t="s">
        <v>130</v>
      </c>
      <c r="C41" s="3" t="s">
        <v>18</v>
      </c>
      <c r="D41" s="3" t="s">
        <v>131</v>
      </c>
      <c r="E41" s="3" t="s">
        <v>132</v>
      </c>
      <c r="F41" s="3" t="s">
        <v>331</v>
      </c>
      <c r="G41" s="2" t="str">
        <f>HYPERLINK("https://vtmf.veevavault.com/ui/#doc_info/29352978/1/0", "VTMF-23596689")</f>
        <v>VTMF-23596689</v>
      </c>
      <c r="H41" s="3"/>
      <c r="I41" s="3" t="s">
        <v>22</v>
      </c>
      <c r="J41" s="3" t="s">
        <v>130</v>
      </c>
      <c r="K41" s="4">
        <v>45821.754166666673</v>
      </c>
      <c r="L41" s="5">
        <v>45821</v>
      </c>
      <c r="M41" s="3" t="s">
        <v>23</v>
      </c>
      <c r="N41" s="3" t="s">
        <v>60</v>
      </c>
      <c r="O41" s="3" t="s">
        <v>81</v>
      </c>
      <c r="P41" s="3" t="s">
        <v>332</v>
      </c>
      <c r="Q41" s="3" t="s">
        <v>83</v>
      </c>
    </row>
    <row r="42" spans="1:17" x14ac:dyDescent="0.35">
      <c r="A42" s="2" t="str">
        <f>HYPERLINK("https://vtmf.veevavault.com/ui/#doc_info/29187795/1/0", "77242113UCO3001-CZE-DD5-CZ10015-Monitoring Visit Follow-up Letter-SQVR_FL-21 May 2025 (v1.0)")</f>
        <v>77242113UCO3001-CZE-DD5-CZ10015-Monitoring Visit Follow-up Letter-SQVR_FL-21 May 2025 (v1.0)</v>
      </c>
      <c r="B42" s="3" t="s">
        <v>38</v>
      </c>
      <c r="C42" s="3" t="s">
        <v>18</v>
      </c>
      <c r="D42" s="3" t="s">
        <v>18</v>
      </c>
      <c r="E42" s="3" t="s">
        <v>39</v>
      </c>
      <c r="F42" s="3"/>
      <c r="G42" s="2" t="str">
        <f>HYPERLINK("https://vtmf.veevavault.com/ui/#doc_info/29187795/1/0", "VTMF-23459330")</f>
        <v>VTMF-23459330</v>
      </c>
      <c r="H42" s="3"/>
      <c r="I42" s="3" t="s">
        <v>40</v>
      </c>
      <c r="J42" s="3" t="s">
        <v>38</v>
      </c>
      <c r="K42" s="4">
        <v>45800.481678240743</v>
      </c>
      <c r="L42" s="5">
        <v>45800</v>
      </c>
      <c r="M42" s="3" t="s">
        <v>23</v>
      </c>
      <c r="N42" s="3" t="s">
        <v>41</v>
      </c>
      <c r="O42" s="3" t="s">
        <v>25</v>
      </c>
      <c r="P42" s="3" t="s">
        <v>298</v>
      </c>
      <c r="Q42" s="3" t="s">
        <v>27</v>
      </c>
    </row>
    <row r="43" spans="1:17" x14ac:dyDescent="0.35">
      <c r="A43" s="2" t="str">
        <f>HYPERLINK("https://vtmf.veevavault.com/ui/#doc_info/29186939/1/0", "77242113UCO3001-CZE-DD5-CZ10015-Pre Trial Monitoring Report-21 May 2025 (v1.0)")</f>
        <v>77242113UCO3001-CZE-DD5-CZ10015-Pre Trial Monitoring Report-21 May 2025 (v1.0)</v>
      </c>
      <c r="B43" s="3" t="s">
        <v>38</v>
      </c>
      <c r="C43" s="3" t="s">
        <v>18</v>
      </c>
      <c r="D43" s="3" t="s">
        <v>131</v>
      </c>
      <c r="E43" s="3" t="s">
        <v>134</v>
      </c>
      <c r="F43" s="3"/>
      <c r="G43" s="2" t="str">
        <f>HYPERLINK("https://vtmf.veevavault.com/ui/#doc_info/29186939/1/0", "VTMF-23458569")</f>
        <v>VTMF-23458569</v>
      </c>
      <c r="H43" s="3"/>
      <c r="I43" s="3" t="s">
        <v>40</v>
      </c>
      <c r="J43" s="3" t="s">
        <v>38</v>
      </c>
      <c r="K43" s="4">
        <v>45800.394432870373</v>
      </c>
      <c r="L43" s="5">
        <v>45800</v>
      </c>
      <c r="M43" s="3" t="s">
        <v>23</v>
      </c>
      <c r="N43" s="3" t="s">
        <v>97</v>
      </c>
      <c r="O43" s="3" t="s">
        <v>25</v>
      </c>
      <c r="P43" s="3" t="s">
        <v>298</v>
      </c>
      <c r="Q43" s="3" t="s">
        <v>27</v>
      </c>
    </row>
    <row r="44" spans="1:17" x14ac:dyDescent="0.35">
      <c r="A44" s="2" t="str">
        <f>HYPERLINK("https://vtmf.veevavault.com/ui/#doc_info/29170578/1/0", "77242113UCO3001-CZE-DD5-CZ10015-Site Confirmation Letter-SQVR_CL-21 May 2025 (v1.0)")</f>
        <v>77242113UCO3001-CZE-DD5-CZ10015-Site Confirmation Letter-SQVR_CL-21 May 2025 (v1.0)</v>
      </c>
      <c r="B44" s="3" t="s">
        <v>38</v>
      </c>
      <c r="C44" s="3" t="s">
        <v>18</v>
      </c>
      <c r="D44" s="3" t="s">
        <v>18</v>
      </c>
      <c r="E44" s="3" t="s">
        <v>47</v>
      </c>
      <c r="F44" s="3"/>
      <c r="G44" s="2" t="str">
        <f>HYPERLINK("https://vtmf.veevavault.com/ui/#doc_info/29170578/1/0", "VTMF-23444894")</f>
        <v>VTMF-23444894</v>
      </c>
      <c r="H44" s="3"/>
      <c r="I44" s="3" t="s">
        <v>40</v>
      </c>
      <c r="J44" s="3" t="s">
        <v>38</v>
      </c>
      <c r="K44" s="4">
        <v>45798.945590277777</v>
      </c>
      <c r="L44" s="5">
        <v>45798</v>
      </c>
      <c r="M44" s="3" t="s">
        <v>23</v>
      </c>
      <c r="N44" s="3" t="s">
        <v>41</v>
      </c>
      <c r="O44" s="3" t="s">
        <v>25</v>
      </c>
      <c r="P44" s="3" t="s">
        <v>298</v>
      </c>
      <c r="Q44" s="3" t="s">
        <v>27</v>
      </c>
    </row>
    <row r="45" spans="1:17" x14ac:dyDescent="0.35">
      <c r="A45" s="2" t="str">
        <f>HYPERLINK("https://vtmf.veevavault.com/ui/#doc_info/30715494/0/1", "77242113UCO3001-CZE-DD5-CZ10015-Principal Investigator Curriculum Vitae-16 Jun 2025 (v0.1)")</f>
        <v>77242113UCO3001-CZE-DD5-CZ10015-Principal Investigator Curriculum Vitae-16 Jun 2025 (v0.1)</v>
      </c>
      <c r="B45" s="3" t="s">
        <v>56</v>
      </c>
      <c r="C45" s="3" t="s">
        <v>18</v>
      </c>
      <c r="D45" s="3" t="s">
        <v>57</v>
      </c>
      <c r="E45" s="3" t="s">
        <v>65</v>
      </c>
      <c r="F45" s="3" t="s">
        <v>333</v>
      </c>
      <c r="G45" s="2" t="str">
        <f>HYPERLINK("https://vtmf.veevavault.com/ui/#doc_info/30715494/0/1", "VTMF-24750129")</f>
        <v>VTMF-24750129</v>
      </c>
      <c r="H45" s="3"/>
      <c r="I45" s="3" t="s">
        <v>56</v>
      </c>
      <c r="J45" s="3" t="s">
        <v>56</v>
      </c>
      <c r="K45" s="4">
        <v>46027.527650462973</v>
      </c>
      <c r="L45" s="5"/>
      <c r="M45" s="3" t="s">
        <v>234</v>
      </c>
      <c r="N45" s="3" t="s">
        <v>67</v>
      </c>
      <c r="O45" s="3" t="s">
        <v>25</v>
      </c>
      <c r="P45" s="3" t="s">
        <v>298</v>
      </c>
      <c r="Q45" s="3" t="s">
        <v>27</v>
      </c>
    </row>
    <row r="46" spans="1:17" x14ac:dyDescent="0.35">
      <c r="A46" s="2" t="str">
        <f>HYPERLINK("https://vtmf.veevavault.com/ui/#doc_info/31430793/1/0", "77242113UCO3001-CZE-DD5-CZ10015-Site Confirmation Letter-SMVR_CL-15 Apr 2026 (v1.0)")</f>
        <v>77242113UCO3001-CZE-DD5-CZ10015-Site Confirmation Letter-SMVR_CL-15 Apr 2026 (v1.0)</v>
      </c>
      <c r="B46" s="3" t="s">
        <v>38</v>
      </c>
      <c r="C46" s="3" t="s">
        <v>18</v>
      </c>
      <c r="D46" s="3" t="s">
        <v>18</v>
      </c>
      <c r="E46" s="3" t="s">
        <v>47</v>
      </c>
      <c r="F46" s="3"/>
      <c r="G46" s="2" t="str">
        <f>HYPERLINK("https://vtmf.veevavault.com/ui/#doc_info/31430793/1/0", "VTMF-25360977")</f>
        <v>VTMF-25360977</v>
      </c>
      <c r="H46" s="3"/>
      <c r="I46" s="3" t="s">
        <v>40</v>
      </c>
      <c r="J46" s="3" t="s">
        <v>38</v>
      </c>
      <c r="K46" s="4">
        <v>46122.695115740738</v>
      </c>
      <c r="L46" s="5"/>
      <c r="M46" s="3" t="s">
        <v>23</v>
      </c>
      <c r="N46" s="3" t="s">
        <v>41</v>
      </c>
      <c r="O46" s="3" t="s">
        <v>25</v>
      </c>
      <c r="P46" s="3" t="s">
        <v>298</v>
      </c>
      <c r="Q46" s="3" t="s">
        <v>27</v>
      </c>
    </row>
  </sheetData>
  <autoFilter ref="A1:Q46" xr:uid="{00000000-0009-0000-0000-000007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Q37"/>
  <sheetViews>
    <sheetView workbookViewId="0"/>
  </sheetViews>
  <sheetFormatPr defaultRowHeight="14.5" x14ac:dyDescent="0.35"/>
  <cols>
    <col min="1" max="1" width="40" customWidth="1"/>
    <col min="2" max="10" width="16" customWidth="1"/>
    <col min="11" max="11" width="24" customWidth="1"/>
    <col min="12" max="12" width="15" customWidth="1"/>
    <col min="13" max="17" width="16" customWidth="1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tr">
        <f>HYPERLINK("https://vtmf.veevavault.com/ui/#doc_info/31489638/1/0", "77242113UCO3001-CZE-DD5-CZ10016-Non-IP Shipment Documentation-31 Mar 2026 (v1.0)")</f>
        <v>77242113UCO3001-CZE-DD5-CZ10016-Non-IP Shipment Documentation-31 Mar 2026 (v1.0)</v>
      </c>
      <c r="B2" s="3" t="s">
        <v>17</v>
      </c>
      <c r="C2" s="3" t="s">
        <v>28</v>
      </c>
      <c r="D2" s="3" t="s">
        <v>29</v>
      </c>
      <c r="E2" s="3" t="s">
        <v>30</v>
      </c>
      <c r="F2" s="3" t="s">
        <v>211</v>
      </c>
      <c r="G2" s="2" t="str">
        <f>HYPERLINK("https://vtmf.veevavault.com/ui/#doc_info/31489638/1/0", "VTMF-25410376")</f>
        <v>VTMF-25410376</v>
      </c>
      <c r="H2" s="3"/>
      <c r="I2" s="3" t="s">
        <v>22</v>
      </c>
      <c r="J2" s="3" t="s">
        <v>17</v>
      </c>
      <c r="K2" s="4">
        <v>46132.567256944443</v>
      </c>
      <c r="L2" s="5">
        <v>46132</v>
      </c>
      <c r="M2" s="3" t="s">
        <v>23</v>
      </c>
      <c r="N2" s="3" t="s">
        <v>32</v>
      </c>
      <c r="O2" s="3" t="s">
        <v>25</v>
      </c>
      <c r="P2" s="3" t="s">
        <v>334</v>
      </c>
      <c r="Q2" s="3" t="s">
        <v>27</v>
      </c>
    </row>
    <row r="3" spans="1:17" x14ac:dyDescent="0.35">
      <c r="A3" s="2" t="str">
        <f>HYPERLINK("https://vtmf.veevavault.com/ui/#doc_info/31468635/1/0", "77242113UCO3001-CZE-DD5-CZ10016-Relevant Communications-14 Apr 2026 (v1.0)")</f>
        <v>77242113UCO3001-CZE-DD5-CZ10016-Relevant Communications-14 Apr 2026 (v1.0)</v>
      </c>
      <c r="B3" s="3" t="s">
        <v>176</v>
      </c>
      <c r="C3" s="3" t="s">
        <v>18</v>
      </c>
      <c r="D3" s="3" t="s">
        <v>19</v>
      </c>
      <c r="E3" s="3" t="s">
        <v>20</v>
      </c>
      <c r="F3" s="3" t="s">
        <v>335</v>
      </c>
      <c r="G3" s="2" t="str">
        <f>HYPERLINK("https://vtmf.veevavault.com/ui/#doc_info/31468635/1/0", "VTMF-25392384")</f>
        <v>VTMF-25392384</v>
      </c>
      <c r="H3" s="3"/>
      <c r="I3" s="3" t="s">
        <v>22</v>
      </c>
      <c r="J3" s="3" t="s">
        <v>176</v>
      </c>
      <c r="K3" s="4">
        <v>46128.657986111109</v>
      </c>
      <c r="L3" s="5">
        <v>46128</v>
      </c>
      <c r="M3" s="3" t="s">
        <v>23</v>
      </c>
      <c r="N3" s="3" t="s">
        <v>24</v>
      </c>
      <c r="O3" s="3" t="s">
        <v>25</v>
      </c>
      <c r="P3" s="3" t="s">
        <v>334</v>
      </c>
      <c r="Q3" s="3" t="s">
        <v>27</v>
      </c>
    </row>
    <row r="4" spans="1:17" x14ac:dyDescent="0.35">
      <c r="A4" s="2" t="str">
        <f>HYPERLINK("https://vtmf.veevavault.com/ui/#doc_info/31468653/1/0", "77242113UCO3001-CZE-DD5-CZ10016-Relevant Communications-14 Apr 2026 (v1.0)")</f>
        <v>77242113UCO3001-CZE-DD5-CZ10016-Relevant Communications-14 Apr 2026 (v1.0)</v>
      </c>
      <c r="B4" s="3" t="s">
        <v>176</v>
      </c>
      <c r="C4" s="3" t="s">
        <v>18</v>
      </c>
      <c r="D4" s="3" t="s">
        <v>19</v>
      </c>
      <c r="E4" s="3" t="s">
        <v>20</v>
      </c>
      <c r="F4" s="3" t="s">
        <v>336</v>
      </c>
      <c r="G4" s="2" t="str">
        <f>HYPERLINK("https://vtmf.veevavault.com/ui/#doc_info/31468653/1/0", "VTMF-25392494")</f>
        <v>VTMF-25392494</v>
      </c>
      <c r="H4" s="3"/>
      <c r="I4" s="3" t="s">
        <v>22</v>
      </c>
      <c r="J4" s="3" t="s">
        <v>176</v>
      </c>
      <c r="K4" s="4">
        <v>46128.660914351851</v>
      </c>
      <c r="L4" s="5">
        <v>46128</v>
      </c>
      <c r="M4" s="3" t="s">
        <v>23</v>
      </c>
      <c r="N4" s="3" t="s">
        <v>24</v>
      </c>
      <c r="O4" s="3" t="s">
        <v>25</v>
      </c>
      <c r="P4" s="3" t="s">
        <v>334</v>
      </c>
      <c r="Q4" s="3" t="s">
        <v>27</v>
      </c>
    </row>
    <row r="5" spans="1:17" x14ac:dyDescent="0.35">
      <c r="A5" s="2" t="str">
        <f>HYPERLINK("https://vtmf.veevavault.com/ui/#doc_info/31286594/1/0", "77242113UCO3001-CZE-DD5-CZ10016-Non-IP Shipment Documentation-06 Mar 2026 (v1.0)")</f>
        <v>77242113UCO3001-CZE-DD5-CZ10016-Non-IP Shipment Documentation-06 Mar 2026 (v1.0)</v>
      </c>
      <c r="B5" s="3" t="s">
        <v>17</v>
      </c>
      <c r="C5" s="3" t="s">
        <v>28</v>
      </c>
      <c r="D5" s="3" t="s">
        <v>29</v>
      </c>
      <c r="E5" s="3" t="s">
        <v>30</v>
      </c>
      <c r="F5" s="3" t="s">
        <v>33</v>
      </c>
      <c r="G5" s="2" t="str">
        <f>HYPERLINK("https://vtmf.veevavault.com/ui/#doc_info/31286594/1/0", "VTMF-25232901")</f>
        <v>VTMF-25232901</v>
      </c>
      <c r="H5" s="3"/>
      <c r="I5" s="3" t="s">
        <v>22</v>
      </c>
      <c r="J5" s="3" t="s">
        <v>17</v>
      </c>
      <c r="K5" s="4">
        <v>46108.48841435185</v>
      </c>
      <c r="L5" s="5">
        <v>46125</v>
      </c>
      <c r="M5" s="3" t="s">
        <v>23</v>
      </c>
      <c r="N5" s="3" t="s">
        <v>32</v>
      </c>
      <c r="O5" s="3" t="s">
        <v>25</v>
      </c>
      <c r="P5" s="3" t="s">
        <v>334</v>
      </c>
      <c r="Q5" s="3" t="s">
        <v>27</v>
      </c>
    </row>
    <row r="6" spans="1:17" x14ac:dyDescent="0.35">
      <c r="A6" s="2" t="str">
        <f>HYPERLINK("https://vtmf.veevavault.com/ui/#doc_info/31437722/1/0", "77242113UCO3001-CZE-DD5-CZ10016-Relevant Communications-26 Mar 2026 (v1.0)")</f>
        <v>77242113UCO3001-CZE-DD5-CZ10016-Relevant Communications-26 Mar 2026 (v1.0)</v>
      </c>
      <c r="B6" s="3" t="s">
        <v>176</v>
      </c>
      <c r="C6" s="3" t="s">
        <v>18</v>
      </c>
      <c r="D6" s="3" t="s">
        <v>19</v>
      </c>
      <c r="E6" s="3" t="s">
        <v>20</v>
      </c>
      <c r="F6" s="3" t="s">
        <v>180</v>
      </c>
      <c r="G6" s="2" t="str">
        <f>HYPERLINK("https://vtmf.veevavault.com/ui/#doc_info/31437722/1/0", "VTMF-25367103")</f>
        <v>VTMF-25367103</v>
      </c>
      <c r="H6" s="3"/>
      <c r="I6" s="3" t="s">
        <v>22</v>
      </c>
      <c r="J6" s="3" t="s">
        <v>176</v>
      </c>
      <c r="K6" s="4">
        <v>46125.330821759257</v>
      </c>
      <c r="L6" s="5">
        <v>46125</v>
      </c>
      <c r="M6" s="3" t="s">
        <v>23</v>
      </c>
      <c r="N6" s="3" t="s">
        <v>24</v>
      </c>
      <c r="O6" s="3" t="s">
        <v>25</v>
      </c>
      <c r="P6" s="3" t="s">
        <v>334</v>
      </c>
      <c r="Q6" s="3" t="s">
        <v>27</v>
      </c>
    </row>
    <row r="7" spans="1:17" x14ac:dyDescent="0.35">
      <c r="A7" s="2" t="str">
        <f>HYPERLINK("https://vtmf.veevavault.com/ui/#doc_info/31034556/1/0", "77242113UCO3001-CZE-DD5-CZ10016-VR Correction Form-27 Jan 2026 (v1.0)")</f>
        <v>77242113UCO3001-CZE-DD5-CZ10016-VR Correction Form-27 Jan 2026 (v1.0)</v>
      </c>
      <c r="B7" s="3" t="s">
        <v>38</v>
      </c>
      <c r="C7" s="3" t="s">
        <v>18</v>
      </c>
      <c r="D7" s="3" t="s">
        <v>19</v>
      </c>
      <c r="E7" s="3" t="s">
        <v>138</v>
      </c>
      <c r="F7" s="3"/>
      <c r="G7" s="2" t="str">
        <f>HYPERLINK("https://vtmf.veevavault.com/ui/#doc_info/31034556/1/0", "VTMF-25018235")</f>
        <v>VTMF-25018235</v>
      </c>
      <c r="H7" s="3"/>
      <c r="I7" s="3" t="s">
        <v>139</v>
      </c>
      <c r="J7" s="3" t="s">
        <v>38</v>
      </c>
      <c r="K7" s="4">
        <v>46074.940694444442</v>
      </c>
      <c r="L7" s="5">
        <v>46074</v>
      </c>
      <c r="M7" s="3" t="s">
        <v>23</v>
      </c>
      <c r="N7" s="3"/>
      <c r="O7" s="3" t="s">
        <v>25</v>
      </c>
      <c r="P7" s="3" t="s">
        <v>334</v>
      </c>
      <c r="Q7" s="3" t="s">
        <v>27</v>
      </c>
    </row>
    <row r="8" spans="1:17" x14ac:dyDescent="0.35">
      <c r="A8" s="2" t="str">
        <f>HYPERLINK("https://vtmf.veevavault.com/ui/#doc_info/30996040/1/0", "77242113UCO3001-CZE-DD5-CZ10016-Monitoring Visit Follow-up Letter-SIVR_FL-27 Jan 2026 (v1.0)")</f>
        <v>77242113UCO3001-CZE-DD5-CZ10016-Monitoring Visit Follow-up Letter-SIVR_FL-27 Jan 2026 (v1.0)</v>
      </c>
      <c r="B8" s="3" t="s">
        <v>38</v>
      </c>
      <c r="C8" s="3" t="s">
        <v>18</v>
      </c>
      <c r="D8" s="3" t="s">
        <v>18</v>
      </c>
      <c r="E8" s="3" t="s">
        <v>39</v>
      </c>
      <c r="F8" s="3"/>
      <c r="G8" s="2" t="str">
        <f>HYPERLINK("https://vtmf.veevavault.com/ui/#doc_info/30996040/1/0", "VTMF-24985419")</f>
        <v>VTMF-24985419</v>
      </c>
      <c r="H8" s="3"/>
      <c r="I8" s="3" t="s">
        <v>40</v>
      </c>
      <c r="J8" s="3" t="s">
        <v>38</v>
      </c>
      <c r="K8" s="4">
        <v>46069.311261574083</v>
      </c>
      <c r="L8" s="5">
        <v>46069</v>
      </c>
      <c r="M8" s="3" t="s">
        <v>23</v>
      </c>
      <c r="N8" s="3" t="s">
        <v>41</v>
      </c>
      <c r="O8" s="3" t="s">
        <v>25</v>
      </c>
      <c r="P8" s="3" t="s">
        <v>334</v>
      </c>
      <c r="Q8" s="3" t="s">
        <v>27</v>
      </c>
    </row>
    <row r="9" spans="1:17" x14ac:dyDescent="0.35">
      <c r="A9" s="2" t="str">
        <f>HYPERLINK("https://vtmf.veevavault.com/ui/#doc_info/30940236/1/0", "77242113UCO3001-CZE-DD5-CZ10016-Recruitment Plan-26 Jan 2026 (v1.0)")</f>
        <v>77242113UCO3001-CZE-DD5-CZ10016-Recruitment Plan-26 Jan 2026 (v1.0)</v>
      </c>
      <c r="B9" s="3" t="s">
        <v>176</v>
      </c>
      <c r="C9" s="3" t="s">
        <v>48</v>
      </c>
      <c r="D9" s="3" t="s">
        <v>49</v>
      </c>
      <c r="E9" s="3" t="s">
        <v>50</v>
      </c>
      <c r="F9" s="3" t="s">
        <v>182</v>
      </c>
      <c r="G9" s="2" t="str">
        <f>HYPERLINK("https://vtmf.veevavault.com/ui/#doc_info/30940236/1/0", "VTMF-24937990")</f>
        <v>VTMF-24937990</v>
      </c>
      <c r="H9" s="3"/>
      <c r="I9" s="3" t="s">
        <v>22</v>
      </c>
      <c r="J9" s="3" t="s">
        <v>176</v>
      </c>
      <c r="K9" s="4">
        <v>46059.634513888886</v>
      </c>
      <c r="L9" s="5">
        <v>46059</v>
      </c>
      <c r="M9" s="3" t="s">
        <v>23</v>
      </c>
      <c r="N9" s="3" t="s">
        <v>52</v>
      </c>
      <c r="O9" s="3" t="s">
        <v>25</v>
      </c>
      <c r="P9" s="3" t="s">
        <v>334</v>
      </c>
      <c r="Q9" s="3" t="s">
        <v>27</v>
      </c>
    </row>
    <row r="10" spans="1:17" x14ac:dyDescent="0.35">
      <c r="A10" s="2" t="str">
        <f>HYPERLINK("https://vtmf.veevavault.com/ui/#doc_info/30904940/1/0", "77242113UCO3001-CZE-DD5-CZ10016-Relevant Communications-27 Jan 2026 (v1.0)")</f>
        <v>77242113UCO3001-CZE-DD5-CZ10016-Relevant Communications-27 Jan 2026 (v1.0)</v>
      </c>
      <c r="B10" s="3" t="s">
        <v>176</v>
      </c>
      <c r="C10" s="3" t="s">
        <v>18</v>
      </c>
      <c r="D10" s="3" t="s">
        <v>19</v>
      </c>
      <c r="E10" s="3" t="s">
        <v>20</v>
      </c>
      <c r="F10" s="3" t="s">
        <v>337</v>
      </c>
      <c r="G10" s="2" t="str">
        <f>HYPERLINK("https://vtmf.veevavault.com/ui/#doc_info/30904940/1/0", "VTMF-24909074")</f>
        <v>VTMF-24909074</v>
      </c>
      <c r="H10" s="3"/>
      <c r="I10" s="3" t="s">
        <v>22</v>
      </c>
      <c r="J10" s="3" t="s">
        <v>176</v>
      </c>
      <c r="K10" s="4">
        <v>46056.366967592592</v>
      </c>
      <c r="L10" s="5">
        <v>46056</v>
      </c>
      <c r="M10" s="3" t="s">
        <v>23</v>
      </c>
      <c r="N10" s="3" t="s">
        <v>24</v>
      </c>
      <c r="O10" s="3" t="s">
        <v>25</v>
      </c>
      <c r="P10" s="3" t="s">
        <v>334</v>
      </c>
      <c r="Q10" s="3" t="s">
        <v>27</v>
      </c>
    </row>
    <row r="11" spans="1:17" x14ac:dyDescent="0.35">
      <c r="A11" s="2" t="str">
        <f>HYPERLINK("https://vtmf.veevavault.com/ui/#doc_info/30905563/1/0", "77242113UCO3001-CZE-DD5-CZ10016-Trial Initiation Monitoring Report-27 Jan 2026 (v1.0)")</f>
        <v>77242113UCO3001-CZE-DD5-CZ10016-Trial Initiation Monitoring Report-27 Jan 2026 (v1.0)</v>
      </c>
      <c r="B11" s="3" t="s">
        <v>38</v>
      </c>
      <c r="C11" s="3" t="s">
        <v>18</v>
      </c>
      <c r="D11" s="3" t="s">
        <v>68</v>
      </c>
      <c r="E11" s="3" t="s">
        <v>90</v>
      </c>
      <c r="F11" s="3"/>
      <c r="G11" s="2" t="str">
        <f>HYPERLINK("https://vtmf.veevavault.com/ui/#doc_info/30905563/1/0", "VTMF-24909673")</f>
        <v>VTMF-24909673</v>
      </c>
      <c r="H11" s="3"/>
      <c r="I11" s="3" t="s">
        <v>40</v>
      </c>
      <c r="J11" s="3" t="s">
        <v>38</v>
      </c>
      <c r="K11" s="4">
        <v>46056.441643518519</v>
      </c>
      <c r="L11" s="5">
        <v>46056</v>
      </c>
      <c r="M11" s="3" t="s">
        <v>23</v>
      </c>
      <c r="N11" s="3" t="s">
        <v>91</v>
      </c>
      <c r="O11" s="3" t="s">
        <v>25</v>
      </c>
      <c r="P11" s="3" t="s">
        <v>334</v>
      </c>
      <c r="Q11" s="3" t="s">
        <v>27</v>
      </c>
    </row>
    <row r="12" spans="1:17" x14ac:dyDescent="0.35">
      <c r="A12" s="2" t="str">
        <f>HYPERLINK("https://vtmf.veevavault.com/ui/#doc_info/30904740/1/0", "77242113UCO3001-CZE-DD5-CZ10016-Maintenance Logs (Device)-28 Feb 2025 (v1.0)")</f>
        <v>77242113UCO3001-CZE-DD5-CZ10016-Maintenance Logs (Device)-28 Feb 2025 (v1.0)</v>
      </c>
      <c r="B12" s="3" t="s">
        <v>176</v>
      </c>
      <c r="C12" s="3" t="s">
        <v>28</v>
      </c>
      <c r="D12" s="3" t="s">
        <v>77</v>
      </c>
      <c r="E12" s="3" t="s">
        <v>109</v>
      </c>
      <c r="F12" s="3" t="s">
        <v>254</v>
      </c>
      <c r="G12" s="2" t="str">
        <f>HYPERLINK("https://vtmf.veevavault.com/ui/#doc_info/30904740/1/0", "VTMF-24908979")</f>
        <v>VTMF-24908979</v>
      </c>
      <c r="H12" s="3"/>
      <c r="I12" s="3" t="s">
        <v>22</v>
      </c>
      <c r="J12" s="3" t="s">
        <v>176</v>
      </c>
      <c r="K12" s="4">
        <v>46056.35423611111</v>
      </c>
      <c r="L12" s="5">
        <v>46056</v>
      </c>
      <c r="M12" s="3" t="s">
        <v>23</v>
      </c>
      <c r="N12" s="3" t="s">
        <v>111</v>
      </c>
      <c r="O12" s="3" t="s">
        <v>81</v>
      </c>
      <c r="P12" s="3" t="s">
        <v>338</v>
      </c>
      <c r="Q12" s="3" t="s">
        <v>83</v>
      </c>
    </row>
    <row r="13" spans="1:17" x14ac:dyDescent="0.35">
      <c r="A13" s="2" t="str">
        <f>HYPERLINK("https://vtmf.veevavault.com/ui/#doc_info/30898334/1/0", "77242113UCO3001-CZE-DD5-CZ10016-Acceptance of Investigator Brochure-20 Jan 2026 (v1.0)")</f>
        <v>77242113UCO3001-CZE-DD5-CZ10016-Acceptance of Investigator Brochure-20 Jan 2026 (v1.0)</v>
      </c>
      <c r="B13" s="3" t="s">
        <v>176</v>
      </c>
      <c r="C13" s="3" t="s">
        <v>18</v>
      </c>
      <c r="D13" s="3" t="s">
        <v>57</v>
      </c>
      <c r="E13" s="3" t="s">
        <v>92</v>
      </c>
      <c r="F13" s="3" t="s">
        <v>249</v>
      </c>
      <c r="G13" s="2" t="str">
        <f>HYPERLINK("https://vtmf.veevavault.com/ui/#doc_info/30898334/1/0", "VTMF-24903457")</f>
        <v>VTMF-24903457</v>
      </c>
      <c r="H13" s="3"/>
      <c r="I13" s="3" t="s">
        <v>22</v>
      </c>
      <c r="J13" s="3" t="s">
        <v>176</v>
      </c>
      <c r="K13" s="4">
        <v>46055.639016203713</v>
      </c>
      <c r="L13" s="5">
        <v>46055</v>
      </c>
      <c r="M13" s="3" t="s">
        <v>23</v>
      </c>
      <c r="N13" s="3" t="s">
        <v>67</v>
      </c>
      <c r="O13" s="3" t="s">
        <v>25</v>
      </c>
      <c r="P13" s="3" t="s">
        <v>334</v>
      </c>
      <c r="Q13" s="3" t="s">
        <v>27</v>
      </c>
    </row>
    <row r="14" spans="1:17" x14ac:dyDescent="0.35">
      <c r="A14" s="2" t="str">
        <f>HYPERLINK("https://vtmf.veevavault.com/ui/#doc_info/30897205/1/0", "77242113UCO3001-CZE-DD5-CZ10016-Financial Disclosure Form-20 Jan 2026 (v1.0)")</f>
        <v>77242113UCO3001-CZE-DD5-CZ10016-Financial Disclosure Form-20 Jan 2026 (v1.0)</v>
      </c>
      <c r="B14" s="3" t="s">
        <v>176</v>
      </c>
      <c r="C14" s="3" t="s">
        <v>18</v>
      </c>
      <c r="D14" s="3" t="s">
        <v>57</v>
      </c>
      <c r="E14" s="3" t="s">
        <v>189</v>
      </c>
      <c r="F14" s="3" t="s">
        <v>339</v>
      </c>
      <c r="G14" s="2" t="str">
        <f>HYPERLINK("https://vtmf.veevavault.com/ui/#doc_info/30897205/1/0", "VTMF-24902505")</f>
        <v>VTMF-24902505</v>
      </c>
      <c r="H14" s="3"/>
      <c r="I14" s="3" t="s">
        <v>22</v>
      </c>
      <c r="J14" s="3" t="s">
        <v>176</v>
      </c>
      <c r="K14" s="4">
        <v>46055.524305555547</v>
      </c>
      <c r="L14" s="5">
        <v>46055</v>
      </c>
      <c r="M14" s="3" t="s">
        <v>23</v>
      </c>
      <c r="N14" s="3" t="s">
        <v>191</v>
      </c>
      <c r="O14" s="3" t="s">
        <v>25</v>
      </c>
      <c r="P14" s="3" t="s">
        <v>334</v>
      </c>
      <c r="Q14" s="3" t="s">
        <v>27</v>
      </c>
    </row>
    <row r="15" spans="1:17" x14ac:dyDescent="0.35">
      <c r="A15" s="2" t="str">
        <f>HYPERLINK("https://vtmf.veevavault.com/ui/#doc_info/30897773/1/0", "77242113UCO3001-CZE-DD5-CZ10016-Non-IP Shipment Documentation-20 Jan 2026 (v1.0)")</f>
        <v>77242113UCO3001-CZE-DD5-CZ10016-Non-IP Shipment Documentation-20 Jan 2026 (v1.0)</v>
      </c>
      <c r="B15" s="3" t="s">
        <v>176</v>
      </c>
      <c r="C15" s="3" t="s">
        <v>28</v>
      </c>
      <c r="D15" s="3" t="s">
        <v>29</v>
      </c>
      <c r="E15" s="3" t="s">
        <v>30</v>
      </c>
      <c r="F15" s="3" t="s">
        <v>340</v>
      </c>
      <c r="G15" s="2" t="str">
        <f>HYPERLINK("https://vtmf.veevavault.com/ui/#doc_info/30897773/1/0", "VTMF-24903074")</f>
        <v>VTMF-24903074</v>
      </c>
      <c r="H15" s="3"/>
      <c r="I15" s="3" t="s">
        <v>22</v>
      </c>
      <c r="J15" s="3" t="s">
        <v>176</v>
      </c>
      <c r="K15" s="4">
        <v>46055.603796296287</v>
      </c>
      <c r="L15" s="5">
        <v>46055</v>
      </c>
      <c r="M15" s="3" t="s">
        <v>23</v>
      </c>
      <c r="N15" s="3" t="s">
        <v>32</v>
      </c>
      <c r="O15" s="3" t="s">
        <v>25</v>
      </c>
      <c r="P15" s="3" t="s">
        <v>334</v>
      </c>
      <c r="Q15" s="3" t="s">
        <v>27</v>
      </c>
    </row>
    <row r="16" spans="1:17" x14ac:dyDescent="0.35">
      <c r="A16" s="2" t="str">
        <f>HYPERLINK("https://vtmf.veevavault.com/ui/#doc_info/30897797/1/0", "77242113UCO3001-CZE-DD5-CZ10016-Non-IP Shipment Documentation-20 Jan 2026 (v1.0)")</f>
        <v>77242113UCO3001-CZE-DD5-CZ10016-Non-IP Shipment Documentation-20 Jan 2026 (v1.0)</v>
      </c>
      <c r="B16" s="3" t="s">
        <v>176</v>
      </c>
      <c r="C16" s="3" t="s">
        <v>28</v>
      </c>
      <c r="D16" s="3" t="s">
        <v>29</v>
      </c>
      <c r="E16" s="3" t="s">
        <v>30</v>
      </c>
      <c r="F16" s="3" t="s">
        <v>341</v>
      </c>
      <c r="G16" s="2" t="str">
        <f>HYPERLINK("https://vtmf.veevavault.com/ui/#doc_info/30897797/1/0", "VTMF-24903113")</f>
        <v>VTMF-24903113</v>
      </c>
      <c r="H16" s="3"/>
      <c r="I16" s="3" t="s">
        <v>22</v>
      </c>
      <c r="J16" s="3" t="s">
        <v>176</v>
      </c>
      <c r="K16" s="4">
        <v>46055.606678240743</v>
      </c>
      <c r="L16" s="5">
        <v>46055</v>
      </c>
      <c r="M16" s="3" t="s">
        <v>23</v>
      </c>
      <c r="N16" s="3" t="s">
        <v>32</v>
      </c>
      <c r="O16" s="3" t="s">
        <v>25</v>
      </c>
      <c r="P16" s="3" t="s">
        <v>334</v>
      </c>
      <c r="Q16" s="3" t="s">
        <v>27</v>
      </c>
    </row>
    <row r="17" spans="1:17" x14ac:dyDescent="0.35">
      <c r="A17" s="2" t="str">
        <f>HYPERLINK("https://vtmf.veevavault.com/ui/#doc_info/30897814/1/0", "77242113UCO3001-CZE-DD5-CZ10016-Non-IP Shipment Documentation-20 Jan 2026 (v1.0)")</f>
        <v>77242113UCO3001-CZE-DD5-CZ10016-Non-IP Shipment Documentation-20 Jan 2026 (v1.0)</v>
      </c>
      <c r="B17" s="3" t="s">
        <v>176</v>
      </c>
      <c r="C17" s="3" t="s">
        <v>28</v>
      </c>
      <c r="D17" s="3" t="s">
        <v>29</v>
      </c>
      <c r="E17" s="3" t="s">
        <v>30</v>
      </c>
      <c r="F17" s="3" t="s">
        <v>342</v>
      </c>
      <c r="G17" s="2" t="str">
        <f>HYPERLINK("https://vtmf.veevavault.com/ui/#doc_info/30897814/1/0", "VTMF-24902997")</f>
        <v>VTMF-24902997</v>
      </c>
      <c r="H17" s="3"/>
      <c r="I17" s="3" t="s">
        <v>22</v>
      </c>
      <c r="J17" s="3" t="s">
        <v>176</v>
      </c>
      <c r="K17" s="4">
        <v>46055.598726851851</v>
      </c>
      <c r="L17" s="5">
        <v>46055</v>
      </c>
      <c r="M17" s="3" t="s">
        <v>23</v>
      </c>
      <c r="N17" s="3" t="s">
        <v>32</v>
      </c>
      <c r="O17" s="3" t="s">
        <v>25</v>
      </c>
      <c r="P17" s="3" t="s">
        <v>334</v>
      </c>
      <c r="Q17" s="3" t="s">
        <v>27</v>
      </c>
    </row>
    <row r="18" spans="1:17" x14ac:dyDescent="0.35">
      <c r="A18" s="2" t="str">
        <f>HYPERLINK("https://vtmf.veevavault.com/ui/#doc_info/30898320/1/0", "77242113UCO3001-CZE-DD5-CZ10016-Non-IP Shipment Documentation-20 Jan 2026 (v1.0)")</f>
        <v>77242113UCO3001-CZE-DD5-CZ10016-Non-IP Shipment Documentation-20 Jan 2026 (v1.0)</v>
      </c>
      <c r="B18" s="3" t="s">
        <v>176</v>
      </c>
      <c r="C18" s="3" t="s">
        <v>28</v>
      </c>
      <c r="D18" s="3" t="s">
        <v>29</v>
      </c>
      <c r="E18" s="3" t="s">
        <v>30</v>
      </c>
      <c r="F18" s="3" t="s">
        <v>343</v>
      </c>
      <c r="G18" s="2" t="str">
        <f>HYPERLINK("https://vtmf.veevavault.com/ui/#doc_info/30898320/1/0", "VTMF-24903405")</f>
        <v>VTMF-24903405</v>
      </c>
      <c r="H18" s="3"/>
      <c r="I18" s="3" t="s">
        <v>22</v>
      </c>
      <c r="J18" s="3" t="s">
        <v>176</v>
      </c>
      <c r="K18" s="4">
        <v>46055.634282407409</v>
      </c>
      <c r="L18" s="5">
        <v>46055</v>
      </c>
      <c r="M18" s="3" t="s">
        <v>23</v>
      </c>
      <c r="N18" s="3" t="s">
        <v>32</v>
      </c>
      <c r="O18" s="3" t="s">
        <v>25</v>
      </c>
      <c r="P18" s="3" t="s">
        <v>334</v>
      </c>
      <c r="Q18" s="3" t="s">
        <v>27</v>
      </c>
    </row>
    <row r="19" spans="1:17" x14ac:dyDescent="0.35">
      <c r="A19" s="2" t="str">
        <f>HYPERLINK("https://vtmf.veevavault.com/ui/#doc_info/30856606/1/0", "77242113UCO3001-CZE-DD5-CZ10016-IP Site Release Documentation-27 Jan 2026 (v1.0)")</f>
        <v>77242113UCO3001-CZE-DD5-CZ10016-IP Site Release Documentation-27 Jan 2026 (v1.0)</v>
      </c>
      <c r="B19" s="3" t="s">
        <v>94</v>
      </c>
      <c r="C19" s="3" t="s">
        <v>18</v>
      </c>
      <c r="D19" s="3" t="s">
        <v>57</v>
      </c>
      <c r="E19" s="3" t="s">
        <v>95</v>
      </c>
      <c r="F19" s="3" t="s">
        <v>344</v>
      </c>
      <c r="G19" s="2" t="str">
        <f>HYPERLINK("https://vtmf.veevavault.com/ui/#doc_info/30856606/1/0", "VTMF-24867738")</f>
        <v>VTMF-24867738</v>
      </c>
      <c r="H19" s="3"/>
      <c r="I19" s="3" t="s">
        <v>22</v>
      </c>
      <c r="J19" s="3" t="s">
        <v>94</v>
      </c>
      <c r="K19" s="4">
        <v>46049.595625000002</v>
      </c>
      <c r="L19" s="5">
        <v>46049</v>
      </c>
      <c r="M19" s="3" t="s">
        <v>23</v>
      </c>
      <c r="N19" s="3" t="s">
        <v>97</v>
      </c>
      <c r="O19" s="3" t="s">
        <v>25</v>
      </c>
      <c r="P19" s="3" t="s">
        <v>334</v>
      </c>
      <c r="Q19" s="3" t="s">
        <v>27</v>
      </c>
    </row>
    <row r="20" spans="1:17" x14ac:dyDescent="0.35">
      <c r="A20" s="2" t="str">
        <f>HYPERLINK("https://vtmf.veevavault.com/ui/#doc_info/30846562/1/0", "77242113UCO3001-CZE-DD5-CZ10016-Principal Investigator Financial Disclosure Form-20 Jan 2026 (v1.0)")</f>
        <v>77242113UCO3001-CZE-DD5-CZ10016-Principal Investigator Financial Disclosure Form-20 Jan 2026 (v1.0)</v>
      </c>
      <c r="B20" s="3" t="s">
        <v>176</v>
      </c>
      <c r="C20" s="3" t="s">
        <v>18</v>
      </c>
      <c r="D20" s="3" t="s">
        <v>57</v>
      </c>
      <c r="E20" s="3" t="s">
        <v>98</v>
      </c>
      <c r="F20" s="3" t="s">
        <v>345</v>
      </c>
      <c r="G20" s="2" t="str">
        <f>HYPERLINK("https://vtmf.veevavault.com/ui/#doc_info/30846562/1/0", "VTMF-24859196")</f>
        <v>VTMF-24859196</v>
      </c>
      <c r="H20" s="3"/>
      <c r="I20" s="3" t="s">
        <v>176</v>
      </c>
      <c r="J20" s="3" t="s">
        <v>176</v>
      </c>
      <c r="K20" s="4">
        <v>46048.515659722223</v>
      </c>
      <c r="L20" s="5">
        <v>46048</v>
      </c>
      <c r="M20" s="3" t="s">
        <v>23</v>
      </c>
      <c r="N20" s="3" t="s">
        <v>100</v>
      </c>
      <c r="O20" s="3" t="s">
        <v>25</v>
      </c>
      <c r="P20" s="3" t="s">
        <v>334</v>
      </c>
      <c r="Q20" s="3" t="s">
        <v>27</v>
      </c>
    </row>
    <row r="21" spans="1:17" x14ac:dyDescent="0.35">
      <c r="A21" s="2" t="str">
        <f>HYPERLINK("https://vtmf.veevavault.com/ui/#doc_info/30846565/1/0", "77242113UCO3001-CZE-DD5-CZ10016-Protocol Signature Page-20 Jan 2026 (v1.0)")</f>
        <v>77242113UCO3001-CZE-DD5-CZ10016-Protocol Signature Page-20 Jan 2026 (v1.0)</v>
      </c>
      <c r="B21" s="3" t="s">
        <v>176</v>
      </c>
      <c r="C21" s="3" t="s">
        <v>18</v>
      </c>
      <c r="D21" s="3" t="s">
        <v>57</v>
      </c>
      <c r="E21" s="3" t="s">
        <v>101</v>
      </c>
      <c r="F21" s="3" t="s">
        <v>346</v>
      </c>
      <c r="G21" s="2" t="str">
        <f>HYPERLINK("https://vtmf.veevavault.com/ui/#doc_info/30846565/1/0", "VTMF-24859203")</f>
        <v>VTMF-24859203</v>
      </c>
      <c r="H21" s="3"/>
      <c r="I21" s="3" t="s">
        <v>22</v>
      </c>
      <c r="J21" s="3" t="s">
        <v>176</v>
      </c>
      <c r="K21" s="4">
        <v>46048.518495370372</v>
      </c>
      <c r="L21" s="5">
        <v>46048</v>
      </c>
      <c r="M21" s="3" t="s">
        <v>23</v>
      </c>
      <c r="N21" s="3" t="s">
        <v>103</v>
      </c>
      <c r="O21" s="3" t="s">
        <v>25</v>
      </c>
      <c r="P21" s="3" t="s">
        <v>334</v>
      </c>
      <c r="Q21" s="3" t="s">
        <v>27</v>
      </c>
    </row>
    <row r="22" spans="1:17" x14ac:dyDescent="0.35">
      <c r="A22" s="2" t="str">
        <f>HYPERLINK("https://vtmf.veevavault.com/ui/#doc_info/30811566/1/0", "77242113UCO3001-CZE-DD5-CZ10016-Source Data-20 Jan 2026 (v1.0)")</f>
        <v>77242113UCO3001-CZE-DD5-CZ10016-Source Data-20 Jan 2026 (v1.0)</v>
      </c>
      <c r="B22" s="3" t="s">
        <v>107</v>
      </c>
      <c r="C22" s="3" t="s">
        <v>18</v>
      </c>
      <c r="D22" s="3" t="s">
        <v>18</v>
      </c>
      <c r="E22" s="3" t="s">
        <v>88</v>
      </c>
      <c r="F22" s="3" t="s">
        <v>108</v>
      </c>
      <c r="G22" s="2" t="str">
        <f>HYPERLINK("https://vtmf.veevavault.com/ui/#doc_info/30811566/1/0", "VTMF-24829233")</f>
        <v>VTMF-24829233</v>
      </c>
      <c r="H22" s="3"/>
      <c r="I22" s="3" t="s">
        <v>22</v>
      </c>
      <c r="J22" s="3" t="s">
        <v>107</v>
      </c>
      <c r="K22" s="4">
        <v>46042.69771990741</v>
      </c>
      <c r="L22" s="5">
        <v>46043</v>
      </c>
      <c r="M22" s="3" t="s">
        <v>23</v>
      </c>
      <c r="N22" s="3" t="s">
        <v>60</v>
      </c>
      <c r="O22" s="3" t="s">
        <v>25</v>
      </c>
      <c r="P22" s="3" t="s">
        <v>334</v>
      </c>
      <c r="Q22" s="3" t="s">
        <v>27</v>
      </c>
    </row>
    <row r="23" spans="1:17" x14ac:dyDescent="0.35">
      <c r="A23" s="2" t="str">
        <f>HYPERLINK("https://vtmf.veevavault.com/ui/#doc_info/30793819/1/0", "77242113UCO3001-CZE-DD5-CZ10016-Site Confirmation Letter-SIVR_CL-20 Jan 2026 (v1.0)")</f>
        <v>77242113UCO3001-CZE-DD5-CZ10016-Site Confirmation Letter-SIVR_CL-20 Jan 2026 (v1.0)</v>
      </c>
      <c r="B23" s="3" t="s">
        <v>38</v>
      </c>
      <c r="C23" s="3" t="s">
        <v>18</v>
      </c>
      <c r="D23" s="3" t="s">
        <v>18</v>
      </c>
      <c r="E23" s="3" t="s">
        <v>47</v>
      </c>
      <c r="F23" s="3"/>
      <c r="G23" s="2" t="str">
        <f>HYPERLINK("https://vtmf.veevavault.com/ui/#doc_info/30793819/1/0", "VTMF-24814898")</f>
        <v>VTMF-24814898</v>
      </c>
      <c r="H23" s="3"/>
      <c r="I23" s="3" t="s">
        <v>40</v>
      </c>
      <c r="J23" s="3" t="s">
        <v>38</v>
      </c>
      <c r="K23" s="4">
        <v>46038.607187499998</v>
      </c>
      <c r="L23" s="5">
        <v>46038</v>
      </c>
      <c r="M23" s="3" t="s">
        <v>23</v>
      </c>
      <c r="N23" s="3" t="s">
        <v>41</v>
      </c>
      <c r="O23" s="3" t="s">
        <v>25</v>
      </c>
      <c r="P23" s="3" t="s">
        <v>334</v>
      </c>
      <c r="Q23" s="3" t="s">
        <v>27</v>
      </c>
    </row>
    <row r="24" spans="1:17" x14ac:dyDescent="0.35">
      <c r="A24" s="2" t="str">
        <f>HYPERLINK("https://vtmf.veevavault.com/ui/#doc_info/30772206/1/0", "77242113CRD3001-CZE-DD6-CZ10016-Electronic Source Data Compliance Assessment Questionnaire (ESDCAQ)- (v1.0)")</f>
        <v>77242113CRD3001-CZE-DD6-CZ10016-Electronic Source Data Compliance Assessment Questionnaire (ESDCAQ)- (v1.0)</v>
      </c>
      <c r="B24" s="3" t="s">
        <v>114</v>
      </c>
      <c r="C24" s="3" t="s">
        <v>18</v>
      </c>
      <c r="D24" s="3" t="s">
        <v>57</v>
      </c>
      <c r="E24" s="3" t="s">
        <v>115</v>
      </c>
      <c r="F24" s="3" t="s">
        <v>116</v>
      </c>
      <c r="G24" s="2" t="str">
        <f>HYPERLINK("https://vtmf.veevavault.com/ui/#doc_info/30772206/1/0", "VTMF-24796683")</f>
        <v>VTMF-24796683</v>
      </c>
      <c r="H24" s="3"/>
      <c r="I24" s="3" t="s">
        <v>176</v>
      </c>
      <c r="J24" s="3" t="s">
        <v>114</v>
      </c>
      <c r="K24" s="4">
        <v>46036.021631944437</v>
      </c>
      <c r="L24" s="5">
        <v>46035</v>
      </c>
      <c r="M24" s="3" t="s">
        <v>23</v>
      </c>
      <c r="N24" s="3" t="s">
        <v>118</v>
      </c>
      <c r="O24" s="3" t="s">
        <v>81</v>
      </c>
      <c r="P24" s="3" t="s">
        <v>338</v>
      </c>
      <c r="Q24" s="3" t="s">
        <v>83</v>
      </c>
    </row>
    <row r="25" spans="1:17" x14ac:dyDescent="0.35">
      <c r="A25" s="2" t="str">
        <f>HYPERLINK("https://vtmf.veevavault.com/ui/#doc_info/30725563/1/0", "77242113UCO3001-CZE-DD5-CZ10016-Site Training Documentation-10 Sep 2025 (v1.0)")</f>
        <v>77242113UCO3001-CZE-DD5-CZ10016-Site Training Documentation-10 Sep 2025 (v1.0)</v>
      </c>
      <c r="B25" s="3" t="s">
        <v>184</v>
      </c>
      <c r="C25" s="3" t="s">
        <v>18</v>
      </c>
      <c r="D25" s="3" t="s">
        <v>68</v>
      </c>
      <c r="E25" s="3" t="s">
        <v>69</v>
      </c>
      <c r="F25" s="3" t="s">
        <v>347</v>
      </c>
      <c r="G25" s="2" t="str">
        <f>HYPERLINK("https://vtmf.veevavault.com/ui/#doc_info/30725563/1/0", "VTMF-24758619")</f>
        <v>VTMF-24758619</v>
      </c>
      <c r="H25" s="3"/>
      <c r="I25" s="3" t="s">
        <v>22</v>
      </c>
      <c r="J25" s="3" t="s">
        <v>184</v>
      </c>
      <c r="K25" s="4">
        <v>46028.957175925927</v>
      </c>
      <c r="L25" s="5">
        <v>46029</v>
      </c>
      <c r="M25" s="3" t="s">
        <v>23</v>
      </c>
      <c r="N25" s="3" t="s">
        <v>60</v>
      </c>
      <c r="O25" s="3" t="s">
        <v>81</v>
      </c>
      <c r="P25" s="3" t="s">
        <v>338</v>
      </c>
      <c r="Q25" s="3" t="s">
        <v>83</v>
      </c>
    </row>
    <row r="26" spans="1:17" x14ac:dyDescent="0.35">
      <c r="A26" s="2" t="str">
        <f>HYPERLINK("https://vtmf.veevavault.com/ui/#doc_info/30725560/1/0", "77242113UCO3001-CZE-DD5-CZ10016-Site Training Documentation-13 Feb 2024 (v1.0)")</f>
        <v>77242113UCO3001-CZE-DD5-CZ10016-Site Training Documentation-13 Feb 2024 (v1.0)</v>
      </c>
      <c r="B26" s="3" t="s">
        <v>184</v>
      </c>
      <c r="C26" s="3" t="s">
        <v>18</v>
      </c>
      <c r="D26" s="3" t="s">
        <v>68</v>
      </c>
      <c r="E26" s="3" t="s">
        <v>69</v>
      </c>
      <c r="F26" s="3" t="s">
        <v>348</v>
      </c>
      <c r="G26" s="2" t="str">
        <f>HYPERLINK("https://vtmf.veevavault.com/ui/#doc_info/30725560/1/0", "VTMF-24758611")</f>
        <v>VTMF-24758611</v>
      </c>
      <c r="H26" s="3"/>
      <c r="I26" s="3" t="s">
        <v>22</v>
      </c>
      <c r="J26" s="3" t="s">
        <v>184</v>
      </c>
      <c r="K26" s="4">
        <v>46028.954525462963</v>
      </c>
      <c r="L26" s="5">
        <v>46029</v>
      </c>
      <c r="M26" s="3" t="s">
        <v>23</v>
      </c>
      <c r="N26" s="3" t="s">
        <v>60</v>
      </c>
      <c r="O26" s="3" t="s">
        <v>81</v>
      </c>
      <c r="P26" s="3" t="s">
        <v>338</v>
      </c>
      <c r="Q26" s="3" t="s">
        <v>83</v>
      </c>
    </row>
    <row r="27" spans="1:17" x14ac:dyDescent="0.35">
      <c r="A27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27" s="3" t="s">
        <v>119</v>
      </c>
      <c r="C27" s="3" t="s">
        <v>48</v>
      </c>
      <c r="D27" s="3" t="s">
        <v>19</v>
      </c>
      <c r="E27" s="3" t="s">
        <v>20</v>
      </c>
      <c r="F27" s="3" t="s">
        <v>120</v>
      </c>
      <c r="G27" s="2" t="str">
        <f>HYPERLINK("https://vtmf.veevavault.com/ui/#doc_info/29980647/1/0", "VTMF-24136357")</f>
        <v>VTMF-24136357</v>
      </c>
      <c r="H27" s="3"/>
      <c r="I27" s="3" t="s">
        <v>22</v>
      </c>
      <c r="J27" s="3" t="s">
        <v>119</v>
      </c>
      <c r="K27" s="4">
        <v>45918.85465277778</v>
      </c>
      <c r="L27" s="5">
        <v>45919</v>
      </c>
      <c r="M27" s="3" t="s">
        <v>23</v>
      </c>
      <c r="N27" s="3" t="s">
        <v>121</v>
      </c>
      <c r="O27" s="3" t="s">
        <v>122</v>
      </c>
      <c r="P27" s="3" t="s">
        <v>123</v>
      </c>
      <c r="Q27" s="3" t="s">
        <v>27</v>
      </c>
    </row>
    <row r="28" spans="1:17" x14ac:dyDescent="0.35">
      <c r="A28" s="2" t="str">
        <f>HYPERLINK("https://vtmf.veevavault.com/ui/#doc_info/29737053/1/0", "77242113UCO3001-CZE-DD5-CZ10016-Site/Staff Qualification Supporting Information (v1.0)")</f>
        <v>77242113UCO3001-CZE-DD5-CZ10016-Site/Staff Qualification Supporting Information (v1.0)</v>
      </c>
      <c r="B28" s="3" t="s">
        <v>94</v>
      </c>
      <c r="C28" s="3" t="s">
        <v>18</v>
      </c>
      <c r="D28" s="3" t="s">
        <v>57</v>
      </c>
      <c r="E28" s="3" t="s">
        <v>124</v>
      </c>
      <c r="F28" s="3" t="s">
        <v>349</v>
      </c>
      <c r="G28" s="2" t="str">
        <f>HYPERLINK("https://vtmf.veevavault.com/ui/#doc_info/29737053/1/0", "VTMF-23927971")</f>
        <v>VTMF-23927971</v>
      </c>
      <c r="H28" s="3"/>
      <c r="I28" s="3" t="s">
        <v>126</v>
      </c>
      <c r="J28" s="3" t="s">
        <v>94</v>
      </c>
      <c r="K28" s="4">
        <v>45879.824062500003</v>
      </c>
      <c r="L28" s="5">
        <v>45879</v>
      </c>
      <c r="M28" s="3" t="s">
        <v>23</v>
      </c>
      <c r="N28" s="3" t="s">
        <v>60</v>
      </c>
      <c r="O28" s="3" t="s">
        <v>25</v>
      </c>
      <c r="P28" s="3" t="s">
        <v>334</v>
      </c>
      <c r="Q28" s="3" t="s">
        <v>27</v>
      </c>
    </row>
    <row r="29" spans="1:17" x14ac:dyDescent="0.35">
      <c r="A29" s="2" t="str">
        <f>HYPERLINK("https://vtmf.veevavault.com/ui/#doc_info/29735874/1/0", "77242113UCO3001-CZE-DD5-CZ10016-Principal Investigator Curriculum Vitae-16 Jun 2025 (v1.0)")</f>
        <v>77242113UCO3001-CZE-DD5-CZ10016-Principal Investigator Curriculum Vitae-16 Jun 2025 (v1.0)</v>
      </c>
      <c r="B29" s="3" t="s">
        <v>94</v>
      </c>
      <c r="C29" s="3" t="s">
        <v>18</v>
      </c>
      <c r="D29" s="3" t="s">
        <v>57</v>
      </c>
      <c r="E29" s="3" t="s">
        <v>65</v>
      </c>
      <c r="F29" s="3" t="s">
        <v>350</v>
      </c>
      <c r="G29" s="2" t="str">
        <f>HYPERLINK("https://vtmf.veevavault.com/ui/#doc_info/29735874/1/0", "VTMF-23926957")</f>
        <v>VTMF-23926957</v>
      </c>
      <c r="H29" s="3"/>
      <c r="I29" s="3" t="s">
        <v>126</v>
      </c>
      <c r="J29" s="3" t="s">
        <v>94</v>
      </c>
      <c r="K29" s="4">
        <v>45878.793796296297</v>
      </c>
      <c r="L29" s="5">
        <v>45878</v>
      </c>
      <c r="M29" s="3" t="s">
        <v>23</v>
      </c>
      <c r="N29" s="3" t="s">
        <v>67</v>
      </c>
      <c r="O29" s="3" t="s">
        <v>25</v>
      </c>
      <c r="P29" s="3" t="s">
        <v>334</v>
      </c>
      <c r="Q29" s="3" t="s">
        <v>27</v>
      </c>
    </row>
    <row r="30" spans="1:17" x14ac:dyDescent="0.35">
      <c r="A30" s="2" t="str">
        <f>HYPERLINK("https://vtmf.veevavault.com/ui/#doc_info/29735873/1/0", "77242113UCO3001-CZE-DD5-CZ10016-Principal Investigator Financial Disclosure Form-16 Jun 2025 (v1.0)")</f>
        <v>77242113UCO3001-CZE-DD5-CZ10016-Principal Investigator Financial Disclosure Form-16 Jun 2025 (v1.0)</v>
      </c>
      <c r="B30" s="3" t="s">
        <v>94</v>
      </c>
      <c r="C30" s="3" t="s">
        <v>18</v>
      </c>
      <c r="D30" s="3" t="s">
        <v>57</v>
      </c>
      <c r="E30" s="3" t="s">
        <v>98</v>
      </c>
      <c r="F30" s="3" t="s">
        <v>351</v>
      </c>
      <c r="G30" s="2" t="str">
        <f>HYPERLINK("https://vtmf.veevavault.com/ui/#doc_info/29735873/1/0", "VTMF-23926955")</f>
        <v>VTMF-23926955</v>
      </c>
      <c r="H30" s="3"/>
      <c r="I30" s="3" t="s">
        <v>126</v>
      </c>
      <c r="J30" s="3" t="s">
        <v>94</v>
      </c>
      <c r="K30" s="4">
        <v>45878.789733796293</v>
      </c>
      <c r="L30" s="5">
        <v>45878</v>
      </c>
      <c r="M30" s="3" t="s">
        <v>23</v>
      </c>
      <c r="N30" s="3" t="s">
        <v>100</v>
      </c>
      <c r="O30" s="3" t="s">
        <v>25</v>
      </c>
      <c r="P30" s="3" t="s">
        <v>334</v>
      </c>
      <c r="Q30" s="3" t="s">
        <v>27</v>
      </c>
    </row>
    <row r="31" spans="1:17" x14ac:dyDescent="0.35">
      <c r="A31" s="2" t="str">
        <f>HYPERLINK("https://vtmf.veevavault.com/ui/#doc_info/29699290/1/0", "77242113UCO3001-CZE-DD5-CZ10016-Site/Staff Qualification Supporting Information (v1.0)")</f>
        <v>77242113UCO3001-CZE-DD5-CZ10016-Site/Staff Qualification Supporting Information (v1.0)</v>
      </c>
      <c r="B31" s="3" t="s">
        <v>94</v>
      </c>
      <c r="C31" s="3" t="s">
        <v>18</v>
      </c>
      <c r="D31" s="3" t="s">
        <v>57</v>
      </c>
      <c r="E31" s="3" t="s">
        <v>124</v>
      </c>
      <c r="F31" s="3" t="s">
        <v>352</v>
      </c>
      <c r="G31" s="2" t="str">
        <f>HYPERLINK("https://vtmf.veevavault.com/ui/#doc_info/29699290/1/0", "VTMF-23895218")</f>
        <v>VTMF-23895218</v>
      </c>
      <c r="H31" s="3"/>
      <c r="I31" s="3" t="s">
        <v>22</v>
      </c>
      <c r="J31" s="3" t="s">
        <v>94</v>
      </c>
      <c r="K31" s="4">
        <v>45874.320104166669</v>
      </c>
      <c r="L31" s="5">
        <v>45874</v>
      </c>
      <c r="M31" s="3" t="s">
        <v>23</v>
      </c>
      <c r="N31" s="3" t="s">
        <v>60</v>
      </c>
      <c r="O31" s="3" t="s">
        <v>25</v>
      </c>
      <c r="P31" s="3" t="s">
        <v>334</v>
      </c>
      <c r="Q31" s="3" t="s">
        <v>27</v>
      </c>
    </row>
    <row r="32" spans="1:17" x14ac:dyDescent="0.35">
      <c r="A32" s="2" t="str">
        <f>HYPERLINK("https://vtmf.veevavault.com/ui/#doc_info/29353203/1/0", "77242113UCO3001-CZE-DD5-CZ10016-Feasibility Documentation-13 Jun 2025 (v1.0)")</f>
        <v>77242113UCO3001-CZE-DD5-CZ10016-Feasibility Documentation-13 Jun 2025 (v1.0)</v>
      </c>
      <c r="B32" s="3" t="s">
        <v>130</v>
      </c>
      <c r="C32" s="3" t="s">
        <v>18</v>
      </c>
      <c r="D32" s="3" t="s">
        <v>131</v>
      </c>
      <c r="E32" s="3" t="s">
        <v>132</v>
      </c>
      <c r="F32" s="3" t="s">
        <v>353</v>
      </c>
      <c r="G32" s="2" t="str">
        <f>HYPERLINK("https://vtmf.veevavault.com/ui/#doc_info/29353203/1/0", "VTMF-23596744")</f>
        <v>VTMF-23596744</v>
      </c>
      <c r="H32" s="3"/>
      <c r="I32" s="3" t="s">
        <v>22</v>
      </c>
      <c r="J32" s="3" t="s">
        <v>130</v>
      </c>
      <c r="K32" s="4">
        <v>45821.764131944437</v>
      </c>
      <c r="L32" s="5">
        <v>45821</v>
      </c>
      <c r="M32" s="3" t="s">
        <v>23</v>
      </c>
      <c r="N32" s="3" t="s">
        <v>60</v>
      </c>
      <c r="O32" s="3" t="s">
        <v>81</v>
      </c>
      <c r="P32" s="3" t="s">
        <v>338</v>
      </c>
      <c r="Q32" s="3" t="s">
        <v>83</v>
      </c>
    </row>
    <row r="33" spans="1:17" x14ac:dyDescent="0.35">
      <c r="A33" s="2" t="str">
        <f>HYPERLINK("https://vtmf.veevavault.com/ui/#doc_info/29246356/1/0", "77242113UCO3001-CZE-DD5-CZ10016-Monitoring Visit Follow-up Letter-SQVR_FL-13 May 2025 (v1.0)")</f>
        <v>77242113UCO3001-CZE-DD5-CZ10016-Monitoring Visit Follow-up Letter-SQVR_FL-13 May 2025 (v1.0)</v>
      </c>
      <c r="B33" s="3" t="s">
        <v>38</v>
      </c>
      <c r="C33" s="3" t="s">
        <v>18</v>
      </c>
      <c r="D33" s="3" t="s">
        <v>18</v>
      </c>
      <c r="E33" s="3" t="s">
        <v>39</v>
      </c>
      <c r="F33" s="3"/>
      <c r="G33" s="2" t="str">
        <f>HYPERLINK("https://vtmf.veevavault.com/ui/#doc_info/29246356/1/0", "VTMF-23508019")</f>
        <v>VTMF-23508019</v>
      </c>
      <c r="H33" s="3"/>
      <c r="I33" s="3" t="s">
        <v>40</v>
      </c>
      <c r="J33" s="3" t="s">
        <v>38</v>
      </c>
      <c r="K33" s="4">
        <v>45810.733553240738</v>
      </c>
      <c r="L33" s="5">
        <v>45810</v>
      </c>
      <c r="M33" s="3" t="s">
        <v>23</v>
      </c>
      <c r="N33" s="3" t="s">
        <v>41</v>
      </c>
      <c r="O33" s="3" t="s">
        <v>25</v>
      </c>
      <c r="P33" s="3" t="s">
        <v>334</v>
      </c>
      <c r="Q33" s="3" t="s">
        <v>27</v>
      </c>
    </row>
    <row r="34" spans="1:17" x14ac:dyDescent="0.35">
      <c r="A34" s="2" t="str">
        <f>HYPERLINK("https://vtmf.veevavault.com/ui/#doc_info/29179891/1/0", "77242113UCO3001-CZE-DD5-CZ10016-Pre Trial Monitoring Report-13 May 2025 (v1.0)")</f>
        <v>77242113UCO3001-CZE-DD5-CZ10016-Pre Trial Monitoring Report-13 May 2025 (v1.0)</v>
      </c>
      <c r="B34" s="3" t="s">
        <v>38</v>
      </c>
      <c r="C34" s="3" t="s">
        <v>18</v>
      </c>
      <c r="D34" s="3" t="s">
        <v>131</v>
      </c>
      <c r="E34" s="3" t="s">
        <v>134</v>
      </c>
      <c r="F34" s="3"/>
      <c r="G34" s="2" t="str">
        <f>HYPERLINK("https://vtmf.veevavault.com/ui/#doc_info/29179891/1/0", "VTMF-23453301")</f>
        <v>VTMF-23453301</v>
      </c>
      <c r="H34" s="3"/>
      <c r="I34" s="3" t="s">
        <v>40</v>
      </c>
      <c r="J34" s="3" t="s">
        <v>38</v>
      </c>
      <c r="K34" s="4">
        <v>45799.63957175926</v>
      </c>
      <c r="L34" s="5">
        <v>45799</v>
      </c>
      <c r="M34" s="3" t="s">
        <v>23</v>
      </c>
      <c r="N34" s="3" t="s">
        <v>97</v>
      </c>
      <c r="O34" s="3" t="s">
        <v>25</v>
      </c>
      <c r="P34" s="3" t="s">
        <v>334</v>
      </c>
      <c r="Q34" s="3" t="s">
        <v>27</v>
      </c>
    </row>
    <row r="35" spans="1:17" x14ac:dyDescent="0.35">
      <c r="A35" s="2" t="str">
        <f>HYPERLINK("https://vtmf.veevavault.com/ui/#doc_info/29079626/1/0", "77242113UCO3001-CZE-DD5-CZ10016-Site Confirmation Letter-SQVR_CL-13 May 2025 (v1.0)")</f>
        <v>77242113UCO3001-CZE-DD5-CZ10016-Site Confirmation Letter-SQVR_CL-13 May 2025 (v1.0)</v>
      </c>
      <c r="B35" s="3" t="s">
        <v>38</v>
      </c>
      <c r="C35" s="3" t="s">
        <v>18</v>
      </c>
      <c r="D35" s="3" t="s">
        <v>18</v>
      </c>
      <c r="E35" s="3" t="s">
        <v>47</v>
      </c>
      <c r="F35" s="3"/>
      <c r="G35" s="2" t="str">
        <f>HYPERLINK("https://vtmf.veevavault.com/ui/#doc_info/29079626/1/0", "VTMF-23365734")</f>
        <v>VTMF-23365734</v>
      </c>
      <c r="H35" s="3"/>
      <c r="I35" s="3" t="s">
        <v>40</v>
      </c>
      <c r="J35" s="3" t="s">
        <v>38</v>
      </c>
      <c r="K35" s="4">
        <v>45786.655694444453</v>
      </c>
      <c r="L35" s="5">
        <v>45786</v>
      </c>
      <c r="M35" s="3" t="s">
        <v>23</v>
      </c>
      <c r="N35" s="3" t="s">
        <v>41</v>
      </c>
      <c r="O35" s="3" t="s">
        <v>25</v>
      </c>
      <c r="P35" s="3" t="s">
        <v>334</v>
      </c>
      <c r="Q35" s="3" t="s">
        <v>27</v>
      </c>
    </row>
    <row r="36" spans="1:17" x14ac:dyDescent="0.35">
      <c r="A36" s="2" t="str">
        <f>HYPERLINK("https://vtmf.veevavault.com/ui/#doc_info/31448492/1/0", "77242113UCO3001-CZE-DD5-CZ10016-Site Confirmation Letter-SMVR_CL-15 Apr 2026 (v1.0)")</f>
        <v>77242113UCO3001-CZE-DD5-CZ10016-Site Confirmation Letter-SMVR_CL-15 Apr 2026 (v1.0)</v>
      </c>
      <c r="B36" s="3" t="s">
        <v>38</v>
      </c>
      <c r="C36" s="3" t="s">
        <v>18</v>
      </c>
      <c r="D36" s="3" t="s">
        <v>18</v>
      </c>
      <c r="E36" s="3" t="s">
        <v>47</v>
      </c>
      <c r="F36" s="3"/>
      <c r="G36" s="2" t="str">
        <f>HYPERLINK("https://vtmf.veevavault.com/ui/#doc_info/31448492/1/0", "VTMF-25375721")</f>
        <v>VTMF-25375721</v>
      </c>
      <c r="H36" s="3"/>
      <c r="I36" s="3" t="s">
        <v>40</v>
      </c>
      <c r="J36" s="3" t="s">
        <v>38</v>
      </c>
      <c r="K36" s="4">
        <v>46126.355115740742</v>
      </c>
      <c r="L36" s="5"/>
      <c r="M36" s="3" t="s">
        <v>23</v>
      </c>
      <c r="N36" s="3" t="s">
        <v>41</v>
      </c>
      <c r="O36" s="3" t="s">
        <v>25</v>
      </c>
      <c r="P36" s="3" t="s">
        <v>334</v>
      </c>
      <c r="Q36" s="3" t="s">
        <v>27</v>
      </c>
    </row>
    <row r="37" spans="1:17" x14ac:dyDescent="0.35">
      <c r="A37" s="2" t="str">
        <f>HYPERLINK("https://vtmf.veevavault.com/ui/#doc_info/30903434/0/1", "77242113CRD3001-CZE-DD6-CZ10016-Non-IP Shipment Documentation-20 Jan 2026 (v0.1)")</f>
        <v>77242113CRD3001-CZE-DD6-CZ10016-Non-IP Shipment Documentation-20 Jan 2026 (v0.1)</v>
      </c>
      <c r="B37" s="3" t="s">
        <v>176</v>
      </c>
      <c r="C37" s="3" t="s">
        <v>28</v>
      </c>
      <c r="D37" s="3" t="s">
        <v>29</v>
      </c>
      <c r="E37" s="3" t="s">
        <v>30</v>
      </c>
      <c r="F37" s="3" t="s">
        <v>354</v>
      </c>
      <c r="G37" s="2" t="str">
        <f>HYPERLINK("https://vtmf.veevavault.com/ui/#doc_info/30903434/0/1", "VTMF-24907707")</f>
        <v>VTMF-24907707</v>
      </c>
      <c r="H37" s="3"/>
      <c r="I37" s="3" t="s">
        <v>176</v>
      </c>
      <c r="J37" s="3" t="s">
        <v>176</v>
      </c>
      <c r="K37" s="4">
        <v>46056.337175925917</v>
      </c>
      <c r="L37" s="5"/>
      <c r="M37" s="3" t="s">
        <v>234</v>
      </c>
      <c r="N37" s="3" t="s">
        <v>32</v>
      </c>
      <c r="O37" s="3" t="s">
        <v>81</v>
      </c>
      <c r="P37" s="3" t="s">
        <v>338</v>
      </c>
      <c r="Q37" s="3" t="s">
        <v>83</v>
      </c>
    </row>
  </sheetData>
  <autoFilter ref="A1:Q37" xr:uid="{00000000-0009-0000-0000-000008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DD5-CZ10001</vt:lpstr>
      <vt:lpstr>DD5-CZ10003</vt:lpstr>
      <vt:lpstr>DD5-CZ10006</vt:lpstr>
      <vt:lpstr>DD5-CZ10009</vt:lpstr>
      <vt:lpstr>DD5-CZ10010</vt:lpstr>
      <vt:lpstr>DD5-CZ10012</vt:lpstr>
      <vt:lpstr>DD5-CZ10013</vt:lpstr>
      <vt:lpstr>DD5-CZ10015</vt:lpstr>
      <vt:lpstr>DD5-CZ10016</vt:lpstr>
      <vt:lpstr>DD5-CZ10020</vt:lpstr>
      <vt:lpstr>DD5-CZ10021</vt:lpstr>
      <vt:lpstr>DD5-CZ10022</vt:lpstr>
      <vt:lpstr>DD5-CZ10002</vt:lpstr>
      <vt:lpstr>DD5-CZ10005</vt:lpstr>
      <vt:lpstr>DD5-CZ10007</vt:lpstr>
      <vt:lpstr>DD5-CZ10008</vt:lpstr>
      <vt:lpstr>DD5-CZ10011</vt:lpstr>
      <vt:lpstr>DD5-CZ10017</vt:lpstr>
      <vt:lpstr>DD5-CZ10018</vt:lpstr>
      <vt:lpstr>DD5-CZ10019</vt:lpstr>
      <vt:lpstr>DD5-CZ10023</vt:lpstr>
      <vt:lpstr>DD5-CZ10024</vt:lpstr>
      <vt:lpstr>DD5-CZ10025</vt:lpstr>
      <vt:lpstr>DD5-CZ10026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Vladimir Buzalka</cp:lastModifiedBy>
  <dcterms:created xsi:type="dcterms:W3CDTF">2026-04-21T11:39:49Z</dcterms:created>
  <dcterms:modified xsi:type="dcterms:W3CDTF">2026-04-21T12:04:14Z</dcterms:modified>
</cp:coreProperties>
</file>