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110" yWindow="-110" windowWidth="38620" windowHeight="21220" tabRatio="600" firstSheet="1" activeTab="1" autoFilterDateGrouping="1"/>
  </bookViews>
  <sheets>
    <sheet xmlns:r="http://schemas.openxmlformats.org/officeDocument/2006/relationships" name="Report Details" sheetId="1" state="hidden" r:id="rId1"/>
    <sheet xmlns:r="http://schemas.openxmlformats.org/officeDocument/2006/relationships" name="Report" sheetId="2" state="visible" r:id="rId2"/>
  </sheets>
  <definedNames>
    <definedName name="_xlnm._FilterDatabase" localSheetId="1" hidden="1">'Report'!$A$4:$V$1076</definedName>
  </definedNames>
  <calcPr calcId="191029" fullCalcOnLoad="1"/>
</workbook>
</file>

<file path=xl/styles.xml><?xml version="1.0" encoding="utf-8"?>
<styleSheet xmlns="http://schemas.openxmlformats.org/spreadsheetml/2006/main">
  <numFmts count="2">
    <numFmt numFmtId="164" formatCode="[$-409]dd\ mmm\ yyyy;@"/>
    <numFmt numFmtId="165" formatCode="[$-409]dd\ mmm\ yyyy\ h:mm\ AM/PM\ ;@"/>
  </numFmts>
  <fonts count="12">
    <font>
      <name val="Aptos Narrow"/>
      <family val="2"/>
      <color indexed="8"/>
      <sz val="11"/>
      <scheme val="minor"/>
    </font>
    <font>
      <name val="Aptos Narrow"/>
      <family val="2"/>
      <b val="1"/>
      <color theme="0"/>
      <sz val="11"/>
      <scheme val="minor"/>
    </font>
    <font>
      <name val="Aptos Narrow"/>
      <family val="2"/>
      <color theme="0"/>
      <sz val="11"/>
      <scheme val="minor"/>
    </font>
    <font>
      <name val="Aptos Narrow"/>
      <family val="2"/>
      <i val="1"/>
      <color theme="1" tint="0.3499862666707358"/>
      <sz val="18"/>
      <scheme val="minor"/>
    </font>
    <font>
      <name val="Aptos Narrow"/>
      <family val="2"/>
      <i val="1"/>
      <color theme="0"/>
      <sz val="11"/>
      <scheme val="minor"/>
    </font>
    <font>
      <name val="Aptos Narrow"/>
      <family val="2"/>
      <b val="1"/>
      <i val="1"/>
      <color theme="0"/>
      <sz val="11"/>
      <scheme val="minor"/>
    </font>
    <font>
      <name val="Aptos Narrow"/>
      <family val="2"/>
      <i val="1"/>
      <color theme="0" tint="-0.499984740745262"/>
      <sz val="12"/>
      <scheme val="minor"/>
    </font>
    <font>
      <name val="Aptos Narrow"/>
      <family val="2"/>
      <sz val="11"/>
      <scheme val="minor"/>
    </font>
    <font>
      <name val="Aptos Narrow"/>
      <color indexed="12"/>
      <sz val="11"/>
      <u val="single"/>
    </font>
    <font>
      <name val="Aptos Narrow"/>
      <color indexed="12"/>
      <sz val="11"/>
      <u val="single"/>
    </font>
    <font>
      <name val="Calibri"/>
      <b val="1"/>
      <color theme="0"/>
      <sz val="11"/>
    </font>
    <font>
      <name val="Calibri"/>
      <sz val="11"/>
    </font>
  </fonts>
  <fills count="10">
    <fill>
      <patternFill/>
    </fill>
    <fill>
      <patternFill patternType="gray125"/>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bgColor indexed="64"/>
      </patternFill>
    </fill>
    <fill>
      <patternFill patternType="solid">
        <fgColor rgb="000070C0"/>
      </patternFill>
    </fill>
    <fill>
      <patternFill patternType="solid">
        <fgColor rgb="00FFEB9C"/>
      </patternFill>
    </fill>
    <fill>
      <patternFill patternType="solid">
        <fgColor rgb="00FFC7CE"/>
      </patternFill>
    </fill>
    <fill>
      <patternFill patternType="solid">
        <fgColor rgb="00C6EFCE"/>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right style="thin"/>
      <top style="thin"/>
      <bottom style="thin"/>
    </border>
  </borders>
  <cellStyleXfs count="1">
    <xf numFmtId="0" fontId="0" fillId="0" borderId="2"/>
  </cellStyleXfs>
  <cellXfs count="21">
    <xf numFmtId="0" fontId="0" fillId="0" borderId="0" pivotButton="0" quotePrefix="0" xfId="0"/>
    <xf numFmtId="0" fontId="1" fillId="2" borderId="1" applyAlignment="1" pivotButton="0" quotePrefix="0" xfId="0">
      <alignment horizontal="center" vertical="center" wrapText="1"/>
    </xf>
    <xf numFmtId="0" fontId="3" fillId="0" borderId="0" pivotButton="0" quotePrefix="0" xfId="0"/>
    <xf numFmtId="0" fontId="1" fillId="3" borderId="1" applyAlignment="1" pivotButton="0" quotePrefix="0" xfId="0">
      <alignment horizontal="center" vertical="center" wrapText="1"/>
    </xf>
    <xf numFmtId="0" fontId="6" fillId="0" borderId="0" applyAlignment="1" pivotButton="0" quotePrefix="0" xfId="0">
      <alignment vertical="top"/>
    </xf>
    <xf numFmtId="0" fontId="0" fillId="0" borderId="0" applyAlignment="1" pivotButton="0" quotePrefix="0" xfId="0">
      <alignment horizontal="left" vertical="top" wrapText="1"/>
    </xf>
    <xf numFmtId="1" fontId="0" fillId="0" borderId="0" applyAlignment="1" pivotButton="0" quotePrefix="0" xfId="0">
      <alignment horizontal="right" vertical="top" wrapText="1"/>
    </xf>
    <xf numFmtId="164" fontId="0" fillId="0" borderId="0" applyAlignment="1" pivotButton="0" quotePrefix="0" xfId="0">
      <alignment horizontal="right" vertical="top" wrapText="1"/>
    </xf>
    <xf numFmtId="165" fontId="0" fillId="0" borderId="0" applyAlignment="1" pivotButton="0" quotePrefix="0" xfId="0">
      <alignment horizontal="right" vertical="top" wrapText="1"/>
    </xf>
    <xf numFmtId="0" fontId="0" fillId="0" borderId="0" applyAlignment="1" pivotButton="0" quotePrefix="0" xfId="0">
      <alignment vertical="top" wrapText="1"/>
    </xf>
    <xf numFmtId="0" fontId="2" fillId="4" borderId="1" pivotButton="0" quotePrefix="0" xfId="0"/>
    <xf numFmtId="164" fontId="0" fillId="0" borderId="0" applyAlignment="1" pivotButton="0" quotePrefix="0" xfId="0">
      <alignment horizontal="right" vertical="top"/>
    </xf>
    <xf numFmtId="0" fontId="7" fillId="0" borderId="1" pivotButton="0" quotePrefix="0" xfId="0"/>
    <xf numFmtId="0" fontId="0" fillId="0" borderId="0" applyAlignment="1" pivotButton="0" quotePrefix="0" xfId="0">
      <alignment horizontal="left" vertical="top"/>
    </xf>
    <xf numFmtId="0" fontId="0" fillId="5" borderId="2" applyAlignment="1" pivotButton="0" quotePrefix="0" xfId="0">
      <alignment wrapText="1"/>
    </xf>
    <xf numFmtId="0" fontId="8" fillId="0" borderId="0" applyAlignment="1" pivotButton="0" quotePrefix="0" xfId="0">
      <alignment horizontal="left" vertical="top" wrapText="1"/>
    </xf>
    <xf numFmtId="0" fontId="9" fillId="0" borderId="0" applyAlignment="1" pivotButton="0" quotePrefix="0" xfId="0">
      <alignment horizontal="left" vertical="top" wrapText="1"/>
    </xf>
    <xf numFmtId="0" fontId="10" fillId="6" borderId="3" applyAlignment="1" pivotButton="0" quotePrefix="0" xfId="0">
      <alignment horizontal="center" wrapText="1"/>
    </xf>
    <xf numFmtId="0" fontId="11" fillId="7" borderId="3" applyAlignment="1" pivotButton="0" quotePrefix="0" xfId="0">
      <alignment horizontal="center"/>
    </xf>
    <xf numFmtId="0" fontId="11" fillId="8" borderId="3" applyAlignment="1" pivotButton="0" quotePrefix="0" xfId="0">
      <alignment horizontal="center"/>
    </xf>
    <xf numFmtId="0" fontId="11" fillId="9" borderId="3" applyAlignment="1" pivotButton="0" quotePrefix="0" xfId="0">
      <alignment horizontal="center"/>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sheetPr codeName="Sheet1">
    <outlinePr summaryBelow="1" summaryRight="1"/>
    <pageSetUpPr/>
  </sheetPr>
  <dimension ref="B2:C14"/>
  <sheetViews>
    <sheetView showGridLines="0" workbookViewId="0">
      <selection activeCell="B11" sqref="B11"/>
    </sheetView>
  </sheetViews>
  <sheetFormatPr baseColWidth="8" defaultRowHeight="14.5"/>
  <cols>
    <col width="1.7265625" customWidth="1" min="1" max="1"/>
    <col width="17.7265625" bestFit="1" customWidth="1" min="2" max="2"/>
    <col width="64" customWidth="1" min="3" max="3"/>
  </cols>
  <sheetData>
    <row r="1" ht="9.75" customHeight="1"/>
    <row r="2">
      <c r="B2" s="10" t="inlineStr">
        <is>
          <t>Report Name:</t>
        </is>
      </c>
      <c r="C2" t="inlineStr">
        <is>
          <t>Timely Filing Evidence Report</t>
        </is>
      </c>
    </row>
    <row r="3">
      <c r="B3" s="10" t="inlineStr">
        <is>
          <t>Export Date Time:</t>
        </is>
      </c>
      <c r="C3" t="inlineStr">
        <is>
          <t>29 Apr 2026 12:42 PM CEST</t>
        </is>
      </c>
    </row>
    <row r="4">
      <c r="B4" s="10" t="inlineStr">
        <is>
          <t>Description:</t>
        </is>
      </c>
      <c r="C4" t="inlineStr">
        <is>
          <t>Customized report to support and document actions taken during timely filing review. Includes Study, Country, and Site Level. Only delinquent documents will be displayed. Report can be filtered as needed by Functional Area and Study.</t>
        </is>
      </c>
    </row>
    <row r="5">
      <c r="B5" s="10" t="inlineStr">
        <is>
          <t>Export By:</t>
        </is>
      </c>
      <c r="C5" t="inlineStr">
        <is>
          <t>vbuzalka@its.jnj.com</t>
        </is>
      </c>
    </row>
    <row r="6">
      <c r="B6" s="10" t="inlineStr">
        <is>
          <t>Report Type:</t>
        </is>
      </c>
      <c r="C6" t="inlineStr">
        <is>
          <t>Document</t>
        </is>
      </c>
    </row>
    <row r="7" ht="72.5" customHeight="1">
      <c r="B7" s="10" t="inlineStr">
        <is>
          <t>Filters:</t>
        </is>
      </c>
      <c r="C7" s="14" t="inlineStr">
        <is>
          <t>Study in "42847922MDD3003"
Functional Area in "GCO"
Version Creation Date is in the range "18 Jan 2026 to 17 Apr 2026"
Document Status in "Approved, Superseded, Expired"
Timeliness is greater than "30"</t>
        </is>
      </c>
    </row>
    <row r="8">
      <c r="B8" s="10" t="inlineStr">
        <is>
          <t>Vault Name:</t>
        </is>
      </c>
      <c r="C8" t="inlineStr">
        <is>
          <t>V-TMF</t>
        </is>
      </c>
    </row>
    <row r="9">
      <c r="B9" s="10" t="inlineStr">
        <is>
          <t>Domain Name:</t>
        </is>
      </c>
      <c r="C9" t="inlineStr">
        <is>
          <t>its.jnj</t>
        </is>
      </c>
    </row>
    <row r="11">
      <c r="B11" s="10" t="inlineStr">
        <is>
          <t>Issue Values</t>
        </is>
      </c>
    </row>
    <row r="12">
      <c r="B12" s="12" t="inlineStr">
        <is>
          <t xml:space="preserve"> </t>
        </is>
      </c>
    </row>
    <row r="13">
      <c r="B13" s="12" t="inlineStr">
        <is>
          <t>Issue Identified</t>
        </is>
      </c>
    </row>
    <row r="14">
      <c r="B14" s="12" t="inlineStr">
        <is>
          <t>Not Applicable</t>
        </is>
      </c>
    </row>
  </sheetData>
  <pageMargins left="0.7" right="0.7" top="0.75" bottom="0.75" header="0.3" footer="0.3"/>
</worksheet>
</file>

<file path=xl/worksheets/sheet2.xml><?xml version="1.0" encoding="utf-8"?>
<worksheet xmlns="http://schemas.openxmlformats.org/spreadsheetml/2006/main">
  <sheetPr codeName="Sheet2" filterMode="1">
    <outlinePr summaryBelow="1" summaryRight="1"/>
    <pageSetUpPr/>
  </sheetPr>
  <dimension ref="A1:W2071"/>
  <sheetViews>
    <sheetView tabSelected="1" zoomScaleNormal="100" workbookViewId="0">
      <selection activeCell="S363" sqref="S363"/>
    </sheetView>
  </sheetViews>
  <sheetFormatPr baseColWidth="8" defaultRowHeight="14.5"/>
  <cols>
    <col width="19.7265625" customWidth="1" min="1" max="1"/>
    <col width="18" customWidth="1" min="2" max="2"/>
    <col width="29" customWidth="1" min="3" max="3"/>
    <col width="35.453125" customWidth="1" min="4" max="4"/>
    <col width="58.453125" customWidth="1" min="5" max="5"/>
    <col width="31.54296875" customWidth="1" min="6" max="6"/>
    <col width="30.7265625" customWidth="1" min="7" max="7"/>
    <col width="28.81640625" customWidth="1" min="8" max="8"/>
    <col width="45.81640625" customWidth="1" min="9" max="9"/>
    <col width="22.81640625" customWidth="1" min="10" max="10"/>
    <col width="26.453125" customWidth="1" min="11" max="12"/>
    <col width="30" customWidth="1" min="13" max="13"/>
    <col width="20.1796875" customWidth="1" min="14" max="14"/>
    <col width="32.7265625" customWidth="1" min="15" max="16"/>
    <col width="30.1796875" customWidth="1" min="17" max="17"/>
    <col width="34.81640625" customWidth="1" min="18" max="18"/>
    <col width="25" customWidth="1" min="19" max="19"/>
    <col width="24.81640625" customWidth="1" min="20" max="20"/>
    <col width="48.26953125" customWidth="1" min="21" max="22"/>
  </cols>
  <sheetData>
    <row r="1" ht="23.5" customHeight="1">
      <c r="A1" s="2" t="inlineStr">
        <is>
          <t>Timely Filing Evidence Report</t>
        </is>
      </c>
    </row>
    <row r="2" ht="16" customHeight="1">
      <c r="A2" s="4">
        <f>"(filters : " &amp; 'Report Details'!C7 &amp; ")"</f>
        <v/>
      </c>
    </row>
    <row r="3"/>
    <row r="4" ht="39" customHeight="1">
      <c r="A4" s="1" t="inlineStr">
        <is>
          <t>Document Number</t>
        </is>
      </c>
      <c r="B4" s="17" t="inlineStr">
        <is>
          <t>Include in Timely Filing</t>
        </is>
      </c>
      <c r="C4" s="1" t="inlineStr">
        <is>
          <t>Version</t>
        </is>
      </c>
      <c r="D4" s="1" t="inlineStr">
        <is>
          <t>Functional Area</t>
        </is>
      </c>
      <c r="E4" s="1" t="inlineStr">
        <is>
          <t>Study</t>
        </is>
      </c>
      <c r="F4" s="1" t="inlineStr">
        <is>
          <t>Document Name</t>
        </is>
      </c>
      <c r="G4" s="1" t="inlineStr">
        <is>
          <t>Type</t>
        </is>
      </c>
      <c r="H4" s="1" t="inlineStr">
        <is>
          <t>Subtype</t>
        </is>
      </c>
      <c r="I4" s="1" t="inlineStr">
        <is>
          <t>Classification</t>
        </is>
      </c>
      <c r="J4" s="1" t="inlineStr">
        <is>
          <t>Description</t>
        </is>
      </c>
      <c r="K4" s="1" t="inlineStr">
        <is>
          <t>Timeliness</t>
        </is>
      </c>
      <c r="L4" s="1" t="inlineStr">
        <is>
          <t>Document Date</t>
        </is>
      </c>
      <c r="M4" s="1" t="inlineStr">
        <is>
          <t>Approval Complete Date</t>
        </is>
      </c>
      <c r="N4" s="1" t="inlineStr">
        <is>
          <t>Document Status</t>
        </is>
      </c>
      <c r="O4" s="1" t="inlineStr">
        <is>
          <t>Filing Level</t>
        </is>
      </c>
      <c r="P4" s="1" t="inlineStr">
        <is>
          <t>Study Country</t>
        </is>
      </c>
      <c r="Q4" s="1" t="inlineStr">
        <is>
          <t>Site</t>
        </is>
      </c>
      <c r="R4" s="1" t="inlineStr">
        <is>
          <t>Version Created By</t>
        </is>
      </c>
      <c r="S4" s="1" t="inlineStr">
        <is>
          <t>Version Creation Date</t>
        </is>
      </c>
      <c r="T4" s="3" t="inlineStr">
        <is>
          <t>Reviewed By
(Date)</t>
        </is>
      </c>
      <c r="U4" s="3" t="inlineStr">
        <is>
          <t>Status</t>
        </is>
      </c>
      <c r="V4" s="3" t="inlineStr">
        <is>
          <t>If Issue(s) Identified- provide details
If Not Applicable- provide rationale</t>
        </is>
      </c>
      <c r="W4" s="3" t="inlineStr">
        <is>
          <t xml:space="preserve">If Issue(s) Identified- provide ACTION taken to resolve </t>
        </is>
      </c>
    </row>
    <row r="5" hidden="1" ht="275.5" customHeight="1">
      <c r="A5" s="15">
        <f>HYPERLINK("https://vtmf.veevavault.com/ui/#doc_info/20817656/2/0", "VTMF-16247114")</f>
        <v/>
      </c>
      <c r="B5" s="18" t="inlineStr">
        <is>
          <t>N/A</t>
        </is>
      </c>
      <c r="C5" s="5" t="inlineStr">
        <is>
          <t>2.0</t>
        </is>
      </c>
      <c r="D5" s="5" t="inlineStr">
        <is>
          <t>GCO</t>
        </is>
      </c>
      <c r="E5" s="5" t="inlineStr">
        <is>
          <t>17000139BLC3001, 17000139BLC3002, 17000139BLC3004, 42756493BLC3004, 42756493BLC3005, 42847922MDD3003, 54767414NAP4001, 56021927PCR3003, 61186372NSC2007, 61186372NSC3004, 63723283LUC1001, 64007957MMY3001, 67953964MDD3004, 67953964MDD3005, 68284528MMY3004, 70033093ACS3003, 70033093STR3001, 77242113CRD3001, 77242113PSA3001, 77242113PSA3002, 77242113PSO3001, 77242113PSO3002, 77242113PSO3003, 77242113PSO3006, 77242113UCO3001, 78934804CRD2001, 78934804UCO2001, 80202135CDP3001, 80202135EBF3001, 80202135SJS3001, 80202135SLE3001, 95475939ADM2001, CNTO1959CRD3007, CNTO1959ISD3001, CNTO1959PSA3005, CNTO1959PSA4001, CNTO1959UCO3004</t>
        </is>
      </c>
      <c r="F5" s="16">
        <f>HYPERLINK("https://vtmf.veevavault.com/ui/#doc_info/20817656/2/0", "Country_Documentos Esenciales para la conducción de un estudio clínico v1.0 (v2.0)")</f>
        <v/>
      </c>
      <c r="G5" s="5" t="inlineStr">
        <is>
          <t>Trial Management</t>
        </is>
      </c>
      <c r="H5" s="5" t="inlineStr">
        <is>
          <t>Trial Oversight</t>
        </is>
      </c>
      <c r="I5" s="5" t="inlineStr">
        <is>
          <t>Study Specific Training Material</t>
        </is>
      </c>
      <c r="J5" s="5" t="inlineStr">
        <is>
          <t>Documentos Esenciales para la conducción de un estudio clínico v1.0</t>
        </is>
      </c>
      <c r="K5" s="6" t="n">
        <v>1562</v>
      </c>
      <c r="L5" s="7" t="n">
        <v>44552</v>
      </c>
      <c r="M5" s="11" t="n">
        <v>46114</v>
      </c>
      <c r="N5" s="5" t="inlineStr">
        <is>
          <t>Approved</t>
        </is>
      </c>
      <c r="O5" s="5" t="inlineStr">
        <is>
          <t>Country</t>
        </is>
      </c>
      <c r="P5" s="5" t="inlineStr">
        <is>
          <t>Argentina</t>
        </is>
      </c>
      <c r="Q5" s="13" t="inlineStr"/>
      <c r="R5" s="5" t="inlineStr">
        <is>
          <t>Jen Goodridge</t>
        </is>
      </c>
      <c r="S5" s="8" t="n">
        <v>46114.67688657407</v>
      </c>
    </row>
    <row r="6" hidden="1" ht="275.5" customHeight="1">
      <c r="A6" s="15">
        <f>HYPERLINK("https://vtmf.veevavault.com/ui/#doc_info/24478325/3/0", "VTMF-19446229")</f>
        <v/>
      </c>
      <c r="B6" s="19" t="inlineStr">
        <is>
          <t>No</t>
        </is>
      </c>
      <c r="C6" s="5" t="inlineStr">
        <is>
          <t>3.0</t>
        </is>
      </c>
      <c r="D6" s="5" t="inlineStr">
        <is>
          <t>GCO</t>
        </is>
      </c>
      <c r="E6" s="5" t="inlineStr">
        <is>
          <t>17000139BLC2002, 1761981STM1001, 42847922MDD3003, 42847922MDD3011, 61186372COR3001, 61186372COR3002, 61186372HNC3001, 61186372NSC2007, 61186372NSC2012, 61186372PANSC2004, 61186372PANSC2005, 64007957MMY1008, 64007957MMY3005, 64407564MMY2006, 64407564MMY3009, 75276617AML3001, 79635322MMY2001, 79635322MMY2002, 79635322MMY3001, 79635322MMY3004, 80202135EBF3001, 80202135FNAIT3003, 80202135IIM2001, 80202135MYG3002, 80202135SJS3001, 80202135SLE3001, 88549968MPN1001, 90009530LYM1001, 90014496LYM1001, 90301900HNC1001, 90301900NSC2001, 95475939ADM2001, 95597528ADM2001, CNTO1959ISD4001</t>
        </is>
      </c>
      <c r="F6" s="16">
        <f>HYPERLINK("https://vtmf.veevavault.com/ui/#doc_info/24478325/3/0", "42847922MDD3003-USA--Other Written Information Give to Subjects-19 Jul 2023 (v3.0)")</f>
        <v/>
      </c>
      <c r="G6" s="5" t="inlineStr">
        <is>
          <t>Central Trial Documents</t>
        </is>
      </c>
      <c r="H6" s="5" t="inlineStr">
        <is>
          <t>Subject Documents</t>
        </is>
      </c>
      <c r="I6" s="5" t="inlineStr">
        <is>
          <t>Other Information Given to Subjects</t>
        </is>
      </c>
      <c r="J6" s="5" t="inlineStr">
        <is>
          <t>Subject Stipend and Travel Program Information Sheet_MEX_Spanish_English_v3.0_22Jan26_Combined</t>
        </is>
      </c>
      <c r="K6" s="6" t="n">
        <v>978</v>
      </c>
      <c r="L6" s="7" t="n">
        <v>45126</v>
      </c>
      <c r="M6" s="11" t="n">
        <v>46104</v>
      </c>
      <c r="N6" s="5" t="inlineStr">
        <is>
          <t>Approved</t>
        </is>
      </c>
      <c r="O6" s="5" t="inlineStr">
        <is>
          <t>Country</t>
        </is>
      </c>
      <c r="P6" s="5" t="inlineStr">
        <is>
          <t>Mexico, United States, United States, United States, United States, United States, United States, United States, United States</t>
        </is>
      </c>
      <c r="Q6" s="13" t="inlineStr"/>
      <c r="R6" s="5" t="inlineStr">
        <is>
          <t>Kathy Grebenchinko</t>
        </is>
      </c>
      <c r="S6" s="8" t="n">
        <v>46104.67459490741</v>
      </c>
    </row>
    <row r="7" hidden="1" ht="29" customHeight="1">
      <c r="A7" s="15">
        <f>HYPERLINK("https://vtmf.veevavault.com/ui/#doc_info/26152196/2/0", "VTMF-20914245")</f>
        <v/>
      </c>
      <c r="B7" s="19" t="inlineStr">
        <is>
          <t>No</t>
        </is>
      </c>
      <c r="C7" s="5" t="inlineStr">
        <is>
          <t>2.0</t>
        </is>
      </c>
      <c r="D7" s="5" t="inlineStr">
        <is>
          <t>GCO</t>
        </is>
      </c>
      <c r="E7" s="5" t="inlineStr">
        <is>
          <t>42847922MDD3003</t>
        </is>
      </c>
      <c r="F7" s="16">
        <f>HYPERLINK("https://vtmf.veevavault.com/ui/#doc_info/26152196/2/0", "42847922MDD3003-ARG-S10-AR10015-Information on Quality of Facilities-04 Jul 2025 (v2.0)")</f>
        <v/>
      </c>
      <c r="G7" s="5" t="inlineStr">
        <is>
          <t>Site Management</t>
        </is>
      </c>
      <c r="H7" s="5" t="inlineStr">
        <is>
          <t>Site Set-up Documentation</t>
        </is>
      </c>
      <c r="I7" s="5" t="inlineStr">
        <is>
          <t>Information on Quality of Facilities</t>
        </is>
      </c>
      <c r="J7" s="5" t="inlineStr">
        <is>
          <t>Health Authority Permission to operate_Exp 14jun2025</t>
        </is>
      </c>
      <c r="K7" s="6" t="n">
        <v>234</v>
      </c>
      <c r="L7" s="7" t="n">
        <v>45842</v>
      </c>
      <c r="M7" s="11" t="n">
        <v>46076</v>
      </c>
      <c r="N7" s="5" t="inlineStr">
        <is>
          <t>Approved</t>
        </is>
      </c>
      <c r="O7" s="5" t="inlineStr">
        <is>
          <t>Site</t>
        </is>
      </c>
      <c r="P7" s="5" t="inlineStr">
        <is>
          <t>Argentina</t>
        </is>
      </c>
      <c r="Q7" s="13" t="inlineStr">
        <is>
          <t>S10-AR10015</t>
        </is>
      </c>
      <c r="R7" s="5" t="inlineStr">
        <is>
          <t>LEANDRO LOPEZ</t>
        </is>
      </c>
      <c r="S7" s="8" t="n">
        <v>46076.62408564815</v>
      </c>
    </row>
    <row r="8" hidden="1" ht="29" customHeight="1">
      <c r="A8" s="15">
        <f>HYPERLINK("https://vtmf.veevavault.com/ui/#doc_info/26192596/4/0", "VTMF-20948557")</f>
        <v/>
      </c>
      <c r="B8" s="19" t="inlineStr">
        <is>
          <t>No</t>
        </is>
      </c>
      <c r="C8" s="5" t="inlineStr">
        <is>
          <t>4.0</t>
        </is>
      </c>
      <c r="D8" s="5" t="inlineStr">
        <is>
          <t>GCO</t>
        </is>
      </c>
      <c r="E8" s="5" t="inlineStr">
        <is>
          <t>42847922MDD3003, 67953964MDD3005</t>
        </is>
      </c>
      <c r="F8" s="16">
        <f>HYPERLINK("https://vtmf.veevavault.com/ui/#doc_info/26192596/4/0", "42847922MDD3003-ARG-BX4-AR10010-Information on Quality of Facilities-02 Jan 2026 (v4.0)")</f>
        <v/>
      </c>
      <c r="G8" s="5" t="inlineStr">
        <is>
          <t>Site Management</t>
        </is>
      </c>
      <c r="H8" s="5" t="inlineStr">
        <is>
          <t>Site Set-up Documentation</t>
        </is>
      </c>
      <c r="I8" s="5" t="inlineStr">
        <is>
          <t>Information on Quality of Facilities</t>
        </is>
      </c>
      <c r="J8" s="5" t="inlineStr">
        <is>
          <t>Emergency agreement_Exp.05Jan2025</t>
        </is>
      </c>
      <c r="K8" s="6" t="n">
        <v>88</v>
      </c>
      <c r="L8" s="7" t="n">
        <v>46024</v>
      </c>
      <c r="M8" s="11" t="n">
        <v>46112</v>
      </c>
      <c r="N8" s="5" t="inlineStr">
        <is>
          <t>Approved</t>
        </is>
      </c>
      <c r="O8" s="5" t="inlineStr">
        <is>
          <t>Site</t>
        </is>
      </c>
      <c r="P8" s="5" t="inlineStr">
        <is>
          <t>Argentina, Argentina</t>
        </is>
      </c>
      <c r="Q8" s="13" t="inlineStr">
        <is>
          <t>BX4-AR10010, S10-AR10010</t>
        </is>
      </c>
      <c r="R8" s="5" t="inlineStr">
        <is>
          <t>LEANDRO LOPEZ</t>
        </is>
      </c>
      <c r="S8" s="8" t="n">
        <v>46113.0155787037</v>
      </c>
    </row>
    <row r="9" hidden="1" ht="29" customHeight="1">
      <c r="A9" s="15">
        <f>HYPERLINK("https://vtmf.veevavault.com/ui/#doc_info/26733690/2/0", "VTMF-21422049")</f>
        <v/>
      </c>
      <c r="B9" s="20" t="inlineStr">
        <is>
          <t>Yes</t>
        </is>
      </c>
      <c r="C9" s="5" t="inlineStr">
        <is>
          <t>2.0</t>
        </is>
      </c>
      <c r="D9" s="5" t="inlineStr">
        <is>
          <t>GCO</t>
        </is>
      </c>
      <c r="E9" s="5" t="inlineStr">
        <is>
          <t>42847922MDD3003</t>
        </is>
      </c>
      <c r="F9" s="16">
        <f>HYPERLINK("https://vtmf.veevavault.com/ui/#doc_info/26733690/2/0", "42847922MDD3003-ARG-S10-AR10001-Investigator Regulatory Agreement-18 Jul 2024 (v2.0)")</f>
        <v/>
      </c>
      <c r="G9" s="5" t="inlineStr">
        <is>
          <t>Site Management</t>
        </is>
      </c>
      <c r="H9" s="5" t="inlineStr">
        <is>
          <t>Site Set-up Documentation</t>
        </is>
      </c>
      <c r="I9" s="5" t="inlineStr">
        <is>
          <t>Investigator Regulatory Agreement</t>
        </is>
      </c>
      <c r="J9" s="5" t="inlineStr">
        <is>
          <t>Helsinki_Staff_03Dec2025</t>
        </is>
      </c>
      <c r="K9" s="6" t="n">
        <v>561</v>
      </c>
      <c r="L9" s="7" t="n">
        <v>45491</v>
      </c>
      <c r="M9" s="11" t="n">
        <v>46052</v>
      </c>
      <c r="N9" s="5" t="inlineStr">
        <is>
          <t>Approved</t>
        </is>
      </c>
      <c r="O9" s="5" t="inlineStr">
        <is>
          <t>Site</t>
        </is>
      </c>
      <c r="P9" s="5" t="inlineStr">
        <is>
          <t>Argentina</t>
        </is>
      </c>
      <c r="Q9" s="13" t="inlineStr">
        <is>
          <t>S10-AR10001</t>
        </is>
      </c>
      <c r="R9" s="5" t="inlineStr">
        <is>
          <t>Cintia Rodriguez</t>
        </is>
      </c>
      <c r="S9" s="8" t="n">
        <v>46052.53853009259</v>
      </c>
    </row>
    <row r="10" hidden="1" ht="29" customHeight="1">
      <c r="A10" s="15">
        <f>HYPERLINK("https://vtmf.veevavault.com/ui/#doc_info/26748307/3/0", "VTMF-21434305")</f>
        <v/>
      </c>
      <c r="B10" s="19" t="inlineStr">
        <is>
          <t>No</t>
        </is>
      </c>
      <c r="C10" s="5" t="inlineStr">
        <is>
          <t>3.0</t>
        </is>
      </c>
      <c r="D10" s="5" t="inlineStr">
        <is>
          <t>GCO</t>
        </is>
      </c>
      <c r="E10" s="5" t="inlineStr">
        <is>
          <t>42847922MDD3003, 67953964MDD3005</t>
        </is>
      </c>
      <c r="F10" s="16">
        <f>HYPERLINK("https://vtmf.veevavault.com/ui/#doc_info/26748307/3/0", "42847922MDD3003-ARG-BX4-AR10005-Local Laboratory Normal Ranges-02 Feb 2026 (v3.0)")</f>
        <v/>
      </c>
      <c r="G10" s="5" t="inlineStr">
        <is>
          <t>Site Management</t>
        </is>
      </c>
      <c r="H10" s="5" t="inlineStr">
        <is>
          <t>Site Set-up Documentation</t>
        </is>
      </c>
      <c r="I10" s="5" t="inlineStr">
        <is>
          <t>Local Laboratory Normal Ranges</t>
        </is>
      </c>
      <c r="J10" s="5" t="inlineStr">
        <is>
          <t>Local Lab Normal Ranges_Laboratorio de Análisis Clínicos Fundación Lennox_20Feb2024</t>
        </is>
      </c>
      <c r="K10" s="6" t="n">
        <v>56</v>
      </c>
      <c r="L10" s="7" t="n">
        <v>46055</v>
      </c>
      <c r="M10" s="11" t="n">
        <v>46111</v>
      </c>
      <c r="N10" s="5" t="inlineStr">
        <is>
          <t>Approved</t>
        </is>
      </c>
      <c r="O10" s="5" t="inlineStr">
        <is>
          <t>Site</t>
        </is>
      </c>
      <c r="P10" s="5" t="inlineStr">
        <is>
          <t>Argentina, Argentina</t>
        </is>
      </c>
      <c r="Q10" s="13" t="inlineStr">
        <is>
          <t>BX4-AR10005, BX4-AR10010, S10-AR10010</t>
        </is>
      </c>
      <c r="R10" s="5" t="inlineStr">
        <is>
          <t>LEANDRO LOPEZ</t>
        </is>
      </c>
      <c r="S10" s="8" t="n">
        <v>46111.91888888889</v>
      </c>
    </row>
    <row r="11" hidden="1" ht="29" customHeight="1">
      <c r="A11" s="15">
        <f>HYPERLINK("https://vtmf.veevavault.com/ui/#doc_info/27066979/12/0", "VTMF-21696343")</f>
        <v/>
      </c>
      <c r="B11" s="19" t="inlineStr">
        <is>
          <t>No</t>
        </is>
      </c>
      <c r="C11" s="5" t="inlineStr">
        <is>
          <t>12.0</t>
        </is>
      </c>
      <c r="D11" s="5" t="inlineStr">
        <is>
          <t>GCO</t>
        </is>
      </c>
      <c r="E11" s="5" t="inlineStr">
        <is>
          <t>42847922MDD3003</t>
        </is>
      </c>
      <c r="F11" s="16">
        <f>HYPERLINK("https://vtmf.veevavault.com/ui/#doc_info/27066979/12/0", "42847922MDD3003-USA-S10-US10218-Site Signature Sheet-08 Sep 2024 (v12.0)")</f>
        <v/>
      </c>
      <c r="G11" s="5" t="inlineStr">
        <is>
          <t>Site Management</t>
        </is>
      </c>
      <c r="H11" s="5" t="inlineStr">
        <is>
          <t>Site Set-up Documentation</t>
        </is>
      </c>
      <c r="I11" s="5" t="inlineStr">
        <is>
          <t>Site Signature Sheet</t>
        </is>
      </c>
      <c r="J11" s="5" t="inlineStr">
        <is>
          <t>Delegation Log_Nisar, M</t>
        </is>
      </c>
      <c r="K11" s="6" t="n">
        <v>534</v>
      </c>
      <c r="L11" s="7" t="n">
        <v>45543</v>
      </c>
      <c r="M11" s="11" t="n">
        <v>46077</v>
      </c>
      <c r="N11" s="5" t="inlineStr">
        <is>
          <t>Superseded</t>
        </is>
      </c>
      <c r="O11" s="5" t="inlineStr">
        <is>
          <t>Site</t>
        </is>
      </c>
      <c r="P11" s="5" t="inlineStr">
        <is>
          <t>United States</t>
        </is>
      </c>
      <c r="Q11" s="13" t="inlineStr">
        <is>
          <t>S10-US10218</t>
        </is>
      </c>
      <c r="R11" s="5" t="inlineStr">
        <is>
          <t>Najalynn Chandler</t>
        </is>
      </c>
      <c r="S11" s="8" t="n">
        <v>46077.81063657408</v>
      </c>
    </row>
    <row r="12" hidden="1" ht="29" customHeight="1">
      <c r="A12" s="15">
        <f>HYPERLINK("https://vtmf.veevavault.com/ui/#doc_info/27066979/13/0", "VTMF-21696343")</f>
        <v/>
      </c>
      <c r="B12" s="19" t="inlineStr">
        <is>
          <t>No</t>
        </is>
      </c>
      <c r="C12" s="5" t="inlineStr">
        <is>
          <t>13.0</t>
        </is>
      </c>
      <c r="D12" s="5" t="inlineStr">
        <is>
          <t>GCO</t>
        </is>
      </c>
      <c r="E12" s="5" t="inlineStr">
        <is>
          <t>42847922MDD3003</t>
        </is>
      </c>
      <c r="F12" s="16">
        <f>HYPERLINK("https://vtmf.veevavault.com/ui/#doc_info/27066979/13/0", "42847922MDD3003-USA-S10-US10218-Site Signature Sheet-08 Sep 2024 (v13.0)")</f>
        <v/>
      </c>
      <c r="G12" s="5" t="inlineStr">
        <is>
          <t>Site Management</t>
        </is>
      </c>
      <c r="H12" s="5" t="inlineStr">
        <is>
          <t>Site Set-up Documentation</t>
        </is>
      </c>
      <c r="I12" s="5" t="inlineStr">
        <is>
          <t>Site Signature Sheet</t>
        </is>
      </c>
      <c r="J12" s="5" t="inlineStr">
        <is>
          <t>Delegation Log_Nisar, M</t>
        </is>
      </c>
      <c r="K12" s="6" t="n">
        <v>579</v>
      </c>
      <c r="L12" s="7" t="n">
        <v>45543</v>
      </c>
      <c r="M12" s="11" t="n">
        <v>46122</v>
      </c>
      <c r="N12" s="5" t="inlineStr">
        <is>
          <t>Approved</t>
        </is>
      </c>
      <c r="O12" s="5" t="inlineStr">
        <is>
          <t>Site</t>
        </is>
      </c>
      <c r="P12" s="5" t="inlineStr">
        <is>
          <t>United States</t>
        </is>
      </c>
      <c r="Q12" s="13" t="inlineStr">
        <is>
          <t>S10-US10218</t>
        </is>
      </c>
      <c r="R12" s="5" t="inlineStr">
        <is>
          <t>Najalynn Chandler</t>
        </is>
      </c>
      <c r="S12" s="8" t="n">
        <v>46122.65509259259</v>
      </c>
    </row>
    <row r="13" hidden="1" ht="29" customHeight="1">
      <c r="A13" s="15">
        <f>HYPERLINK("https://vtmf.veevavault.com/ui/#doc_info/27185334/7/0", "VTMF-21798145")</f>
        <v/>
      </c>
      <c r="B13" s="19" t="inlineStr">
        <is>
          <t>No</t>
        </is>
      </c>
      <c r="C13" s="5" t="inlineStr">
        <is>
          <t>7.0</t>
        </is>
      </c>
      <c r="D13" s="5" t="inlineStr">
        <is>
          <t>GCO</t>
        </is>
      </c>
      <c r="E13" s="5" t="inlineStr">
        <is>
          <t>42847922MDD3003</t>
        </is>
      </c>
      <c r="F13" s="16">
        <f>HYPERLINK("https://vtmf.veevavault.com/ui/#doc_info/27185334/7/0", "42847922MDD3003-ARG-S10-AR10002-Site Signature Sheet-04 Nov 2025 (v7.0)")</f>
        <v/>
      </c>
      <c r="G13" s="5" t="inlineStr">
        <is>
          <t>Site Management</t>
        </is>
      </c>
      <c r="H13" s="5" t="inlineStr">
        <is>
          <t>Site Set-up Documentation</t>
        </is>
      </c>
      <c r="I13" s="5" t="inlineStr">
        <is>
          <t>Site Signature Sheet</t>
        </is>
      </c>
      <c r="J13" s="5" t="inlineStr">
        <is>
          <t>Delegation Log GB.</t>
        </is>
      </c>
      <c r="K13" s="6" t="n">
        <v>113</v>
      </c>
      <c r="L13" s="7" t="n">
        <v>45965</v>
      </c>
      <c r="M13" s="11" t="n">
        <v>46078</v>
      </c>
      <c r="N13" s="5" t="inlineStr">
        <is>
          <t>Approved</t>
        </is>
      </c>
      <c r="O13" s="5" t="inlineStr">
        <is>
          <t>Site</t>
        </is>
      </c>
      <c r="P13" s="5" t="inlineStr">
        <is>
          <t>Argentina</t>
        </is>
      </c>
      <c r="Q13" s="13" t="inlineStr">
        <is>
          <t>S10-AR10002</t>
        </is>
      </c>
      <c r="R13" s="5" t="inlineStr">
        <is>
          <t>LEANDRO LOPEZ</t>
        </is>
      </c>
      <c r="S13" s="8" t="n">
        <v>46078.82498842593</v>
      </c>
    </row>
    <row r="14" hidden="1" ht="29" customHeight="1">
      <c r="A14" s="15">
        <f>HYPERLINK("https://vtmf.veevavault.com/ui/#doc_info/27185471/4/0", "VTMF-21798270")</f>
        <v/>
      </c>
      <c r="B14" s="19" t="inlineStr">
        <is>
          <t>No</t>
        </is>
      </c>
      <c r="C14" s="5" t="inlineStr">
        <is>
          <t>4.0</t>
        </is>
      </c>
      <c r="D14" s="5" t="inlineStr">
        <is>
          <t>GCO</t>
        </is>
      </c>
      <c r="E14" s="5" t="inlineStr">
        <is>
          <t>42847922MDD3003</t>
        </is>
      </c>
      <c r="F14" s="16">
        <f>HYPERLINK("https://vtmf.veevavault.com/ui/#doc_info/27185471/4/0", "42847922MDD3003-ARG-S10-AR10001-Site Signature Sheet-01 Oct 2024 (v4.0)")</f>
        <v/>
      </c>
      <c r="G14" s="5" t="inlineStr">
        <is>
          <t>Site Management</t>
        </is>
      </c>
      <c r="H14" s="5" t="inlineStr">
        <is>
          <t>Site Set-up Documentation</t>
        </is>
      </c>
      <c r="I14" s="5" t="inlineStr">
        <is>
          <t>Site Signature Sheet</t>
        </is>
      </c>
      <c r="J14" s="5" t="inlineStr">
        <is>
          <t>Delegation Log_Lamaison, HF</t>
        </is>
      </c>
      <c r="K14" s="6" t="n">
        <v>484</v>
      </c>
      <c r="L14" s="7" t="n">
        <v>45566</v>
      </c>
      <c r="M14" s="11" t="n">
        <v>46050</v>
      </c>
      <c r="N14" s="5" t="inlineStr">
        <is>
          <t>Approved</t>
        </is>
      </c>
      <c r="O14" s="5" t="inlineStr">
        <is>
          <t>Site</t>
        </is>
      </c>
      <c r="P14" s="5" t="inlineStr">
        <is>
          <t>Argentina</t>
        </is>
      </c>
      <c r="Q14" s="13" t="inlineStr">
        <is>
          <t>S10-AR10001</t>
        </is>
      </c>
      <c r="R14" s="5" t="inlineStr">
        <is>
          <t>Cintia Rodriguez</t>
        </is>
      </c>
      <c r="S14" s="8" t="n">
        <v>46050.71706018518</v>
      </c>
    </row>
    <row r="15" hidden="1" ht="29" customHeight="1">
      <c r="A15" s="15">
        <f>HYPERLINK("https://vtmf.veevavault.com/ui/#doc_info/27241717/3/0", "VTMF-21846607")</f>
        <v/>
      </c>
      <c r="B15" s="19" t="inlineStr">
        <is>
          <t>No</t>
        </is>
      </c>
      <c r="C15" s="5" t="inlineStr">
        <is>
          <t>3.0</t>
        </is>
      </c>
      <c r="D15" s="5" t="inlineStr">
        <is>
          <t>GCO</t>
        </is>
      </c>
      <c r="E15" s="5" t="inlineStr">
        <is>
          <t>42847922MDD3003</t>
        </is>
      </c>
      <c r="F15" s="16">
        <f>HYPERLINK("https://vtmf.veevavault.com/ui/#doc_info/27241717/3/0", "42847922MDD3003-TUR-S10-TR10006-Site Signature Sheet-19 Dec 2025 (v3.0)")</f>
        <v/>
      </c>
      <c r="G15" s="5" t="inlineStr">
        <is>
          <t>Site Management</t>
        </is>
      </c>
      <c r="H15" s="5" t="inlineStr">
        <is>
          <t>Site Set-up Documentation</t>
        </is>
      </c>
      <c r="I15" s="5" t="inlineStr">
        <is>
          <t>Site Signature Sheet</t>
        </is>
      </c>
      <c r="J15" s="5" t="inlineStr">
        <is>
          <t>Delegation Log</t>
        </is>
      </c>
      <c r="K15" s="6" t="n">
        <v>95</v>
      </c>
      <c r="L15" s="7" t="n">
        <v>46010</v>
      </c>
      <c r="M15" s="11" t="n">
        <v>46105</v>
      </c>
      <c r="N15" s="5" t="inlineStr">
        <is>
          <t>Approved</t>
        </is>
      </c>
      <c r="O15" s="5" t="inlineStr">
        <is>
          <t>Site</t>
        </is>
      </c>
      <c r="P15" s="5" t="inlineStr">
        <is>
          <t>Türkiye</t>
        </is>
      </c>
      <c r="Q15" s="13" t="inlineStr">
        <is>
          <t>S10-TR10006</t>
        </is>
      </c>
      <c r="R15" s="5" t="inlineStr">
        <is>
          <t>Eylem Secil Kurada</t>
        </is>
      </c>
      <c r="S15" s="8" t="n">
        <v>46105.56511574074</v>
      </c>
    </row>
    <row r="16" hidden="1" ht="29" customHeight="1">
      <c r="A16" s="15">
        <f>HYPERLINK("https://vtmf.veevavault.com/ui/#doc_info/27261345/2/0", "VTMF-21862867")</f>
        <v/>
      </c>
      <c r="B16" s="19" t="inlineStr">
        <is>
          <t>No</t>
        </is>
      </c>
      <c r="C16" s="5" t="inlineStr">
        <is>
          <t>2.0</t>
        </is>
      </c>
      <c r="D16" s="5" t="inlineStr">
        <is>
          <t>GCO</t>
        </is>
      </c>
      <c r="E16" s="5" t="inlineStr">
        <is>
          <t>42847922MDD3003, 54135419SUI3003</t>
        </is>
      </c>
      <c r="F16" s="16">
        <f>HYPERLINK("https://vtmf.veevavault.com/ui/#doc_info/27261345/2/0", "42847922MDD3003-BRA-S10-BR10021-Principal Investigator Curriculum Vitae-15 Jan 2026 (v2.0)")</f>
        <v/>
      </c>
      <c r="G16" s="5" t="inlineStr">
        <is>
          <t>Site Management</t>
        </is>
      </c>
      <c r="H16" s="5" t="inlineStr">
        <is>
          <t>Site Set-up Documentation</t>
        </is>
      </c>
      <c r="I16" s="5" t="inlineStr">
        <is>
          <t>Principal Investigator Curriculum Vitae</t>
        </is>
      </c>
      <c r="J16" s="5" t="inlineStr">
        <is>
          <t>CV_EN_Recco, K._Initial ; 15Jan2026</t>
        </is>
      </c>
      <c r="K16" s="6" t="n">
        <v>68</v>
      </c>
      <c r="L16" s="7" t="n">
        <v>46037</v>
      </c>
      <c r="M16" s="11" t="n">
        <v>46105</v>
      </c>
      <c r="N16" s="5" t="inlineStr">
        <is>
          <t>Approved</t>
        </is>
      </c>
      <c r="O16" s="5" t="inlineStr">
        <is>
          <t>Site</t>
        </is>
      </c>
      <c r="P16" s="5" t="inlineStr">
        <is>
          <t>Brazil, Brazil</t>
        </is>
      </c>
      <c r="Q16" s="13" t="inlineStr">
        <is>
          <t>AJ7-BR10005, S10-BR10021</t>
        </is>
      </c>
      <c r="R16" s="5" t="inlineStr">
        <is>
          <t>Vivian Molina</t>
        </is>
      </c>
      <c r="S16" s="8" t="n">
        <v>46097.77758101852</v>
      </c>
    </row>
    <row r="17" hidden="1" ht="29" customHeight="1">
      <c r="A17" s="15">
        <f>HYPERLINK("https://vtmf.veevavault.com/ui/#doc_info/27261552/2/0", "VTMF-21862884")</f>
        <v/>
      </c>
      <c r="B17" s="19" t="inlineStr">
        <is>
          <t>No</t>
        </is>
      </c>
      <c r="C17" s="5" t="inlineStr">
        <is>
          <t>2.0</t>
        </is>
      </c>
      <c r="D17" s="5" t="inlineStr">
        <is>
          <t>GCO</t>
        </is>
      </c>
      <c r="E17" s="5" t="inlineStr">
        <is>
          <t>42847922MDD3003, 54135419SUI3003</t>
        </is>
      </c>
      <c r="F17" s="16">
        <f>HYPERLINK("https://vtmf.veevavault.com/ui/#doc_info/27261552/2/0", "42847922MDD3003-BRA-S10-BR10021-Other Curriculum Vitae-02 Jan 2026 (v2.0)")</f>
        <v/>
      </c>
      <c r="G17" s="5" t="inlineStr">
        <is>
          <t>Site Management</t>
        </is>
      </c>
      <c r="H17" s="5" t="inlineStr">
        <is>
          <t>Site Set-up Documentation</t>
        </is>
      </c>
      <c r="I17" s="5" t="inlineStr">
        <is>
          <t>Other Curriculum Vitae</t>
        </is>
      </c>
      <c r="J17" s="5" t="inlineStr">
        <is>
          <t>CV_EN_Oliveira, A._Initial ; 02Jan2026</t>
        </is>
      </c>
      <c r="K17" s="6" t="n">
        <v>81</v>
      </c>
      <c r="L17" s="7" t="n">
        <v>46024</v>
      </c>
      <c r="M17" s="11" t="n">
        <v>46105</v>
      </c>
      <c r="N17" s="5" t="inlineStr">
        <is>
          <t>Approved</t>
        </is>
      </c>
      <c r="O17" s="5" t="inlineStr">
        <is>
          <t>Site</t>
        </is>
      </c>
      <c r="P17" s="5" t="inlineStr">
        <is>
          <t>Brazil, Brazil</t>
        </is>
      </c>
      <c r="Q17" s="13" t="inlineStr">
        <is>
          <t>AJ7-BR10005, S10-BR10021</t>
        </is>
      </c>
      <c r="R17" s="5" t="inlineStr">
        <is>
          <t>Vivian Molina</t>
        </is>
      </c>
      <c r="S17" s="8" t="n">
        <v>46097.77418981482</v>
      </c>
    </row>
    <row r="18" hidden="1" ht="29" customHeight="1">
      <c r="A18" s="15">
        <f>HYPERLINK("https://vtmf.veevavault.com/ui/#doc_info/27261553/2/0", "VTMF-21862885")</f>
        <v/>
      </c>
      <c r="B18" s="19" t="inlineStr">
        <is>
          <t>No</t>
        </is>
      </c>
      <c r="C18" s="5" t="inlineStr">
        <is>
          <t>2.0</t>
        </is>
      </c>
      <c r="D18" s="5" t="inlineStr">
        <is>
          <t>GCO</t>
        </is>
      </c>
      <c r="E18" s="5" t="inlineStr">
        <is>
          <t>42847922MDD3003, 54135419SUI3003</t>
        </is>
      </c>
      <c r="F18" s="16">
        <f>HYPERLINK("https://vtmf.veevavault.com/ui/#doc_info/27261553/2/0", "42847922MDD3003-BRA-S10-BR10021-Other Curriculum Vitae-15 Jan 2026 (v2.0)")</f>
        <v/>
      </c>
      <c r="G18" s="5" t="inlineStr">
        <is>
          <t>Site Management</t>
        </is>
      </c>
      <c r="H18" s="5" t="inlineStr">
        <is>
          <t>Site Set-up Documentation</t>
        </is>
      </c>
      <c r="I18" s="5" t="inlineStr">
        <is>
          <t>Other Curriculum Vitae</t>
        </is>
      </c>
      <c r="J18" s="5" t="inlineStr">
        <is>
          <t>CV_EN_Pereira, K._Initial ; 15Jan2026</t>
        </is>
      </c>
      <c r="K18" s="6" t="n">
        <v>68</v>
      </c>
      <c r="L18" s="7" t="n">
        <v>46037</v>
      </c>
      <c r="M18" s="11" t="n">
        <v>46105</v>
      </c>
      <c r="N18" s="5" t="inlineStr">
        <is>
          <t>Approved</t>
        </is>
      </c>
      <c r="O18" s="5" t="inlineStr">
        <is>
          <t>Site</t>
        </is>
      </c>
      <c r="P18" s="5" t="inlineStr">
        <is>
          <t>Brazil, Brazil</t>
        </is>
      </c>
      <c r="Q18" s="13" t="inlineStr">
        <is>
          <t>AJ7-BR10005, S10-BR10021</t>
        </is>
      </c>
      <c r="R18" s="5" t="inlineStr">
        <is>
          <t>Vivian Molina</t>
        </is>
      </c>
      <c r="S18" s="8" t="n">
        <v>46097.77315972222</v>
      </c>
    </row>
    <row r="19" hidden="1" ht="29" customHeight="1">
      <c r="A19" s="15">
        <f>HYPERLINK("https://vtmf.veevavault.com/ui/#doc_info/27261554/2/0", "VTMF-21862886")</f>
        <v/>
      </c>
      <c r="B19" s="19" t="inlineStr">
        <is>
          <t>No</t>
        </is>
      </c>
      <c r="C19" s="5" t="inlineStr">
        <is>
          <t>2.0</t>
        </is>
      </c>
      <c r="D19" s="5" t="inlineStr">
        <is>
          <t>GCO</t>
        </is>
      </c>
      <c r="E19" s="5" t="inlineStr">
        <is>
          <t>42847922MDD3003, 54135419SUI3003</t>
        </is>
      </c>
      <c r="F19" s="16">
        <f>HYPERLINK("https://vtmf.veevavault.com/ui/#doc_info/27261554/2/0", "42847922MDD3003-BRA-S10-BR10021-Other Curriculum Vitae-13 Jan 2026 (v2.0)")</f>
        <v/>
      </c>
      <c r="G19" s="5" t="inlineStr">
        <is>
          <t>Site Management</t>
        </is>
      </c>
      <c r="H19" s="5" t="inlineStr">
        <is>
          <t>Site Set-up Documentation</t>
        </is>
      </c>
      <c r="I19" s="5" t="inlineStr">
        <is>
          <t>Other Curriculum Vitae</t>
        </is>
      </c>
      <c r="J19" s="5" t="inlineStr">
        <is>
          <t>CV_EN_Jeremias, A._Initial ; 13Jan2026</t>
        </is>
      </c>
      <c r="K19" s="6" t="n">
        <v>70</v>
      </c>
      <c r="L19" s="7" t="n">
        <v>46035</v>
      </c>
      <c r="M19" s="11" t="n">
        <v>46105</v>
      </c>
      <c r="N19" s="5" t="inlineStr">
        <is>
          <t>Approved</t>
        </is>
      </c>
      <c r="O19" s="5" t="inlineStr">
        <is>
          <t>Site</t>
        </is>
      </c>
      <c r="P19" s="5" t="inlineStr">
        <is>
          <t>Brazil, Brazil</t>
        </is>
      </c>
      <c r="Q19" s="13" t="inlineStr">
        <is>
          <t>AJ7-BR10005, S10-BR10021</t>
        </is>
      </c>
      <c r="R19" s="5" t="inlineStr">
        <is>
          <t>Vivian Molina</t>
        </is>
      </c>
      <c r="S19" s="8" t="n">
        <v>46097.76550925926</v>
      </c>
    </row>
    <row r="20" hidden="1" ht="29" customHeight="1">
      <c r="A20" s="15">
        <f>HYPERLINK("https://vtmf.veevavault.com/ui/#doc_info/27327738/4/0", "VTMF-21920377")</f>
        <v/>
      </c>
      <c r="B20" s="19" t="inlineStr">
        <is>
          <t>No</t>
        </is>
      </c>
      <c r="C20" s="5" t="inlineStr">
        <is>
          <t>4.0</t>
        </is>
      </c>
      <c r="D20" s="5" t="inlineStr">
        <is>
          <t>GCO</t>
        </is>
      </c>
      <c r="E20" s="5" t="inlineStr">
        <is>
          <t>42847922MDD3003</t>
        </is>
      </c>
      <c r="F20" s="16">
        <f>HYPERLINK("https://vtmf.veevavault.com/ui/#doc_info/27327738/4/0", "42847922MDD3003-TUR-S10-TR10012-Site Signature Sheet-05 Nov 2025 (v4.0)")</f>
        <v/>
      </c>
      <c r="G20" s="5" t="inlineStr">
        <is>
          <t>Site Management</t>
        </is>
      </c>
      <c r="H20" s="5" t="inlineStr">
        <is>
          <t>Site Set-up Documentation</t>
        </is>
      </c>
      <c r="I20" s="5" t="inlineStr">
        <is>
          <t>Site Signature Sheet</t>
        </is>
      </c>
      <c r="J20" s="5" t="inlineStr">
        <is>
          <t>Delegation Log_Elboga, G</t>
        </is>
      </c>
      <c r="K20" s="6" t="n">
        <v>75</v>
      </c>
      <c r="L20" s="7" t="n">
        <v>45966</v>
      </c>
      <c r="M20" s="11" t="n">
        <v>46041</v>
      </c>
      <c r="N20" s="5" t="inlineStr">
        <is>
          <t>Approved</t>
        </is>
      </c>
      <c r="O20" s="5" t="inlineStr">
        <is>
          <t>Site</t>
        </is>
      </c>
      <c r="P20" s="5" t="inlineStr">
        <is>
          <t>Türkiye</t>
        </is>
      </c>
      <c r="Q20" s="13" t="inlineStr">
        <is>
          <t>S10-TR10012</t>
        </is>
      </c>
      <c r="R20" s="5" t="inlineStr">
        <is>
          <t>Eylem Secil Kurada</t>
        </is>
      </c>
      <c r="S20" s="8" t="n">
        <v>46041.56724537037</v>
      </c>
    </row>
    <row r="21" hidden="1" ht="29" customHeight="1">
      <c r="A21" s="15">
        <f>HYPERLINK("https://vtmf.veevavault.com/ui/#doc_info/27462211/3/0", "VTMF-22024717")</f>
        <v/>
      </c>
      <c r="B21" s="19" t="inlineStr">
        <is>
          <t>No</t>
        </is>
      </c>
      <c r="C21" s="5" t="inlineStr">
        <is>
          <t>3.0</t>
        </is>
      </c>
      <c r="D21" s="5" t="inlineStr">
        <is>
          <t>GCO</t>
        </is>
      </c>
      <c r="E21" s="5" t="inlineStr">
        <is>
          <t>42847922MDD3003</t>
        </is>
      </c>
      <c r="F21" s="16">
        <f>HYPERLINK("https://vtmf.veevavault.com/ui/#doc_info/27462211/3/0", "42847922MDD3003-USA-S10-US10148-Site Signature Sheet-12 Nov 2024 (v3.0)")</f>
        <v/>
      </c>
      <c r="G21" s="5" t="inlineStr">
        <is>
          <t>Site Management</t>
        </is>
      </c>
      <c r="H21" s="5" t="inlineStr">
        <is>
          <t>Site Set-up Documentation</t>
        </is>
      </c>
      <c r="I21" s="5" t="inlineStr">
        <is>
          <t>Site Signature Sheet</t>
        </is>
      </c>
      <c r="J21" s="5" t="inlineStr">
        <is>
          <t>Delegation Log_Hernandez, A.</t>
        </is>
      </c>
      <c r="K21" s="6" t="n">
        <v>437</v>
      </c>
      <c r="L21" s="7" t="n">
        <v>45608</v>
      </c>
      <c r="M21" s="11" t="n">
        <v>46045</v>
      </c>
      <c r="N21" s="5" t="inlineStr">
        <is>
          <t>Approved</t>
        </is>
      </c>
      <c r="O21" s="5" t="inlineStr">
        <is>
          <t>Site</t>
        </is>
      </c>
      <c r="P21" s="5" t="inlineStr">
        <is>
          <t>United States</t>
        </is>
      </c>
      <c r="Q21" s="13" t="inlineStr">
        <is>
          <t>S10-US10148</t>
        </is>
      </c>
      <c r="R21" s="5" t="inlineStr">
        <is>
          <t>Najalynn Chandler</t>
        </is>
      </c>
      <c r="S21" s="8" t="n">
        <v>46045.8208912037</v>
      </c>
    </row>
    <row r="22" hidden="1" ht="29" customHeight="1">
      <c r="A22" s="15">
        <f>HYPERLINK("https://vtmf.veevavault.com/ui/#doc_info/27507885/6/0", "VTMF-22063656")</f>
        <v/>
      </c>
      <c r="B22" s="19" t="inlineStr">
        <is>
          <t>No</t>
        </is>
      </c>
      <c r="C22" s="5" t="inlineStr">
        <is>
          <t>6.0</t>
        </is>
      </c>
      <c r="D22" s="5" t="inlineStr">
        <is>
          <t>GCO</t>
        </is>
      </c>
      <c r="E22" s="5" t="inlineStr">
        <is>
          <t>42847922MDD3003</t>
        </is>
      </c>
      <c r="F22" s="16">
        <f>HYPERLINK("https://vtmf.veevavault.com/ui/#doc_info/27507885/6/0", "42847922MDD3003-BRA-S10-BR10010-Site Signature Sheet-22 Dec 2025 (v6.0)")</f>
        <v/>
      </c>
      <c r="G22" s="5" t="inlineStr">
        <is>
          <t>Site Management</t>
        </is>
      </c>
      <c r="H22" s="5" t="inlineStr">
        <is>
          <t>Site Set-up Documentation</t>
        </is>
      </c>
      <c r="I22" s="5" t="inlineStr">
        <is>
          <t>Site Signature Sheet</t>
        </is>
      </c>
      <c r="J22" s="5" t="inlineStr">
        <is>
          <t>Delegation Log_Rosa,M ; 14Nov2024 - 22Dec25</t>
        </is>
      </c>
      <c r="K22" s="6" t="n">
        <v>59</v>
      </c>
      <c r="L22" s="7" t="n">
        <v>46013</v>
      </c>
      <c r="M22" s="11" t="n">
        <v>46072</v>
      </c>
      <c r="N22" s="5" t="inlineStr">
        <is>
          <t>Approved</t>
        </is>
      </c>
      <c r="O22" s="5" t="inlineStr">
        <is>
          <t>Site</t>
        </is>
      </c>
      <c r="P22" s="5" t="inlineStr">
        <is>
          <t>Brazil</t>
        </is>
      </c>
      <c r="Q22" s="13" t="inlineStr">
        <is>
          <t>S10-BR10010</t>
        </is>
      </c>
      <c r="R22" s="5" t="inlineStr">
        <is>
          <t>GUILHERME BENEVIDES</t>
        </is>
      </c>
      <c r="S22" s="8" t="n">
        <v>46072.76273148148</v>
      </c>
    </row>
    <row r="23" hidden="1" ht="29" customHeight="1">
      <c r="A23" s="15">
        <f>HYPERLINK("https://vtmf.veevavault.com/ui/#doc_info/27546969/2/0", "VTMF-22097908")</f>
        <v/>
      </c>
      <c r="B23" s="20" t="inlineStr">
        <is>
          <t>Yes</t>
        </is>
      </c>
      <c r="C23" s="5" t="inlineStr">
        <is>
          <t>2.0</t>
        </is>
      </c>
      <c r="D23" s="5" t="inlineStr">
        <is>
          <t>GCO</t>
        </is>
      </c>
      <c r="E23" s="5" t="inlineStr">
        <is>
          <t>42847922MDD3003</t>
        </is>
      </c>
      <c r="F23" s="16">
        <f>HYPERLINK("https://vtmf.veevavault.com/ui/#doc_info/27546969/2/0", "42847922MDD3003-USA-S10-US10218-Recruitment Plan-01 Oct 2024 (v2.0)")</f>
        <v/>
      </c>
      <c r="G23" s="5" t="inlineStr">
        <is>
          <t>Trial Management</t>
        </is>
      </c>
      <c r="H23" s="5" t="inlineStr">
        <is>
          <t>Trial Oversight</t>
        </is>
      </c>
      <c r="I23" s="5" t="inlineStr">
        <is>
          <t>Recruitment Plan</t>
        </is>
      </c>
      <c r="J23" s="5" t="inlineStr">
        <is>
          <t>Recruitment and Retention Plan_01OCT2024</t>
        </is>
      </c>
      <c r="K23" s="6" t="n">
        <v>496</v>
      </c>
      <c r="L23" s="7" t="n">
        <v>45566</v>
      </c>
      <c r="M23" s="11" t="n">
        <v>46062</v>
      </c>
      <c r="N23" s="5" t="inlineStr">
        <is>
          <t>Approved</t>
        </is>
      </c>
      <c r="O23" s="5" t="inlineStr">
        <is>
          <t>Site</t>
        </is>
      </c>
      <c r="P23" s="5" t="inlineStr">
        <is>
          <t>United States</t>
        </is>
      </c>
      <c r="Q23" s="13" t="inlineStr">
        <is>
          <t>S10-US10218</t>
        </is>
      </c>
      <c r="R23" s="5" t="inlineStr">
        <is>
          <t>Najalynn Chandler</t>
        </is>
      </c>
      <c r="S23" s="8" t="n">
        <v>46063.18099537037</v>
      </c>
    </row>
    <row r="24" hidden="1" ht="29" customHeight="1">
      <c r="A24" s="15">
        <f>HYPERLINK("https://vtmf.veevavault.com/ui/#doc_info/27758698/8/0", "VTMF-22257751")</f>
        <v/>
      </c>
      <c r="B24" s="19" t="inlineStr">
        <is>
          <t>No</t>
        </is>
      </c>
      <c r="C24" s="5" t="inlineStr">
        <is>
          <t>8.0</t>
        </is>
      </c>
      <c r="D24" s="5" t="inlineStr">
        <is>
          <t>GCO</t>
        </is>
      </c>
      <c r="E24" s="5" t="inlineStr">
        <is>
          <t>42847922MDD3003</t>
        </is>
      </c>
      <c r="F24" s="16">
        <f>HYPERLINK("https://vtmf.veevavault.com/ui/#doc_info/27758698/8/0", "42847922MDD3003-USA-S10-US10234-Site Signature Sheet-24 Apr 2025 (v8.0)")</f>
        <v/>
      </c>
      <c r="G24" s="5" t="inlineStr">
        <is>
          <t>Site Management</t>
        </is>
      </c>
      <c r="H24" s="5" t="inlineStr">
        <is>
          <t>Site Set-up Documentation</t>
        </is>
      </c>
      <c r="I24" s="5" t="inlineStr">
        <is>
          <t>Site Signature Sheet</t>
        </is>
      </c>
      <c r="J24" s="5" t="inlineStr">
        <is>
          <t>Delegation Log_Muray, D.</t>
        </is>
      </c>
      <c r="K24" s="6" t="n">
        <v>285</v>
      </c>
      <c r="L24" s="7" t="n">
        <v>45771</v>
      </c>
      <c r="M24" s="11" t="n">
        <v>46056</v>
      </c>
      <c r="N24" s="5" t="inlineStr">
        <is>
          <t>Approved</t>
        </is>
      </c>
      <c r="O24" s="5" t="inlineStr">
        <is>
          <t>Site</t>
        </is>
      </c>
      <c r="P24" s="5" t="inlineStr">
        <is>
          <t>United States</t>
        </is>
      </c>
      <c r="Q24" s="13" t="inlineStr">
        <is>
          <t>S10-US10234</t>
        </is>
      </c>
      <c r="R24" s="5" t="inlineStr">
        <is>
          <t>Najalynn Chandler</t>
        </is>
      </c>
      <c r="S24" s="8" t="n">
        <v>46056.74163194445</v>
      </c>
    </row>
    <row r="25" hidden="1" ht="29" customHeight="1">
      <c r="A25" s="15">
        <f>HYPERLINK("https://vtmf.veevavault.com/ui/#doc_info/27772305/7/0", "VTMF-22269358")</f>
        <v/>
      </c>
      <c r="B25" s="19" t="inlineStr">
        <is>
          <t>No</t>
        </is>
      </c>
      <c r="C25" s="5" t="inlineStr">
        <is>
          <t>7.0</t>
        </is>
      </c>
      <c r="D25" s="5" t="inlineStr">
        <is>
          <t>GCO</t>
        </is>
      </c>
      <c r="E25" s="5" t="inlineStr">
        <is>
          <t>42847922MDD3003</t>
        </is>
      </c>
      <c r="F25" s="16">
        <f>HYPERLINK("https://vtmf.veevavault.com/ui/#doc_info/27772305/7/0", "42847922MDD3003-BRA-S10-BR10002-Site Signature Sheet-18 May 2025 (v7.0)")</f>
        <v/>
      </c>
      <c r="G25" s="5" t="inlineStr">
        <is>
          <t>Site Management</t>
        </is>
      </c>
      <c r="H25" s="5" t="inlineStr">
        <is>
          <t>Site Set-up Documentation</t>
        </is>
      </c>
      <c r="I25" s="5" t="inlineStr">
        <is>
          <t>Site Signature Sheet</t>
        </is>
      </c>
      <c r="J25" s="5" t="inlineStr">
        <is>
          <t>Delegation log version 3.0_Ruschel, S; 26-nov-2024 - 26-nov-2024</t>
        </is>
      </c>
      <c r="K25" s="6" t="n">
        <v>254</v>
      </c>
      <c r="L25" s="7" t="n">
        <v>45795</v>
      </c>
      <c r="M25" s="11" t="n">
        <v>46049</v>
      </c>
      <c r="N25" s="5" t="inlineStr">
        <is>
          <t>Superseded</t>
        </is>
      </c>
      <c r="O25" s="5" t="inlineStr">
        <is>
          <t>Site</t>
        </is>
      </c>
      <c r="P25" s="5" t="inlineStr">
        <is>
          <t>Brazil</t>
        </is>
      </c>
      <c r="Q25" s="13" t="inlineStr">
        <is>
          <t>S10-BR10002</t>
        </is>
      </c>
      <c r="R25" s="5" t="inlineStr">
        <is>
          <t>AMANDA MARIA PERES</t>
        </is>
      </c>
      <c r="S25" s="8" t="n">
        <v>46049.59853009259</v>
      </c>
    </row>
    <row r="26" hidden="1" ht="29" customHeight="1">
      <c r="A26" s="15">
        <f>HYPERLINK("https://vtmf.veevavault.com/ui/#doc_info/27772305/8/0", "VTMF-22269358")</f>
        <v/>
      </c>
      <c r="B26" s="19" t="inlineStr">
        <is>
          <t>No</t>
        </is>
      </c>
      <c r="C26" s="5" t="inlineStr">
        <is>
          <t>8.0</t>
        </is>
      </c>
      <c r="D26" s="5" t="inlineStr">
        <is>
          <t>GCO</t>
        </is>
      </c>
      <c r="E26" s="5" t="inlineStr">
        <is>
          <t>42847922MDD3003</t>
        </is>
      </c>
      <c r="F26" s="16">
        <f>HYPERLINK("https://vtmf.veevavault.com/ui/#doc_info/27772305/8/0", "42847922MDD3003-BRA-S10-BR10002-Site Signature Sheet-18 May 2025 (v8.0)")</f>
        <v/>
      </c>
      <c r="G26" s="5" t="inlineStr">
        <is>
          <t>Site Management</t>
        </is>
      </c>
      <c r="H26" s="5" t="inlineStr">
        <is>
          <t>Site Set-up Documentation</t>
        </is>
      </c>
      <c r="I26" s="5" t="inlineStr">
        <is>
          <t>Site Signature Sheet</t>
        </is>
      </c>
      <c r="J26" s="5" t="inlineStr">
        <is>
          <t>Delegation log version 3.0_Ruschel, S; 26-nov-2024 - 26-nov-2024</t>
        </is>
      </c>
      <c r="K26" s="6" t="n">
        <v>323</v>
      </c>
      <c r="L26" s="7" t="n">
        <v>45795</v>
      </c>
      <c r="M26" s="11" t="n">
        <v>46118</v>
      </c>
      <c r="N26" s="5" t="inlineStr">
        <is>
          <t>Approved</t>
        </is>
      </c>
      <c r="O26" s="5" t="inlineStr">
        <is>
          <t>Site</t>
        </is>
      </c>
      <c r="P26" s="5" t="inlineStr">
        <is>
          <t>Brazil</t>
        </is>
      </c>
      <c r="Q26" s="13" t="inlineStr">
        <is>
          <t>S10-BR10002</t>
        </is>
      </c>
      <c r="R26" s="5" t="inlineStr">
        <is>
          <t>AMANDA MARIA PERES</t>
        </is>
      </c>
      <c r="S26" s="8" t="n">
        <v>46118.67207175926</v>
      </c>
    </row>
    <row r="27" hidden="1" ht="29" customHeight="1">
      <c r="A27" s="15">
        <f>HYPERLINK("https://vtmf.veevavault.com/ui/#doc_info/27832290/2/0", "VTMF-22317061")</f>
        <v/>
      </c>
      <c r="B27" s="19" t="inlineStr">
        <is>
          <t>No</t>
        </is>
      </c>
      <c r="C27" s="5" t="inlineStr">
        <is>
          <t>2.0</t>
        </is>
      </c>
      <c r="D27" s="5" t="inlineStr">
        <is>
          <t>GCO</t>
        </is>
      </c>
      <c r="E27" s="5" t="inlineStr">
        <is>
          <t>42847922MDD3003, 54135419SUI3003</t>
        </is>
      </c>
      <c r="F27" s="16">
        <f>HYPERLINK("https://vtmf.veevavault.com/ui/#doc_info/27832290/2/0", "42847922MDD3003-BRA-S10-BR10007-Sub-Investigator Curriculum Vitae-20 Jan 2026 (v2.0)")</f>
        <v/>
      </c>
      <c r="G27" s="5" t="inlineStr">
        <is>
          <t>Site Management</t>
        </is>
      </c>
      <c r="H27" s="5" t="inlineStr">
        <is>
          <t>Site Set-up Documentation</t>
        </is>
      </c>
      <c r="I27" s="5" t="inlineStr">
        <is>
          <t>Sub-Investigator Curriculum Vitae</t>
        </is>
      </c>
      <c r="J27" s="5" t="inlineStr">
        <is>
          <t>CV_English_Gouveia, A._Initial_20Jan2026</t>
        </is>
      </c>
      <c r="K27" s="6" t="n">
        <v>31</v>
      </c>
      <c r="L27" s="7" t="n">
        <v>46042</v>
      </c>
      <c r="M27" s="11" t="n">
        <v>46073</v>
      </c>
      <c r="N27" s="5" t="inlineStr">
        <is>
          <t>Approved</t>
        </is>
      </c>
      <c r="O27" s="5" t="inlineStr">
        <is>
          <t>Site</t>
        </is>
      </c>
      <c r="P27" s="5" t="inlineStr">
        <is>
          <t>Brazil, Brazil</t>
        </is>
      </c>
      <c r="Q27" s="13" t="inlineStr">
        <is>
          <t>AJ7-BR10007, S10-BR10007</t>
        </is>
      </c>
      <c r="R27" s="5" t="inlineStr">
        <is>
          <t>GUILHERME BENEVIDES</t>
        </is>
      </c>
      <c r="S27" s="8" t="n">
        <v>46073.88128472222</v>
      </c>
    </row>
    <row r="28" hidden="1" ht="29" customHeight="1">
      <c r="A28" s="15">
        <f>HYPERLINK("https://vtmf.veevavault.com/ui/#doc_info/27832295/2/0", "VTMF-22317066")</f>
        <v/>
      </c>
      <c r="B28" s="19" t="inlineStr">
        <is>
          <t>No</t>
        </is>
      </c>
      <c r="C28" s="5" t="inlineStr">
        <is>
          <t>2.0</t>
        </is>
      </c>
      <c r="D28" s="5" t="inlineStr">
        <is>
          <t>GCO</t>
        </is>
      </c>
      <c r="E28" s="5" t="inlineStr">
        <is>
          <t>42847922MDD3003, 54135419SUI3003</t>
        </is>
      </c>
      <c r="F28" s="16">
        <f>HYPERLINK("https://vtmf.veevavault.com/ui/#doc_info/27832295/2/0", "42847922MDD3003-BRA-S10-BR10007-Sub-Investigator Curriculum Vitae-15 Sep 2025 (v2.0)")</f>
        <v/>
      </c>
      <c r="G28" s="5" t="inlineStr">
        <is>
          <t>Site Management</t>
        </is>
      </c>
      <c r="H28" s="5" t="inlineStr">
        <is>
          <t>Site Set-up Documentation</t>
        </is>
      </c>
      <c r="I28" s="5" t="inlineStr">
        <is>
          <t>Sub-Investigator Curriculum Vitae</t>
        </is>
      </c>
      <c r="J28" s="5" t="inlineStr">
        <is>
          <t>CV_English_Andrino da Silva, W._Revised_15Sep2025</t>
        </is>
      </c>
      <c r="K28" s="6" t="n">
        <v>158</v>
      </c>
      <c r="L28" s="7" t="n">
        <v>45915</v>
      </c>
      <c r="M28" s="11" t="n">
        <v>46073</v>
      </c>
      <c r="N28" s="5" t="inlineStr">
        <is>
          <t>Approved</t>
        </is>
      </c>
      <c r="O28" s="5" t="inlineStr">
        <is>
          <t>Site</t>
        </is>
      </c>
      <c r="P28" s="5" t="inlineStr">
        <is>
          <t>Brazil, Brazil</t>
        </is>
      </c>
      <c r="Q28" s="13" t="inlineStr">
        <is>
          <t>AJ7-BR10007, S10-BR10007</t>
        </is>
      </c>
      <c r="R28" s="5" t="inlineStr">
        <is>
          <t>GUILHERME BENEVIDES</t>
        </is>
      </c>
      <c r="S28" s="8" t="n">
        <v>46073.88457175926</v>
      </c>
    </row>
    <row r="29" hidden="1" ht="29" customHeight="1">
      <c r="A29" s="15">
        <f>HYPERLINK("https://vtmf.veevavault.com/ui/#doc_info/27832298/2/0", "VTMF-22317069")</f>
        <v/>
      </c>
      <c r="B29" s="19" t="inlineStr">
        <is>
          <t>No</t>
        </is>
      </c>
      <c r="C29" s="5" t="inlineStr">
        <is>
          <t>2.0</t>
        </is>
      </c>
      <c r="D29" s="5" t="inlineStr">
        <is>
          <t>GCO</t>
        </is>
      </c>
      <c r="E29" s="5" t="inlineStr">
        <is>
          <t>42847922MDD3003, 54135419SUI3003</t>
        </is>
      </c>
      <c r="F29" s="16">
        <f>HYPERLINK("https://vtmf.veevavault.com/ui/#doc_info/27832298/2/0", "42847922MDD3003-BRA-S10-BR10007-Other Curriculum Vitae-12 Jan 2026 (v2.0)")</f>
        <v/>
      </c>
      <c r="G29" s="5" t="inlineStr">
        <is>
          <t>Site Management</t>
        </is>
      </c>
      <c r="H29" s="5" t="inlineStr">
        <is>
          <t>Site Set-up Documentation</t>
        </is>
      </c>
      <c r="I29" s="5" t="inlineStr">
        <is>
          <t>Other Curriculum Vitae</t>
        </is>
      </c>
      <c r="J29" s="5" t="inlineStr">
        <is>
          <t>CV_English_Bezerra e Silva, S._Revised_12Jan2026</t>
        </is>
      </c>
      <c r="K29" s="6" t="n">
        <v>39</v>
      </c>
      <c r="L29" s="7" t="n">
        <v>46034</v>
      </c>
      <c r="M29" s="11" t="n">
        <v>46073</v>
      </c>
      <c r="N29" s="5" t="inlineStr">
        <is>
          <t>Approved</t>
        </is>
      </c>
      <c r="O29" s="5" t="inlineStr">
        <is>
          <t>Site</t>
        </is>
      </c>
      <c r="P29" s="5" t="inlineStr">
        <is>
          <t>Brazil, Brazil</t>
        </is>
      </c>
      <c r="Q29" s="13" t="inlineStr">
        <is>
          <t>AJ7-BR10007, S10-BR10007</t>
        </is>
      </c>
      <c r="R29" s="5" t="inlineStr">
        <is>
          <t>GUILHERME BENEVIDES</t>
        </is>
      </c>
      <c r="S29" s="8" t="n">
        <v>46073.88597222222</v>
      </c>
    </row>
    <row r="30" hidden="1" ht="29" customHeight="1">
      <c r="A30" s="15">
        <f>HYPERLINK("https://vtmf.veevavault.com/ui/#doc_info/27832302/2/0", "VTMF-22317079")</f>
        <v/>
      </c>
      <c r="B30" s="19" t="inlineStr">
        <is>
          <t>No</t>
        </is>
      </c>
      <c r="C30" s="5" t="inlineStr">
        <is>
          <t>2.0</t>
        </is>
      </c>
      <c r="D30" s="5" t="inlineStr">
        <is>
          <t>GCO</t>
        </is>
      </c>
      <c r="E30" s="5" t="inlineStr">
        <is>
          <t>42847922MDD3003</t>
        </is>
      </c>
      <c r="F30" s="16">
        <f>HYPERLINK("https://vtmf.veevavault.com/ui/#doc_info/27832302/2/0", "42847922MDD3003-BRA-S10-BR10007-Principal Investigator Curriculum Vitae-19 Feb 2024 (v2.0)")</f>
        <v/>
      </c>
      <c r="G30" s="5" t="inlineStr">
        <is>
          <t>Site Management</t>
        </is>
      </c>
      <c r="H30" s="5" t="inlineStr">
        <is>
          <t>Site Set-up Documentation</t>
        </is>
      </c>
      <c r="I30" s="5" t="inlineStr">
        <is>
          <t>Principal Investigator Curriculum Vitae</t>
        </is>
      </c>
      <c r="J30" s="5" t="inlineStr">
        <is>
          <t>CV_English_Nunes, E._Initial_19Feb2024</t>
        </is>
      </c>
      <c r="K30" s="6" t="n">
        <v>732</v>
      </c>
      <c r="L30" s="7" t="n">
        <v>45341</v>
      </c>
      <c r="M30" s="11" t="n">
        <v>46073</v>
      </c>
      <c r="N30" s="5" t="inlineStr">
        <is>
          <t>Approved</t>
        </is>
      </c>
      <c r="O30" s="5" t="inlineStr">
        <is>
          <t>Site</t>
        </is>
      </c>
      <c r="P30" s="5" t="inlineStr">
        <is>
          <t>Brazil</t>
        </is>
      </c>
      <c r="Q30" s="13" t="inlineStr">
        <is>
          <t>S10-BR10007</t>
        </is>
      </c>
      <c r="R30" s="5" t="inlineStr">
        <is>
          <t>GUILHERME BENEVIDES</t>
        </is>
      </c>
      <c r="S30" s="8" t="n">
        <v>46073.87079861111</v>
      </c>
    </row>
    <row r="31" hidden="1" ht="29" customHeight="1">
      <c r="A31" s="15">
        <f>HYPERLINK("https://vtmf.veevavault.com/ui/#doc_info/27915612/2/0", "VTMF-22381658")</f>
        <v/>
      </c>
      <c r="B31" s="20" t="inlineStr">
        <is>
          <t>Yes</t>
        </is>
      </c>
      <c r="C31" s="5" t="inlineStr">
        <is>
          <t>2.0</t>
        </is>
      </c>
      <c r="D31" s="5" t="inlineStr">
        <is>
          <t>GCO</t>
        </is>
      </c>
      <c r="E31" s="5" t="inlineStr">
        <is>
          <t>42847922MDD3003</t>
        </is>
      </c>
      <c r="F31" s="16">
        <f>HYPERLINK("https://vtmf.veevavault.com/ui/#doc_info/27915612/2/0", "42847922MDD3003-USA-S10-US10234-Recruitment Plan-06 Dec 2024 (v2.0)")</f>
        <v/>
      </c>
      <c r="G31" s="5" t="inlineStr">
        <is>
          <t>Trial Management</t>
        </is>
      </c>
      <c r="H31" s="5" t="inlineStr">
        <is>
          <t>Trial Oversight</t>
        </is>
      </c>
      <c r="I31" s="5" t="inlineStr">
        <is>
          <t>Recruitment Plan</t>
        </is>
      </c>
      <c r="J31" s="5" t="inlineStr">
        <is>
          <t>Recruitment and Retention Plan, Murray</t>
        </is>
      </c>
      <c r="K31" s="6" t="n">
        <v>430</v>
      </c>
      <c r="L31" s="7" t="n">
        <v>45632</v>
      </c>
      <c r="M31" s="11" t="n">
        <v>46062</v>
      </c>
      <c r="N31" s="5" t="inlineStr">
        <is>
          <t>Approved</t>
        </is>
      </c>
      <c r="O31" s="5" t="inlineStr">
        <is>
          <t>Site</t>
        </is>
      </c>
      <c r="P31" s="5" t="inlineStr">
        <is>
          <t>United States</t>
        </is>
      </c>
      <c r="Q31" s="13" t="inlineStr">
        <is>
          <t>S10-US10234</t>
        </is>
      </c>
      <c r="R31" s="5" t="inlineStr">
        <is>
          <t>Najalynn Chandler</t>
        </is>
      </c>
      <c r="S31" s="8" t="n">
        <v>46063.18758101852</v>
      </c>
    </row>
    <row r="32" hidden="1">
      <c r="A32" s="15">
        <f>HYPERLINK("https://vtmf.veevavault.com/ui/#doc_info/27931468/3/0", "VTMF-22394292")</f>
        <v/>
      </c>
      <c r="B32" s="20" t="inlineStr">
        <is>
          <t>Yes</t>
        </is>
      </c>
      <c r="C32" s="5" t="inlineStr">
        <is>
          <t>3.0</t>
        </is>
      </c>
      <c r="D32" s="5" t="inlineStr">
        <is>
          <t>GCO</t>
        </is>
      </c>
      <c r="E32" s="5" t="inlineStr">
        <is>
          <t>42847922MDD3003</t>
        </is>
      </c>
      <c r="F32" s="16">
        <f>HYPERLINK("https://vtmf.veevavault.com/ui/#doc_info/27931468/3/0", "42847922MDD3003-SRB--Tracking Information-18 Dec 2024 (v3.0)")</f>
        <v/>
      </c>
      <c r="G32" s="5" t="inlineStr">
        <is>
          <t>Central Trial Documents</t>
        </is>
      </c>
      <c r="H32" s="5" t="inlineStr">
        <is>
          <t>General</t>
        </is>
      </c>
      <c r="I32" s="5" t="inlineStr">
        <is>
          <t>Tracking Information</t>
        </is>
      </c>
      <c r="J32" s="5" t="inlineStr">
        <is>
          <t>Master ICF Tracking_Serbia_18Dec2024</t>
        </is>
      </c>
      <c r="K32" s="6" t="n">
        <v>401</v>
      </c>
      <c r="L32" s="7" t="n">
        <v>45644</v>
      </c>
      <c r="M32" s="11" t="n">
        <v>46045</v>
      </c>
      <c r="N32" s="5" t="inlineStr">
        <is>
          <t>Approved</t>
        </is>
      </c>
      <c r="O32" s="5" t="inlineStr">
        <is>
          <t>Country</t>
        </is>
      </c>
      <c r="P32" s="5" t="inlineStr">
        <is>
          <t>Serbia</t>
        </is>
      </c>
      <c r="Q32" s="13" t="inlineStr"/>
      <c r="R32" s="5" t="inlineStr">
        <is>
          <t>Ivan Jajic</t>
        </is>
      </c>
      <c r="S32" s="8" t="n">
        <v>46045.57608796296</v>
      </c>
    </row>
    <row r="33" hidden="1" ht="29" customHeight="1">
      <c r="A33" s="15">
        <f>HYPERLINK("https://vtmf.veevavault.com/ui/#doc_info/28091005/3/0", "VTMF-22528230")</f>
        <v/>
      </c>
      <c r="B33" s="19" t="inlineStr">
        <is>
          <t>No</t>
        </is>
      </c>
      <c r="C33" s="5" t="inlineStr">
        <is>
          <t>3.0</t>
        </is>
      </c>
      <c r="D33" s="5" t="inlineStr">
        <is>
          <t>GCO</t>
        </is>
      </c>
      <c r="E33" s="5" t="inlineStr">
        <is>
          <t>42847922MDD3003</t>
        </is>
      </c>
      <c r="F33" s="16">
        <f>HYPERLINK("https://vtmf.veevavault.com/ui/#doc_info/28091005/3/0", "42847922MDD3003-TUR-S10-TR10008-Site Signature Sheet-25 Sep 2025 (v3.0)")</f>
        <v/>
      </c>
      <c r="G33" s="5" t="inlineStr">
        <is>
          <t>Site Management</t>
        </is>
      </c>
      <c r="H33" s="5" t="inlineStr">
        <is>
          <t>Site Set-up Documentation</t>
        </is>
      </c>
      <c r="I33" s="5" t="inlineStr">
        <is>
          <t>Site Signature Sheet</t>
        </is>
      </c>
      <c r="J33" s="5" t="inlineStr">
        <is>
          <t>Delegation Log_Ozkorumak Karaguzel, E</t>
        </is>
      </c>
      <c r="K33" s="6" t="n">
        <v>154</v>
      </c>
      <c r="L33" s="7" t="n">
        <v>45925</v>
      </c>
      <c r="M33" s="11" t="n">
        <v>46079</v>
      </c>
      <c r="N33" s="5" t="inlineStr">
        <is>
          <t>Approved</t>
        </is>
      </c>
      <c r="O33" s="5" t="inlineStr">
        <is>
          <t>Site</t>
        </is>
      </c>
      <c r="P33" s="5" t="inlineStr">
        <is>
          <t>Türkiye</t>
        </is>
      </c>
      <c r="Q33" s="13" t="inlineStr">
        <is>
          <t>S10-TR10008</t>
        </is>
      </c>
      <c r="R33" s="5" t="inlineStr">
        <is>
          <t>Yagmur Tugce Comert</t>
        </is>
      </c>
      <c r="S33" s="8" t="n">
        <v>46079.30332175926</v>
      </c>
    </row>
    <row r="34" hidden="1" ht="29" customHeight="1">
      <c r="A34" s="15">
        <f>HYPERLINK("https://vtmf.veevavault.com/ui/#doc_info/28201651/5/0", "VTMF-22617459")</f>
        <v/>
      </c>
      <c r="B34" s="19" t="inlineStr">
        <is>
          <t>No</t>
        </is>
      </c>
      <c r="C34" s="5" t="inlineStr">
        <is>
          <t>5.0</t>
        </is>
      </c>
      <c r="D34" s="5" t="inlineStr">
        <is>
          <t>GCO</t>
        </is>
      </c>
      <c r="E34" s="5" t="inlineStr">
        <is>
          <t>42847922MDD3003</t>
        </is>
      </c>
      <c r="F34" s="16">
        <f>HYPERLINK("https://vtmf.veevavault.com/ui/#doc_info/28201651/5/0", "42847922MDD3003-BRA-S10-BR10007-Site Signature Sheet-26 Mar 2025 (v5.0)")</f>
        <v/>
      </c>
      <c r="G34" s="5" t="inlineStr">
        <is>
          <t>Site Management</t>
        </is>
      </c>
      <c r="H34" s="5" t="inlineStr">
        <is>
          <t>Site Set-up Documentation</t>
        </is>
      </c>
      <c r="I34" s="5" t="inlineStr">
        <is>
          <t>Site Signature Sheet</t>
        </is>
      </c>
      <c r="J34" s="5" t="inlineStr">
        <is>
          <t>Delegation Log_Nunes, E ; 26 Mar 2025</t>
        </is>
      </c>
      <c r="K34" s="6" t="n">
        <v>342</v>
      </c>
      <c r="L34" s="7" t="n">
        <v>45742</v>
      </c>
      <c r="M34" s="11" t="n">
        <v>46084</v>
      </c>
      <c r="N34" s="5" t="inlineStr">
        <is>
          <t>Approved</t>
        </is>
      </c>
      <c r="O34" s="5" t="inlineStr">
        <is>
          <t>Site</t>
        </is>
      </c>
      <c r="P34" s="5" t="inlineStr">
        <is>
          <t>Brazil</t>
        </is>
      </c>
      <c r="Q34" s="13" t="inlineStr">
        <is>
          <t>S10-BR10007</t>
        </is>
      </c>
      <c r="R34" s="5" t="inlineStr">
        <is>
          <t>GUILHERME BENEVIDES</t>
        </is>
      </c>
      <c r="S34" s="8" t="n">
        <v>46084.01431712963</v>
      </c>
    </row>
    <row r="35" hidden="1" ht="29" customHeight="1">
      <c r="A35" s="15">
        <f>HYPERLINK("https://vtmf.veevavault.com/ui/#doc_info/28201682/2/0", "VTMF-22617537")</f>
        <v/>
      </c>
      <c r="B35" s="19" t="inlineStr">
        <is>
          <t>No</t>
        </is>
      </c>
      <c r="C35" s="5" t="inlineStr">
        <is>
          <t>2.0</t>
        </is>
      </c>
      <c r="D35" s="5" t="inlineStr">
        <is>
          <t>GCO</t>
        </is>
      </c>
      <c r="E35" s="5" t="inlineStr">
        <is>
          <t>42847922MDD3003</t>
        </is>
      </c>
      <c r="F35" s="16">
        <f>HYPERLINK("https://vtmf.veevavault.com/ui/#doc_info/28201682/2/0", "42847922MDD3003-SWE-S10-SE10001-Other Curriculum Vitae-05 Mar 2025 (v2.0)")</f>
        <v/>
      </c>
      <c r="G35" s="5" t="inlineStr">
        <is>
          <t>Site Management</t>
        </is>
      </c>
      <c r="H35" s="5" t="inlineStr">
        <is>
          <t>Site Set-up Documentation</t>
        </is>
      </c>
      <c r="I35" s="5" t="inlineStr">
        <is>
          <t>Other Curriculum Vitae</t>
        </is>
      </c>
      <c r="J35" s="5" t="inlineStr">
        <is>
          <t>CV_eng_Fridh, C, Revised</t>
        </is>
      </c>
      <c r="K35" s="6" t="n">
        <v>369</v>
      </c>
      <c r="L35" s="7" t="n">
        <v>45721</v>
      </c>
      <c r="M35" s="11" t="n">
        <v>46090</v>
      </c>
      <c r="N35" s="5" t="inlineStr">
        <is>
          <t>Approved</t>
        </is>
      </c>
      <c r="O35" s="5" t="inlineStr">
        <is>
          <t>Site</t>
        </is>
      </c>
      <c r="P35" s="5" t="inlineStr">
        <is>
          <t>Sweden</t>
        </is>
      </c>
      <c r="Q35" s="13" t="inlineStr">
        <is>
          <t>S10-SE10001, S10-SE10002</t>
        </is>
      </c>
      <c r="R35" s="5" t="inlineStr">
        <is>
          <t>Marcus Nilsson</t>
        </is>
      </c>
      <c r="S35" s="8" t="n">
        <v>46090.3819212963</v>
      </c>
    </row>
    <row r="36" hidden="1" ht="29" customHeight="1">
      <c r="A36" s="15">
        <f>HYPERLINK("https://vtmf.veevavault.com/ui/#doc_info/28202999/8/0", "VTMF-22618734")</f>
        <v/>
      </c>
      <c r="B36" s="19" t="inlineStr">
        <is>
          <t>No</t>
        </is>
      </c>
      <c r="C36" s="5" t="inlineStr">
        <is>
          <t>8.0</t>
        </is>
      </c>
      <c r="D36" s="5" t="inlineStr">
        <is>
          <t>GCO</t>
        </is>
      </c>
      <c r="E36" s="5" t="inlineStr">
        <is>
          <t>42847922MDD3003</t>
        </is>
      </c>
      <c r="F36" s="16">
        <f>HYPERLINK("https://vtmf.veevavault.com/ui/#doc_info/28202999/8/0", "42847922MDD3003-USA-S10-US10256-Site Signature Sheet-25 Jun 2025 (v8.0)")</f>
        <v/>
      </c>
      <c r="G36" s="5" t="inlineStr">
        <is>
          <t>Site Management</t>
        </is>
      </c>
      <c r="H36" s="5" t="inlineStr">
        <is>
          <t>Site Set-up Documentation</t>
        </is>
      </c>
      <c r="I36" s="5" t="inlineStr">
        <is>
          <t>Site Signature Sheet</t>
        </is>
      </c>
      <c r="J36" s="5" t="inlineStr">
        <is>
          <t>Delegation Log_Ummed, N</t>
        </is>
      </c>
      <c r="K36" s="6" t="n">
        <v>212</v>
      </c>
      <c r="L36" s="7" t="n">
        <v>45833</v>
      </c>
      <c r="M36" s="11" t="n">
        <v>46045</v>
      </c>
      <c r="N36" s="5" t="inlineStr">
        <is>
          <t>Superseded</t>
        </is>
      </c>
      <c r="O36" s="5" t="inlineStr">
        <is>
          <t>Site</t>
        </is>
      </c>
      <c r="P36" s="5" t="inlineStr">
        <is>
          <t>United States</t>
        </is>
      </c>
      <c r="Q36" s="13" t="inlineStr">
        <is>
          <t>S10-US10256</t>
        </is>
      </c>
      <c r="R36" s="5" t="inlineStr">
        <is>
          <t>Najalynn Chandler</t>
        </is>
      </c>
      <c r="S36" s="8" t="n">
        <v>46045.96990740741</v>
      </c>
    </row>
    <row r="37" hidden="1" ht="29" customHeight="1">
      <c r="A37" s="15">
        <f>HYPERLINK("https://vtmf.veevavault.com/ui/#doc_info/28202999/9/0", "VTMF-22618734")</f>
        <v/>
      </c>
      <c r="B37" s="19" t="inlineStr">
        <is>
          <t>No</t>
        </is>
      </c>
      <c r="C37" s="5" t="inlineStr">
        <is>
          <t>9.0</t>
        </is>
      </c>
      <c r="D37" s="5" t="inlineStr">
        <is>
          <t>GCO</t>
        </is>
      </c>
      <c r="E37" s="5" t="inlineStr">
        <is>
          <t>42847922MDD3003</t>
        </is>
      </c>
      <c r="F37" s="16">
        <f>HYPERLINK("https://vtmf.veevavault.com/ui/#doc_info/28202999/9/0", "42847922MDD3003-USA-S10-US10256-Site Signature Sheet-25 Jun 2025 (v9.0)")</f>
        <v/>
      </c>
      <c r="G37" s="5" t="inlineStr">
        <is>
          <t>Site Management</t>
        </is>
      </c>
      <c r="H37" s="5" t="inlineStr">
        <is>
          <t>Site Set-up Documentation</t>
        </is>
      </c>
      <c r="I37" s="5" t="inlineStr">
        <is>
          <t>Site Signature Sheet</t>
        </is>
      </c>
      <c r="J37" s="5" t="inlineStr">
        <is>
          <t>Delegation Log_Ummed, N</t>
        </is>
      </c>
      <c r="K37" s="6" t="n">
        <v>265</v>
      </c>
      <c r="L37" s="7" t="n">
        <v>45833</v>
      </c>
      <c r="M37" s="11" t="n">
        <v>46098</v>
      </c>
      <c r="N37" s="5" t="inlineStr">
        <is>
          <t>Approved</t>
        </is>
      </c>
      <c r="O37" s="5" t="inlineStr">
        <is>
          <t>Site</t>
        </is>
      </c>
      <c r="P37" s="5" t="inlineStr">
        <is>
          <t>United States</t>
        </is>
      </c>
      <c r="Q37" s="13" t="inlineStr">
        <is>
          <t>S10-US10256</t>
        </is>
      </c>
      <c r="R37" s="5" t="inlineStr">
        <is>
          <t>Najalynn Chandler</t>
        </is>
      </c>
      <c r="S37" s="8" t="n">
        <v>46098.6866087963</v>
      </c>
    </row>
    <row r="38" hidden="1" ht="29" customHeight="1">
      <c r="A38" s="15">
        <f>HYPERLINK("https://vtmf.veevavault.com/ui/#doc_info/28619417/2/0", "VTMF-22987036")</f>
        <v/>
      </c>
      <c r="B38" s="19" t="inlineStr">
        <is>
          <t>No</t>
        </is>
      </c>
      <c r="C38" s="5" t="inlineStr">
        <is>
          <t>2.0</t>
        </is>
      </c>
      <c r="D38" s="5" t="inlineStr">
        <is>
          <t>GCO</t>
        </is>
      </c>
      <c r="E38" s="5" t="inlineStr">
        <is>
          <t>42847922MDD3003</t>
        </is>
      </c>
      <c r="F38" s="16">
        <f>HYPERLINK("https://vtmf.veevavault.com/ui/#doc_info/28619417/2/0", "42847922MDD3003-SWE-S10-SE10002-Site-Specific Master Pregnant ICF-08 Apr 2024 (v2.0)")</f>
        <v/>
      </c>
      <c r="G38" s="5" t="inlineStr">
        <is>
          <t>Central Trial Documents</t>
        </is>
      </c>
      <c r="H38" s="5" t="inlineStr">
        <is>
          <t>Subject Documents</t>
        </is>
      </c>
      <c r="I38" s="5" t="inlineStr">
        <is>
          <t>Site-specific Master Pregnant Partner Informed Consent Form</t>
        </is>
      </c>
      <c r="J38" s="5" t="inlineStr">
        <is>
          <t>ICF Pregnant Partner_swe_v1_Approved 03Mar25</t>
        </is>
      </c>
      <c r="K38" s="6" t="n">
        <v>707</v>
      </c>
      <c r="L38" s="7" t="n">
        <v>45390</v>
      </c>
      <c r="M38" s="11" t="n">
        <v>46097</v>
      </c>
      <c r="N38" s="5" t="inlineStr">
        <is>
          <t>Approved</t>
        </is>
      </c>
      <c r="O38" s="5" t="inlineStr">
        <is>
          <t>Site</t>
        </is>
      </c>
      <c r="P38" s="5" t="inlineStr">
        <is>
          <t>Sweden</t>
        </is>
      </c>
      <c r="Q38" s="13" t="inlineStr">
        <is>
          <t>S10-SE10002</t>
        </is>
      </c>
      <c r="R38" s="5" t="inlineStr">
        <is>
          <t>Marcus Nilsson</t>
        </is>
      </c>
      <c r="S38" s="8" t="n">
        <v>46097.64421296296</v>
      </c>
    </row>
    <row r="39" hidden="1" ht="29" customHeight="1">
      <c r="A39" s="15">
        <f>HYPERLINK("https://vtmf.veevavault.com/ui/#doc_info/28619418/2/0", "VTMF-22987037")</f>
        <v/>
      </c>
      <c r="B39" s="19" t="inlineStr">
        <is>
          <t>No</t>
        </is>
      </c>
      <c r="C39" s="5" t="inlineStr">
        <is>
          <t>2.0</t>
        </is>
      </c>
      <c r="D39" s="5" t="inlineStr">
        <is>
          <t>GCO</t>
        </is>
      </c>
      <c r="E39" s="5" t="inlineStr">
        <is>
          <t>42847922MDD3003</t>
        </is>
      </c>
      <c r="F39" s="16">
        <f>HYPERLINK("https://vtmf.veevavault.com/ui/#doc_info/28619418/2/0", "42847922MDD3003-SWE-S10-SE10001-Site-Specific Master Pregnant ICF-08 Apr 2024 (v2.0)")</f>
        <v/>
      </c>
      <c r="G39" s="5" t="inlineStr">
        <is>
          <t>Central Trial Documents</t>
        </is>
      </c>
      <c r="H39" s="5" t="inlineStr">
        <is>
          <t>Subject Documents</t>
        </is>
      </c>
      <c r="I39" s="5" t="inlineStr">
        <is>
          <t>Site-specific Master Pregnant Partner Informed Consent Form</t>
        </is>
      </c>
      <c r="J39" s="5" t="inlineStr">
        <is>
          <t>ICF Pregnant Partner_swe_v1_Approved 03Mar25</t>
        </is>
      </c>
      <c r="K39" s="6" t="n">
        <v>707</v>
      </c>
      <c r="L39" s="7" t="n">
        <v>45390</v>
      </c>
      <c r="M39" s="11" t="n">
        <v>46097</v>
      </c>
      <c r="N39" s="5" t="inlineStr">
        <is>
          <t>Approved</t>
        </is>
      </c>
      <c r="O39" s="5" t="inlineStr">
        <is>
          <t>Site</t>
        </is>
      </c>
      <c r="P39" s="5" t="inlineStr">
        <is>
          <t>Sweden</t>
        </is>
      </c>
      <c r="Q39" s="13" t="inlineStr">
        <is>
          <t>S10-SE10001</t>
        </is>
      </c>
      <c r="R39" s="5" t="inlineStr">
        <is>
          <t>Marcus Nilsson</t>
        </is>
      </c>
      <c r="S39" s="8" t="n">
        <v>46097.64174768519</v>
      </c>
    </row>
    <row r="40" hidden="1" ht="29" customHeight="1">
      <c r="A40" s="15">
        <f>HYPERLINK("https://vtmf.veevavault.com/ui/#doc_info/29039749/5/0", "VTMF-23332388")</f>
        <v/>
      </c>
      <c r="B40" s="19" t="inlineStr">
        <is>
          <t>No</t>
        </is>
      </c>
      <c r="C40" s="5" t="inlineStr">
        <is>
          <t>5.0</t>
        </is>
      </c>
      <c r="D40" s="5" t="inlineStr">
        <is>
          <t>GCO</t>
        </is>
      </c>
      <c r="E40" s="5" t="inlineStr">
        <is>
          <t>42847922MDD3003</t>
        </is>
      </c>
      <c r="F40" s="16">
        <f>HYPERLINK("https://vtmf.veevavault.com/ui/#doc_info/29039749/5/0", "42847922MDD3003-USA-S10-US10015-Site Signature Sheet-23 Feb 2026 (v5.0)")</f>
        <v/>
      </c>
      <c r="G40" s="5" t="inlineStr">
        <is>
          <t>Site Management</t>
        </is>
      </c>
      <c r="H40" s="5" t="inlineStr">
        <is>
          <t>Site Set-up Documentation</t>
        </is>
      </c>
      <c r="I40" s="5" t="inlineStr">
        <is>
          <t>Site Signature Sheet</t>
        </is>
      </c>
      <c r="J40" s="5" t="inlineStr">
        <is>
          <t>Delegation Log_Carr, J</t>
        </is>
      </c>
      <c r="K40" s="6" t="n">
        <v>52</v>
      </c>
      <c r="L40" s="7" t="n">
        <v>46076</v>
      </c>
      <c r="M40" s="11" t="n">
        <v>46128</v>
      </c>
      <c r="N40" s="5" t="inlineStr">
        <is>
          <t>Approved</t>
        </is>
      </c>
      <c r="O40" s="5" t="inlineStr">
        <is>
          <t>Site</t>
        </is>
      </c>
      <c r="P40" s="5" t="inlineStr">
        <is>
          <t>United States</t>
        </is>
      </c>
      <c r="Q40" s="13" t="inlineStr">
        <is>
          <t>S10-US10015</t>
        </is>
      </c>
      <c r="R40" s="5" t="inlineStr">
        <is>
          <t>Rafael Garibay Rodriguez</t>
        </is>
      </c>
      <c r="S40" s="8" t="n">
        <v>46128.2797337963</v>
      </c>
    </row>
    <row r="41" hidden="1" ht="29" customHeight="1">
      <c r="A41" s="15">
        <f>HYPERLINK("https://vtmf.veevavault.com/ui/#doc_info/29067259/2/0", "VTMF-23356454")</f>
        <v/>
      </c>
      <c r="B41" s="19" t="inlineStr">
        <is>
          <t>No</t>
        </is>
      </c>
      <c r="C41" s="5" t="inlineStr">
        <is>
          <t>2.0</t>
        </is>
      </c>
      <c r="D41" s="5" t="inlineStr">
        <is>
          <t>GCO</t>
        </is>
      </c>
      <c r="E41" s="5" t="inlineStr">
        <is>
          <t>42847922MDD3003</t>
        </is>
      </c>
      <c r="F41" s="16">
        <f>HYPERLINK("https://vtmf.veevavault.com/ui/#doc_info/29067259/2/0", "42847922MDD3003-ROU-S10-RO10012-Site Signature Sheet-05 Feb 2026 (v2.0)")</f>
        <v/>
      </c>
      <c r="G41" s="5" t="inlineStr">
        <is>
          <t>Site Management</t>
        </is>
      </c>
      <c r="H41" s="5" t="inlineStr">
        <is>
          <t>Site Set-up Documentation</t>
        </is>
      </c>
      <c r="I41" s="5" t="inlineStr">
        <is>
          <t>Site Signature Sheet</t>
        </is>
      </c>
      <c r="J41" s="5" t="inlineStr">
        <is>
          <t>Delegation Log_Modoranu, R_Final</t>
        </is>
      </c>
      <c r="K41" s="6" t="n">
        <v>33</v>
      </c>
      <c r="L41" s="7" t="n">
        <v>46058</v>
      </c>
      <c r="M41" s="11" t="n">
        <v>46091</v>
      </c>
      <c r="N41" s="5" t="inlineStr">
        <is>
          <t>Approved</t>
        </is>
      </c>
      <c r="O41" s="5" t="inlineStr">
        <is>
          <t>Site</t>
        </is>
      </c>
      <c r="P41" s="5" t="inlineStr">
        <is>
          <t>Romania</t>
        </is>
      </c>
      <c r="Q41" s="13" t="inlineStr">
        <is>
          <t>S10-RO10012</t>
        </is>
      </c>
      <c r="R41" s="5" t="inlineStr">
        <is>
          <t>Alexandra Matache</t>
        </is>
      </c>
      <c r="S41" s="8" t="n">
        <v>46091.57233796296</v>
      </c>
    </row>
    <row r="42" hidden="1" ht="29" customHeight="1">
      <c r="A42" s="15">
        <f>HYPERLINK("https://vtmf.veevavault.com/ui/#doc_info/29070900/4/0", "VTMF-23357904")</f>
        <v/>
      </c>
      <c r="B42" s="19" t="inlineStr">
        <is>
          <t>No</t>
        </is>
      </c>
      <c r="C42" s="5" t="inlineStr">
        <is>
          <t>4.0</t>
        </is>
      </c>
      <c r="D42" s="5" t="inlineStr">
        <is>
          <t>GCO</t>
        </is>
      </c>
      <c r="E42" s="5" t="inlineStr">
        <is>
          <t>42847922MDD3003</t>
        </is>
      </c>
      <c r="F42" s="16">
        <f>HYPERLINK("https://vtmf.veevavault.com/ui/#doc_info/29070900/4/0", "42847922MDD3003-USA-S10-US10071-Site Signature Sheet-07 Jan 2026 (v4.0)")</f>
        <v/>
      </c>
      <c r="G42" s="5" t="inlineStr">
        <is>
          <t>Site Management</t>
        </is>
      </c>
      <c r="H42" s="5" t="inlineStr">
        <is>
          <t>Site Set-up Documentation</t>
        </is>
      </c>
      <c r="I42" s="5" t="inlineStr">
        <is>
          <t>Site Signature Sheet</t>
        </is>
      </c>
      <c r="J42" s="5" t="inlineStr">
        <is>
          <t>Delegation Log_07Jan2026</t>
        </is>
      </c>
      <c r="K42" s="6" t="n">
        <v>97</v>
      </c>
      <c r="L42" s="7" t="n">
        <v>46029</v>
      </c>
      <c r="M42" s="11" t="n">
        <v>46126</v>
      </c>
      <c r="N42" s="5" t="inlineStr">
        <is>
          <t>Approved</t>
        </is>
      </c>
      <c r="O42" s="5" t="inlineStr">
        <is>
          <t>Site</t>
        </is>
      </c>
      <c r="P42" s="5" t="inlineStr">
        <is>
          <t>United States</t>
        </is>
      </c>
      <c r="Q42" s="13" t="inlineStr">
        <is>
          <t>S10-US10071</t>
        </is>
      </c>
      <c r="R42" s="5" t="inlineStr">
        <is>
          <t>Jacob Stodart</t>
        </is>
      </c>
      <c r="S42" s="8" t="n">
        <v>46126.7066550926</v>
      </c>
    </row>
    <row r="43" hidden="1" ht="29" customHeight="1">
      <c r="A43" s="15">
        <f>HYPERLINK("https://vtmf.veevavault.com/ui/#doc_info/29071186/2/0", "VTMF-23358185")</f>
        <v/>
      </c>
      <c r="B43" s="19" t="inlineStr">
        <is>
          <t>No</t>
        </is>
      </c>
      <c r="C43" s="5" t="inlineStr">
        <is>
          <t>2.0</t>
        </is>
      </c>
      <c r="D43" s="5" t="inlineStr">
        <is>
          <t>GCO</t>
        </is>
      </c>
      <c r="E43" s="5" t="inlineStr">
        <is>
          <t>42847922MDD3003</t>
        </is>
      </c>
      <c r="F43" s="16">
        <f>HYPERLINK("https://vtmf.veevavault.com/ui/#doc_info/29071186/2/0", "42847922MDD3003-PRT-S10-PT10012-Site Signature Sheet-11 Sep 2025 (v2.0)")</f>
        <v/>
      </c>
      <c r="G43" s="5" t="inlineStr">
        <is>
          <t>Site Management</t>
        </is>
      </c>
      <c r="H43" s="5" t="inlineStr">
        <is>
          <t>Site Set-up Documentation</t>
        </is>
      </c>
      <c r="I43" s="5" t="inlineStr">
        <is>
          <t>Site Signature Sheet</t>
        </is>
      </c>
      <c r="J43" s="5" t="inlineStr">
        <is>
          <t>Delegation Log</t>
        </is>
      </c>
      <c r="K43" s="6" t="n">
        <v>167</v>
      </c>
      <c r="L43" s="7" t="n">
        <v>45911</v>
      </c>
      <c r="M43" s="11" t="n">
        <v>46078</v>
      </c>
      <c r="N43" s="5" t="inlineStr">
        <is>
          <t>Approved</t>
        </is>
      </c>
      <c r="O43" s="5" t="inlineStr">
        <is>
          <t>Site</t>
        </is>
      </c>
      <c r="P43" s="5" t="inlineStr">
        <is>
          <t>Portugal</t>
        </is>
      </c>
      <c r="Q43" s="13" t="inlineStr">
        <is>
          <t>S10-PT10012</t>
        </is>
      </c>
      <c r="R43" s="5" t="inlineStr">
        <is>
          <t>Ruben Ayora</t>
        </is>
      </c>
      <c r="S43" s="8" t="n">
        <v>46078.43305555556</v>
      </c>
    </row>
    <row r="44" hidden="1" ht="29" customHeight="1">
      <c r="A44" s="15">
        <f>HYPERLINK("https://vtmf.veevavault.com/ui/#doc_info/29117238/2/0", "VTMF-23398095")</f>
        <v/>
      </c>
      <c r="B44" s="19" t="inlineStr">
        <is>
          <t>No</t>
        </is>
      </c>
      <c r="C44" s="5" t="inlineStr">
        <is>
          <t>2.0</t>
        </is>
      </c>
      <c r="D44" s="5" t="inlineStr">
        <is>
          <t>GCO</t>
        </is>
      </c>
      <c r="E44" s="5" t="inlineStr">
        <is>
          <t>42847922MDD3003</t>
        </is>
      </c>
      <c r="F44" s="16">
        <f>HYPERLINK("https://vtmf.veevavault.com/ui/#doc_info/29117238/2/0", "42847922MDD3003-PRT-S10-PT10002-Site Signature Sheet-24 Feb 2026 (v2.0)")</f>
        <v/>
      </c>
      <c r="G44" s="5" t="inlineStr">
        <is>
          <t>Site Management</t>
        </is>
      </c>
      <c r="H44" s="5" t="inlineStr">
        <is>
          <t>Site Set-up Documentation</t>
        </is>
      </c>
      <c r="I44" s="5" t="inlineStr">
        <is>
          <t>Site Signature Sheet</t>
        </is>
      </c>
      <c r="J44" s="5" t="inlineStr">
        <is>
          <t>Delegation Log</t>
        </is>
      </c>
      <c r="K44" s="6" t="n">
        <v>36</v>
      </c>
      <c r="L44" s="7" t="n">
        <v>46077</v>
      </c>
      <c r="M44" s="11" t="n">
        <v>46113</v>
      </c>
      <c r="N44" s="5" t="inlineStr">
        <is>
          <t>Approved</t>
        </is>
      </c>
      <c r="O44" s="5" t="inlineStr">
        <is>
          <t>Site</t>
        </is>
      </c>
      <c r="P44" s="5" t="inlineStr">
        <is>
          <t>Portugal</t>
        </is>
      </c>
      <c r="Q44" s="13" t="inlineStr">
        <is>
          <t>S10-PT10002</t>
        </is>
      </c>
      <c r="R44" s="5" t="inlineStr">
        <is>
          <t>Jose Luis Alvarez Doval</t>
        </is>
      </c>
      <c r="S44" s="8" t="n">
        <v>46113.69259259259</v>
      </c>
    </row>
    <row r="45" hidden="1" ht="29" customHeight="1">
      <c r="A45" s="15">
        <f>HYPERLINK("https://vtmf.veevavault.com/ui/#doc_info/29197720/2/0", "VTMF-23468020")</f>
        <v/>
      </c>
      <c r="B45" s="19" t="inlineStr">
        <is>
          <t>No</t>
        </is>
      </c>
      <c r="C45" s="5" t="inlineStr">
        <is>
          <t>2.0</t>
        </is>
      </c>
      <c r="D45" s="5" t="inlineStr">
        <is>
          <t>GCO</t>
        </is>
      </c>
      <c r="E45" s="5" t="inlineStr">
        <is>
          <t>42847922MDD3003</t>
        </is>
      </c>
      <c r="F45" s="16">
        <f>HYPERLINK("https://vtmf.veevavault.com/ui/#doc_info/29197720/2/0", "42847922MDD3003-SWE-S10-SE10009-Site Signature Sheet-10 Apr 2025 (v2.0)")</f>
        <v/>
      </c>
      <c r="G45" s="5" t="inlineStr">
        <is>
          <t>Site Management</t>
        </is>
      </c>
      <c r="H45" s="5" t="inlineStr">
        <is>
          <t>Site Set-up Documentation</t>
        </is>
      </c>
      <c r="I45" s="5" t="inlineStr">
        <is>
          <t>Site Signature Sheet</t>
        </is>
      </c>
      <c r="J45" s="5" t="inlineStr">
        <is>
          <t>Delegation Log_Jonsson, S</t>
        </is>
      </c>
      <c r="K45" s="6" t="n">
        <v>286</v>
      </c>
      <c r="L45" s="7" t="n">
        <v>45757</v>
      </c>
      <c r="M45" s="11" t="n">
        <v>46043</v>
      </c>
      <c r="N45" s="5" t="inlineStr">
        <is>
          <t>Approved</t>
        </is>
      </c>
      <c r="O45" s="5" t="inlineStr">
        <is>
          <t>Site</t>
        </is>
      </c>
      <c r="P45" s="5" t="inlineStr">
        <is>
          <t>Sweden</t>
        </is>
      </c>
      <c r="Q45" s="13" t="inlineStr">
        <is>
          <t>S10-SE10009</t>
        </is>
      </c>
      <c r="R45" s="5" t="inlineStr">
        <is>
          <t>Victoria Rye</t>
        </is>
      </c>
      <c r="S45" s="8" t="n">
        <v>46043.68899305556</v>
      </c>
    </row>
    <row r="46" hidden="1" ht="29" customHeight="1">
      <c r="A46" s="15">
        <f>HYPERLINK("https://vtmf.veevavault.com/ui/#doc_info/29219720/2/0", "VTMF-23485652")</f>
        <v/>
      </c>
      <c r="B46" s="19" t="inlineStr">
        <is>
          <t>No</t>
        </is>
      </c>
      <c r="C46" s="5" t="inlineStr">
        <is>
          <t>2.0</t>
        </is>
      </c>
      <c r="D46" s="5" t="inlineStr">
        <is>
          <t>GCO</t>
        </is>
      </c>
      <c r="E46" s="5" t="inlineStr">
        <is>
          <t>42847922MDD3003</t>
        </is>
      </c>
      <c r="F46" s="16">
        <f>HYPERLINK("https://vtmf.veevavault.com/ui/#doc_info/29219720/2/0", "42847922MDD3003-ITA-S10-IT10008-Site Signature Sheet-30 Jan 2026 (v2.0)")</f>
        <v/>
      </c>
      <c r="G46" s="5" t="inlineStr">
        <is>
          <t>Site Management</t>
        </is>
      </c>
      <c r="H46" s="5" t="inlineStr">
        <is>
          <t>Site Set-up Documentation</t>
        </is>
      </c>
      <c r="I46" s="5" t="inlineStr">
        <is>
          <t>Site Signature Sheet</t>
        </is>
      </c>
      <c r="J46" s="5" t="inlineStr">
        <is>
          <t>Delegation Log_initial_29apr2025</t>
        </is>
      </c>
      <c r="K46" s="6" t="n">
        <v>62</v>
      </c>
      <c r="L46" s="7" t="n">
        <v>46052</v>
      </c>
      <c r="M46" s="11" t="n">
        <v>46114</v>
      </c>
      <c r="N46" s="5" t="inlineStr">
        <is>
          <t>Approved</t>
        </is>
      </c>
      <c r="O46" s="5" t="inlineStr">
        <is>
          <t>Site</t>
        </is>
      </c>
      <c r="P46" s="5" t="inlineStr">
        <is>
          <t>Italy</t>
        </is>
      </c>
      <c r="Q46" s="13" t="inlineStr">
        <is>
          <t>S10-IT10008</t>
        </is>
      </c>
      <c r="R46" s="5" t="inlineStr">
        <is>
          <t>Silvia Corbetta</t>
        </is>
      </c>
      <c r="S46" s="8" t="n">
        <v>46114.87125</v>
      </c>
    </row>
    <row r="47" hidden="1" ht="29" customHeight="1">
      <c r="A47" s="15">
        <f>HYPERLINK("https://vtmf.veevavault.com/ui/#doc_info/29353953/2/0", "VTMF-23597555")</f>
        <v/>
      </c>
      <c r="B47" s="20" t="inlineStr">
        <is>
          <t>Yes</t>
        </is>
      </c>
      <c r="C47" s="5" t="inlineStr">
        <is>
          <t>2.0</t>
        </is>
      </c>
      <c r="D47" s="5" t="inlineStr">
        <is>
          <t>GCO</t>
        </is>
      </c>
      <c r="E47" s="5" t="inlineStr">
        <is>
          <t>42847922MDD3003</t>
        </is>
      </c>
      <c r="F47" s="16">
        <f>HYPERLINK("https://vtmf.veevavault.com/ui/#doc_info/29353953/2/0", "42847922MDD3003-USA-S10-US10041-Quality Review Documentation-13 Jun 2025 (v2.0)")</f>
        <v/>
      </c>
      <c r="G47" s="5" t="inlineStr">
        <is>
          <t>Trial Management</t>
        </is>
      </c>
      <c r="H47" s="5" t="inlineStr">
        <is>
          <t>Trial Oversight</t>
        </is>
      </c>
      <c r="I47" s="5" t="inlineStr">
        <is>
          <t>Quality Review Documentation</t>
        </is>
      </c>
      <c r="J47" s="5" t="inlineStr">
        <is>
          <t>Quality Review Confirmation Form_Annual</t>
        </is>
      </c>
      <c r="K47" s="6" t="n">
        <v>294</v>
      </c>
      <c r="L47" s="7" t="n">
        <v>45821</v>
      </c>
      <c r="M47" s="11" t="n">
        <v>46115</v>
      </c>
      <c r="N47" s="5" t="inlineStr">
        <is>
          <t>Approved</t>
        </is>
      </c>
      <c r="O47" s="5" t="inlineStr">
        <is>
          <t>Site</t>
        </is>
      </c>
      <c r="P47" s="5" t="inlineStr">
        <is>
          <t>United States</t>
        </is>
      </c>
      <c r="Q47" s="13" t="inlineStr">
        <is>
          <t>S10-US10041</t>
        </is>
      </c>
      <c r="R47" s="5" t="inlineStr">
        <is>
          <t>Daniel Woodland</t>
        </is>
      </c>
      <c r="S47" s="8" t="n">
        <v>46115.77221064815</v>
      </c>
    </row>
    <row r="48" hidden="1" ht="29" customHeight="1">
      <c r="A48" s="15">
        <f>HYPERLINK("https://vtmf.veevavault.com/ui/#doc_info/29450208/2/0", "VTMF-23682732")</f>
        <v/>
      </c>
      <c r="B48" s="20" t="inlineStr">
        <is>
          <t>Yes</t>
        </is>
      </c>
      <c r="C48" s="5" t="inlineStr">
        <is>
          <t>2.0</t>
        </is>
      </c>
      <c r="D48" s="5" t="inlineStr">
        <is>
          <t>GCO</t>
        </is>
      </c>
      <c r="E48" s="5" t="inlineStr">
        <is>
          <t>42847922MDD3003</t>
        </is>
      </c>
      <c r="F48" s="16">
        <f>HYPERLINK("https://vtmf.veevavault.com/ui/#doc_info/29450208/2/0", "42847922MDD3003-USA-S10-US10164-Quality Review Documentation-26 Jun 2025 (v2.0)")</f>
        <v/>
      </c>
      <c r="G48" s="5" t="inlineStr">
        <is>
          <t>Trial Management</t>
        </is>
      </c>
      <c r="H48" s="5" t="inlineStr">
        <is>
          <t>Trial Oversight</t>
        </is>
      </c>
      <c r="I48" s="5" t="inlineStr">
        <is>
          <t>Quality Review Documentation</t>
        </is>
      </c>
      <c r="J48" s="5" t="inlineStr">
        <is>
          <t>GCO Quality Review Evidence Report_Annual ; 26 June 2025 - 02 February 2026</t>
        </is>
      </c>
      <c r="K48" s="6" t="n">
        <v>221</v>
      </c>
      <c r="L48" s="7" t="n">
        <v>45834</v>
      </c>
      <c r="M48" s="11" t="n">
        <v>46055</v>
      </c>
      <c r="N48" s="5" t="inlineStr">
        <is>
          <t>Approved</t>
        </is>
      </c>
      <c r="O48" s="5" t="inlineStr">
        <is>
          <t>Site</t>
        </is>
      </c>
      <c r="P48" s="5" t="inlineStr">
        <is>
          <t>United States</t>
        </is>
      </c>
      <c r="Q48" s="13" t="inlineStr">
        <is>
          <t>S10-US10164</t>
        </is>
      </c>
      <c r="R48" s="5" t="inlineStr">
        <is>
          <t>Shana Hughes</t>
        </is>
      </c>
      <c r="S48" s="8" t="n">
        <v>46055.99865740741</v>
      </c>
    </row>
    <row r="49" hidden="1" ht="29" customHeight="1">
      <c r="A49" s="15">
        <f>HYPERLINK("https://vtmf.veevavault.com/ui/#doc_info/29459066/2/0", "VTMF-23690600")</f>
        <v/>
      </c>
      <c r="B49" s="19" t="inlineStr">
        <is>
          <t>No</t>
        </is>
      </c>
      <c r="C49" s="5" t="inlineStr">
        <is>
          <t>2.0</t>
        </is>
      </c>
      <c r="D49" s="5" t="inlineStr">
        <is>
          <t>GCO</t>
        </is>
      </c>
      <c r="E49" s="5" t="inlineStr">
        <is>
          <t>42847922MDD3003</t>
        </is>
      </c>
      <c r="F49" s="16">
        <f>HYPERLINK("https://vtmf.veevavault.com/ui/#doc_info/29459066/2/0", "42847922MDD3003-COL-S10-CO10003-Clinical Trial Agreement-24 Feb 2026 (v2.0)")</f>
        <v/>
      </c>
      <c r="G49" s="5" t="inlineStr">
        <is>
          <t>Site Management</t>
        </is>
      </c>
      <c r="H49" s="5" t="inlineStr">
        <is>
          <t>Site Set-up Documentation</t>
        </is>
      </c>
      <c r="I49" s="5" t="inlineStr">
        <is>
          <t>Clinical Trial Agreement</t>
        </is>
      </c>
      <c r="J49" s="5" t="inlineStr">
        <is>
          <t>Dr. Caicedo_HOMO - ESE Hospital Mental de Antioquia_NTF Location of CTA_24Feb2026</t>
        </is>
      </c>
      <c r="K49" s="6" t="n">
        <v>42</v>
      </c>
      <c r="L49" s="7" t="n">
        <v>46077</v>
      </c>
      <c r="M49" s="11" t="n">
        <v>46119</v>
      </c>
      <c r="N49" s="5" t="inlineStr">
        <is>
          <t>Approved</t>
        </is>
      </c>
      <c r="O49" s="5" t="inlineStr">
        <is>
          <t>Site</t>
        </is>
      </c>
      <c r="P49" s="5" t="inlineStr">
        <is>
          <t>Colombia</t>
        </is>
      </c>
      <c r="Q49" s="13" t="inlineStr">
        <is>
          <t>S10-CO10003</t>
        </is>
      </c>
      <c r="R49" s="5" t="inlineStr">
        <is>
          <t>Monica Romero</t>
        </is>
      </c>
      <c r="S49" s="8" t="n">
        <v>46119.9884375</v>
      </c>
    </row>
    <row r="50" hidden="1" ht="43.5" customHeight="1">
      <c r="A50" s="15">
        <f>HYPERLINK("https://vtmf.veevavault.com/ui/#doc_info/29558586/3/0", "VTMF-23774639")</f>
        <v/>
      </c>
      <c r="B50" s="20" t="inlineStr">
        <is>
          <t>Yes</t>
        </is>
      </c>
      <c r="C50" s="5" t="inlineStr">
        <is>
          <t>3.0</t>
        </is>
      </c>
      <c r="D50" s="5" t="inlineStr">
        <is>
          <t>GCO</t>
        </is>
      </c>
      <c r="E50" s="5" t="inlineStr">
        <is>
          <t>42847922MDD3003</t>
        </is>
      </c>
      <c r="F50" s="16">
        <f>HYPERLINK("https://vtmf.veevavault.com/ui/#doc_info/29558586/3/0", "42847922MDD3003-BGR-S10-BG10013-Site-specific ICF Review and Approval Form-24 Jul 2025 (v3.0)")</f>
        <v/>
      </c>
      <c r="G50" s="5" t="inlineStr">
        <is>
          <t>Central Trial Documents</t>
        </is>
      </c>
      <c r="H50" s="5" t="inlineStr">
        <is>
          <t>Subject Documents</t>
        </is>
      </c>
      <c r="I50" s="5" t="inlineStr">
        <is>
          <t>Site-specific ICF Review and Approval Form</t>
        </is>
      </c>
      <c r="J50" s="5" t="inlineStr">
        <is>
          <t>42847922MDD3003_S10-BG10002 and S10-BG10013_ Personalized RAF_Pregnant Partner ICF BG v.2, 14 Jun 2024 ; 24 Jul 2025</t>
        </is>
      </c>
      <c r="K50" s="6" t="n">
        <v>217</v>
      </c>
      <c r="L50" s="7" t="n">
        <v>45862</v>
      </c>
      <c r="M50" s="11" t="n">
        <v>46079</v>
      </c>
      <c r="N50" s="5" t="inlineStr">
        <is>
          <t>Approved</t>
        </is>
      </c>
      <c r="O50" s="5" t="inlineStr">
        <is>
          <t>Site</t>
        </is>
      </c>
      <c r="P50" s="5" t="inlineStr">
        <is>
          <t>Bulgaria</t>
        </is>
      </c>
      <c r="Q50" s="13" t="inlineStr">
        <is>
          <t>S10-BG10002, S10-BG10013</t>
        </is>
      </c>
      <c r="R50" s="5" t="inlineStr">
        <is>
          <t>Elizabet Danova</t>
        </is>
      </c>
      <c r="S50" s="8" t="n">
        <v>46079.53616898148</v>
      </c>
    </row>
    <row r="51" hidden="1" ht="29" customHeight="1">
      <c r="A51" s="15">
        <f>HYPERLINK("https://vtmf.veevavault.com/ui/#doc_info/29695212/1/0", "VTMF-23891829")</f>
        <v/>
      </c>
      <c r="B51" s="19" t="inlineStr">
        <is>
          <t>No</t>
        </is>
      </c>
      <c r="C51" s="5" t="inlineStr">
        <is>
          <t>1.0</t>
        </is>
      </c>
      <c r="D51" s="5" t="inlineStr">
        <is>
          <t>GCO</t>
        </is>
      </c>
      <c r="E51" s="5" t="inlineStr">
        <is>
          <t>42847922MDD3003, 54135419SUI3003</t>
        </is>
      </c>
      <c r="F51" s="16">
        <f>HYPERLINK("https://vtmf.veevavault.com/ui/#doc_info/29695212/1/0", "42847922MDD3003-BRA-S10-BR10007-Other Curriculum Vitae-19 Jan 2026 (v1.0)")</f>
        <v/>
      </c>
      <c r="G51" s="5" t="inlineStr">
        <is>
          <t>Site Management</t>
        </is>
      </c>
      <c r="H51" s="5" t="inlineStr">
        <is>
          <t>Site Set-up Documentation</t>
        </is>
      </c>
      <c r="I51" s="5" t="inlineStr">
        <is>
          <t>Other Curriculum Vitae</t>
        </is>
      </c>
      <c r="J51" s="5" t="inlineStr">
        <is>
          <t>CV_EN_Viana da Silva, M; 19Jan2026</t>
        </is>
      </c>
      <c r="K51" s="6" t="n">
        <v>85</v>
      </c>
      <c r="L51" s="7" t="n">
        <v>46041</v>
      </c>
      <c r="M51" s="11" t="n">
        <v>46126</v>
      </c>
      <c r="N51" s="5" t="inlineStr">
        <is>
          <t>Approved</t>
        </is>
      </c>
      <c r="O51" s="5" t="inlineStr">
        <is>
          <t>Site</t>
        </is>
      </c>
      <c r="P51" s="5" t="inlineStr">
        <is>
          <t>Brazil, Brazil</t>
        </is>
      </c>
      <c r="Q51" s="13" t="inlineStr">
        <is>
          <t>AJ7-BR10007, S10-BR10007</t>
        </is>
      </c>
      <c r="R51" s="5" t="inlineStr">
        <is>
          <t>GUILHERME BENEVIDES</t>
        </is>
      </c>
      <c r="S51" s="8" t="n">
        <v>46073.90333333334</v>
      </c>
    </row>
    <row r="52" hidden="1" ht="43.5" customHeight="1">
      <c r="A52" s="15">
        <f>HYPERLINK("https://vtmf.veevavault.com/ui/#doc_info/29850310/2/0", "VTMF-24024779")</f>
        <v/>
      </c>
      <c r="B52" s="20" t="inlineStr">
        <is>
          <t>Yes</t>
        </is>
      </c>
      <c r="C52" s="5" t="inlineStr">
        <is>
          <t>2.0</t>
        </is>
      </c>
      <c r="D52" s="5" t="inlineStr">
        <is>
          <t>GCO</t>
        </is>
      </c>
      <c r="E52" s="5" t="inlineStr">
        <is>
          <t>42847922MDD3003</t>
        </is>
      </c>
      <c r="F52" s="16">
        <f>HYPERLINK("https://vtmf.veevavault.com/ui/#doc_info/29850310/2/0", "42847922MDD3003-USA-S10-US10015-Site-specific ICF Review and Approval Form-28 Aug 2025 (v2.0)")</f>
        <v/>
      </c>
      <c r="G52" s="5" t="inlineStr">
        <is>
          <t>Central Trial Documents</t>
        </is>
      </c>
      <c r="H52" s="5" t="inlineStr">
        <is>
          <t>Subject Documents</t>
        </is>
      </c>
      <c r="I52" s="5" t="inlineStr">
        <is>
          <t>Site-specific ICF Review and Approval Form</t>
        </is>
      </c>
      <c r="J52" s="5" t="inlineStr">
        <is>
          <t>Site-Specific ICF RAF_English_Personalized_Main Part 1 and Part 2 V6_Main Part 2 V6_IRB approval Date 08AUG25_Review Date 28AUG25</t>
        </is>
      </c>
      <c r="K52" s="6" t="n">
        <v>153</v>
      </c>
      <c r="L52" s="7" t="n">
        <v>45897</v>
      </c>
      <c r="M52" s="11" t="n">
        <v>46050</v>
      </c>
      <c r="N52" s="5" t="inlineStr">
        <is>
          <t>Approved</t>
        </is>
      </c>
      <c r="O52" s="5" t="inlineStr">
        <is>
          <t>Site</t>
        </is>
      </c>
      <c r="P52" s="5" t="inlineStr">
        <is>
          <t>United States</t>
        </is>
      </c>
      <c r="Q52" s="13" t="inlineStr">
        <is>
          <t>S10-US10015, S10-US10036, S10-US10046, S10-US10049, S10-US10058, S10-US10103, S10-US10108, S10-US10120, S10-US10155, S10-US10187, S10-US10228, S10-US10234, S10-US10256, S10-US10257, S10-US10264, S10-US10286</t>
        </is>
      </c>
      <c r="R52" s="5" t="inlineStr">
        <is>
          <t>Nancy Pedano</t>
        </is>
      </c>
      <c r="S52" s="8" t="n">
        <v>46050.86842592592</v>
      </c>
    </row>
    <row r="53" hidden="1" ht="29" customHeight="1">
      <c r="A53" s="15">
        <f>HYPERLINK("https://vtmf.veevavault.com/ui/#doc_info/30118283/2/0", "VTMF-24245230")</f>
        <v/>
      </c>
      <c r="B53" s="19" t="inlineStr">
        <is>
          <t>No</t>
        </is>
      </c>
      <c r="C53" s="5" t="inlineStr">
        <is>
          <t>2.0</t>
        </is>
      </c>
      <c r="D53" s="5" t="inlineStr">
        <is>
          <t>GCO</t>
        </is>
      </c>
      <c r="E53" s="5" t="inlineStr">
        <is>
          <t>42847922MDD3003</t>
        </is>
      </c>
      <c r="F53" s="16">
        <f>HYPERLINK("https://vtmf.veevavault.com/ui/#doc_info/30118283/2/0", "42847922MDD3003-PRT-S10-PT10010-Site Signature Sheet-19 May 2025 (v2.0)")</f>
        <v/>
      </c>
      <c r="G53" s="5" t="inlineStr">
        <is>
          <t>Site Management</t>
        </is>
      </c>
      <c r="H53" s="5" t="inlineStr">
        <is>
          <t>Site Set-up Documentation</t>
        </is>
      </c>
      <c r="I53" s="5" t="inlineStr">
        <is>
          <t>Site Signature Sheet</t>
        </is>
      </c>
      <c r="J53" s="5" t="inlineStr">
        <is>
          <t>Delegation Log</t>
        </is>
      </c>
      <c r="K53" s="6" t="n">
        <v>304</v>
      </c>
      <c r="L53" s="7" t="n">
        <v>45796</v>
      </c>
      <c r="M53" s="11" t="n">
        <v>46100</v>
      </c>
      <c r="N53" s="5" t="inlineStr">
        <is>
          <t>Approved</t>
        </is>
      </c>
      <c r="O53" s="5" t="inlineStr">
        <is>
          <t>Site</t>
        </is>
      </c>
      <c r="P53" s="5" t="inlineStr">
        <is>
          <t>Portugal</t>
        </is>
      </c>
      <c r="Q53" s="13" t="inlineStr">
        <is>
          <t>S10-PT10010</t>
        </is>
      </c>
      <c r="R53" s="5" t="inlineStr">
        <is>
          <t>Ruben Ayora</t>
        </is>
      </c>
      <c r="S53" s="8" t="n">
        <v>46100.361875</v>
      </c>
    </row>
    <row r="54" hidden="1" ht="29" customHeight="1">
      <c r="A54" s="15">
        <f>HYPERLINK("https://vtmf.veevavault.com/ui/#doc_info/30178814/2/0", "VTMF-24297550")</f>
        <v/>
      </c>
      <c r="B54" s="19" t="inlineStr">
        <is>
          <t>No</t>
        </is>
      </c>
      <c r="C54" s="5" t="inlineStr">
        <is>
          <t>2.0</t>
        </is>
      </c>
      <c r="D54" s="5" t="inlineStr">
        <is>
          <t>GCO</t>
        </is>
      </c>
      <c r="E54" s="5" t="inlineStr">
        <is>
          <t>42847922MDD3003</t>
        </is>
      </c>
      <c r="F54" s="16">
        <f>HYPERLINK("https://vtmf.veevavault.com/ui/#doc_info/30178814/2/0", "42847922MDD3003-SWE-S10-SE10002-Site-specific Informed Consent Form-16 Jul 2025 (v2.0)")</f>
        <v/>
      </c>
      <c r="G54" s="5" t="inlineStr">
        <is>
          <t>Central Trial Documents</t>
        </is>
      </c>
      <c r="H54" s="5" t="inlineStr">
        <is>
          <t>Subject Documents</t>
        </is>
      </c>
      <c r="I54" s="5" t="inlineStr">
        <is>
          <t>Site-specific Informed Consent Form</t>
        </is>
      </c>
      <c r="J54" s="5" t="inlineStr">
        <is>
          <t>Master ICF part 2_Swe_v3</t>
        </is>
      </c>
      <c r="K54" s="6" t="n">
        <v>243</v>
      </c>
      <c r="L54" s="7" t="n">
        <v>45854</v>
      </c>
      <c r="M54" s="11" t="n">
        <v>46097</v>
      </c>
      <c r="N54" s="5" t="inlineStr">
        <is>
          <t>Approved</t>
        </is>
      </c>
      <c r="O54" s="5" t="inlineStr">
        <is>
          <t>Site</t>
        </is>
      </c>
      <c r="P54" s="5" t="inlineStr">
        <is>
          <t>Sweden</t>
        </is>
      </c>
      <c r="Q54" s="13" t="inlineStr">
        <is>
          <t>S10-SE10002</t>
        </is>
      </c>
      <c r="R54" s="5" t="inlineStr">
        <is>
          <t>Marcus Nilsson</t>
        </is>
      </c>
      <c r="S54" s="8" t="n">
        <v>46097.643125</v>
      </c>
    </row>
    <row r="55" hidden="1" ht="29" customHeight="1">
      <c r="A55" s="15">
        <f>HYPERLINK("https://vtmf.veevavault.com/ui/#doc_info/30178871/2/0", "VTMF-24297617")</f>
        <v/>
      </c>
      <c r="B55" s="19" t="inlineStr">
        <is>
          <t>No</t>
        </is>
      </c>
      <c r="C55" s="5" t="inlineStr">
        <is>
          <t>2.0</t>
        </is>
      </c>
      <c r="D55" s="5" t="inlineStr">
        <is>
          <t>GCO</t>
        </is>
      </c>
      <c r="E55" s="5" t="inlineStr">
        <is>
          <t>42847922MDD3003</t>
        </is>
      </c>
      <c r="F55" s="16">
        <f>HYPERLINK("https://vtmf.veevavault.com/ui/#doc_info/30178871/2/0", "42847922MDD3003-SWE-S10-SE10001-Site-specific Informed Consent Form-16 Jul 2025 (v2.0)")</f>
        <v/>
      </c>
      <c r="G55" s="5" t="inlineStr">
        <is>
          <t>Central Trial Documents</t>
        </is>
      </c>
      <c r="H55" s="5" t="inlineStr">
        <is>
          <t>Subject Documents</t>
        </is>
      </c>
      <c r="I55" s="5" t="inlineStr">
        <is>
          <t>Site-specific Informed Consent Form</t>
        </is>
      </c>
      <c r="J55" s="5" t="inlineStr">
        <is>
          <t>Master ICF part 2_Swe_v3</t>
        </is>
      </c>
      <c r="K55" s="6" t="n">
        <v>243</v>
      </c>
      <c r="L55" s="7" t="n">
        <v>45854</v>
      </c>
      <c r="M55" s="11" t="n">
        <v>46097</v>
      </c>
      <c r="N55" s="5" t="inlineStr">
        <is>
          <t>Approved</t>
        </is>
      </c>
      <c r="O55" s="5" t="inlineStr">
        <is>
          <t>Site</t>
        </is>
      </c>
      <c r="P55" s="5" t="inlineStr">
        <is>
          <t>Sweden</t>
        </is>
      </c>
      <c r="Q55" s="13" t="inlineStr">
        <is>
          <t>S10-SE10001</t>
        </is>
      </c>
      <c r="R55" s="5" t="inlineStr">
        <is>
          <t>Marcus Nilsson</t>
        </is>
      </c>
      <c r="S55" s="8" t="n">
        <v>46097.63969907408</v>
      </c>
    </row>
    <row r="56" hidden="1" ht="29" customHeight="1">
      <c r="A56" s="15">
        <f>HYPERLINK("https://vtmf.veevavault.com/ui/#doc_info/30203777/2/0", "VTMF-24318973")</f>
        <v/>
      </c>
      <c r="B56" s="19" t="inlineStr">
        <is>
          <t>No</t>
        </is>
      </c>
      <c r="C56" s="5" t="inlineStr">
        <is>
          <t>2.0</t>
        </is>
      </c>
      <c r="D56" s="5" t="inlineStr">
        <is>
          <t>GCO</t>
        </is>
      </c>
      <c r="E56" s="5" t="inlineStr">
        <is>
          <t>42847922MDD3003</t>
        </is>
      </c>
      <c r="F56" s="16">
        <f>HYPERLINK("https://vtmf.veevavault.com/ui/#doc_info/30203777/2/0", "42847922MDD3003-COL-S10-CO10002-Local Laboratory Certification or Accreditation-26 Sep 2023 (v2.0)")</f>
        <v/>
      </c>
      <c r="G56" s="5" t="inlineStr">
        <is>
          <t>Site Management</t>
        </is>
      </c>
      <c r="H56" s="5" t="inlineStr">
        <is>
          <t>Site Set-up Documentation</t>
        </is>
      </c>
      <c r="I56" s="5" t="inlineStr">
        <is>
          <t>Local Laboratory Certification or Accreditation</t>
        </is>
      </c>
      <c r="J56" s="5" t="inlineStr">
        <is>
          <t>Local laboratory accreditation certificate_26 Sep 2023</t>
        </is>
      </c>
      <c r="K56" s="6" t="n">
        <v>848</v>
      </c>
      <c r="L56" s="7" t="n">
        <v>45195</v>
      </c>
      <c r="M56" s="11" t="n">
        <v>46043</v>
      </c>
      <c r="N56" s="5" t="inlineStr">
        <is>
          <t>Approved</t>
        </is>
      </c>
      <c r="O56" s="5" t="inlineStr">
        <is>
          <t>Site</t>
        </is>
      </c>
      <c r="P56" s="5" t="inlineStr">
        <is>
          <t>Colombia</t>
        </is>
      </c>
      <c r="Q56" s="13" t="inlineStr">
        <is>
          <t>S10-CO10002</t>
        </is>
      </c>
      <c r="R56" s="5" t="inlineStr">
        <is>
          <t>Monica Romero</t>
        </is>
      </c>
      <c r="S56" s="8" t="n">
        <v>46043.84543981482</v>
      </c>
    </row>
    <row r="57" hidden="1" ht="29" customHeight="1">
      <c r="A57" s="15">
        <f>HYPERLINK("https://vtmf.veevavault.com/ui/#doc_info/30204007/2/0", "VTMF-24319029")</f>
        <v/>
      </c>
      <c r="B57" s="19" t="inlineStr">
        <is>
          <t>No</t>
        </is>
      </c>
      <c r="C57" s="5" t="inlineStr">
        <is>
          <t>2.0</t>
        </is>
      </c>
      <c r="D57" s="5" t="inlineStr">
        <is>
          <t>GCO</t>
        </is>
      </c>
      <c r="E57" s="5" t="inlineStr">
        <is>
          <t>42847922MDD3003</t>
        </is>
      </c>
      <c r="F57" s="16">
        <f>HYPERLINK("https://vtmf.veevavault.com/ui/#doc_info/30204007/2/0", "42847922MDD3003-COL-S10-CO10002-Other Curriculum Vitae-10 Jan 2025 (v2.0)")</f>
        <v/>
      </c>
      <c r="G57" s="5" t="inlineStr">
        <is>
          <t>Site Management</t>
        </is>
      </c>
      <c r="H57" s="5" t="inlineStr">
        <is>
          <t>Site Set-up Documentation</t>
        </is>
      </c>
      <c r="I57" s="5" t="inlineStr">
        <is>
          <t>Other Curriculum Vitae</t>
        </is>
      </c>
      <c r="J57" s="5" t="inlineStr">
        <is>
          <t>CV_Spanish_Ortega, M_10 Jan 2025</t>
        </is>
      </c>
      <c r="K57" s="6" t="n">
        <v>376</v>
      </c>
      <c r="L57" s="7" t="n">
        <v>45667</v>
      </c>
      <c r="M57" s="11" t="n">
        <v>46043</v>
      </c>
      <c r="N57" s="5" t="inlineStr">
        <is>
          <t>Approved</t>
        </is>
      </c>
      <c r="O57" s="5" t="inlineStr">
        <is>
          <t>Site</t>
        </is>
      </c>
      <c r="P57" s="5" t="inlineStr">
        <is>
          <t>Colombia</t>
        </is>
      </c>
      <c r="Q57" s="13" t="inlineStr">
        <is>
          <t>S10-CO10002</t>
        </is>
      </c>
      <c r="R57" s="5" t="inlineStr">
        <is>
          <t>Monica Romero</t>
        </is>
      </c>
      <c r="S57" s="8" t="n">
        <v>46043.91677083333</v>
      </c>
    </row>
    <row r="58" hidden="1" ht="29" customHeight="1">
      <c r="A58" s="15">
        <f>HYPERLINK("https://vtmf.veevavault.com/ui/#doc_info/30242576/2/0", "VTMF-24351456")</f>
        <v/>
      </c>
      <c r="B58" s="19" t="inlineStr">
        <is>
          <t>No</t>
        </is>
      </c>
      <c r="C58" s="5" t="inlineStr">
        <is>
          <t>2.0</t>
        </is>
      </c>
      <c r="D58" s="5" t="inlineStr">
        <is>
          <t>GCO</t>
        </is>
      </c>
      <c r="E58" s="5" t="inlineStr">
        <is>
          <t>42847922MDD3003</t>
        </is>
      </c>
      <c r="F58" s="16">
        <f>HYPERLINK("https://vtmf.veevavault.com/ui/#doc_info/30242576/2/0", "42847922MDD3003-MEX-S10-MX10006-Site Signature Sheet-15 Oct 2025 (v2.0)")</f>
        <v/>
      </c>
      <c r="G58" s="5" t="inlineStr">
        <is>
          <t>Site Management</t>
        </is>
      </c>
      <c r="H58" s="5" t="inlineStr">
        <is>
          <t>Site Set-up Documentation</t>
        </is>
      </c>
      <c r="I58" s="5" t="inlineStr">
        <is>
          <t>Site Signature Sheet</t>
        </is>
      </c>
      <c r="J58" s="5" t="inlineStr">
        <is>
          <t>Delegation Log</t>
        </is>
      </c>
      <c r="K58" s="6" t="n">
        <v>96</v>
      </c>
      <c r="L58" s="7" t="n">
        <v>45945</v>
      </c>
      <c r="M58" s="11" t="n">
        <v>46041</v>
      </c>
      <c r="N58" s="5" t="inlineStr">
        <is>
          <t>Approved</t>
        </is>
      </c>
      <c r="O58" s="5" t="inlineStr">
        <is>
          <t>Site</t>
        </is>
      </c>
      <c r="P58" s="5" t="inlineStr">
        <is>
          <t>Mexico</t>
        </is>
      </c>
      <c r="Q58" s="13" t="inlineStr">
        <is>
          <t>S10-MX10006</t>
        </is>
      </c>
      <c r="R58" s="5" t="inlineStr">
        <is>
          <t>Alejandra Vargas</t>
        </is>
      </c>
      <c r="S58" s="8" t="n">
        <v>46042.21681712963</v>
      </c>
    </row>
    <row r="59" hidden="1" ht="29" customHeight="1">
      <c r="A59" s="15">
        <f>HYPERLINK("https://vtmf.veevavault.com/ui/#doc_info/30243139/2/0", "VTMF-24351719")</f>
        <v/>
      </c>
      <c r="B59" s="19" t="inlineStr">
        <is>
          <t>No</t>
        </is>
      </c>
      <c r="C59" s="5" t="inlineStr">
        <is>
          <t>2.0</t>
        </is>
      </c>
      <c r="D59" s="5" t="inlineStr">
        <is>
          <t>GCO</t>
        </is>
      </c>
      <c r="E59" s="5" t="inlineStr">
        <is>
          <t>42847922MDD3003</t>
        </is>
      </c>
      <c r="F59" s="16">
        <f>HYPERLINK("https://vtmf.veevavault.com/ui/#doc_info/30243139/2/0", "42847922MDD3003-MEX-S10-MX10006-Site Signature Sheet-15 Oct 2025 (v2.0)")</f>
        <v/>
      </c>
      <c r="G59" s="5" t="inlineStr">
        <is>
          <t>Site Management</t>
        </is>
      </c>
      <c r="H59" s="5" t="inlineStr">
        <is>
          <t>Site Set-up Documentation</t>
        </is>
      </c>
      <c r="I59" s="5" t="inlineStr">
        <is>
          <t>Site Signature Sheet</t>
        </is>
      </c>
      <c r="J59" s="5" t="inlineStr">
        <is>
          <t>Site Signature Log</t>
        </is>
      </c>
      <c r="K59" s="6" t="n">
        <v>96</v>
      </c>
      <c r="L59" s="7" t="n">
        <v>45945</v>
      </c>
      <c r="M59" s="11" t="n">
        <v>46041</v>
      </c>
      <c r="N59" s="5" t="inlineStr">
        <is>
          <t>Approved</t>
        </is>
      </c>
      <c r="O59" s="5" t="inlineStr">
        <is>
          <t>Site</t>
        </is>
      </c>
      <c r="P59" s="5" t="inlineStr">
        <is>
          <t>Mexico</t>
        </is>
      </c>
      <c r="Q59" s="13" t="inlineStr">
        <is>
          <t>S10-MX10006</t>
        </is>
      </c>
      <c r="R59" s="5" t="inlineStr">
        <is>
          <t>Alejandra Vargas</t>
        </is>
      </c>
      <c r="S59" s="8" t="n">
        <v>46042.21482638889</v>
      </c>
    </row>
    <row r="60" hidden="1">
      <c r="A60" s="15">
        <f>HYPERLINK("https://vtmf.veevavault.com/ui/#doc_info/30243153/2/0", "VTMF-24351795")</f>
        <v/>
      </c>
      <c r="B60" s="19" t="inlineStr">
        <is>
          <t>No</t>
        </is>
      </c>
      <c r="C60" s="5" t="inlineStr">
        <is>
          <t>2.0</t>
        </is>
      </c>
      <c r="D60" s="5" t="inlineStr">
        <is>
          <t>GCO</t>
        </is>
      </c>
      <c r="E60" s="5" t="inlineStr">
        <is>
          <t>42847922MDD3003</t>
        </is>
      </c>
      <c r="F60" s="16">
        <f>HYPERLINK("https://vtmf.veevavault.com/ui/#doc_info/30243153/2/0", "42847922MDD3003-MEX-S10-MX10006-Visit Log (v2.0)")</f>
        <v/>
      </c>
      <c r="G60" s="5" t="inlineStr">
        <is>
          <t>Site Management</t>
        </is>
      </c>
      <c r="H60" s="5" t="inlineStr">
        <is>
          <t>Site Management</t>
        </is>
      </c>
      <c r="I60" s="5" t="inlineStr">
        <is>
          <t>Visit Log</t>
        </is>
      </c>
      <c r="J60" s="5" t="inlineStr">
        <is>
          <t>Trail Center Visit Log</t>
        </is>
      </c>
      <c r="K60" s="6" t="n">
        <v>97</v>
      </c>
      <c r="L60" s="7" t="n">
        <v>45944</v>
      </c>
      <c r="M60" s="11" t="n">
        <v>46041</v>
      </c>
      <c r="N60" s="5" t="inlineStr">
        <is>
          <t>Approved</t>
        </is>
      </c>
      <c r="O60" s="5" t="inlineStr">
        <is>
          <t>Site</t>
        </is>
      </c>
      <c r="P60" s="5" t="inlineStr">
        <is>
          <t>Mexico</t>
        </is>
      </c>
      <c r="Q60" s="13" t="inlineStr">
        <is>
          <t>S10-MX10006</t>
        </is>
      </c>
      <c r="R60" s="5" t="inlineStr">
        <is>
          <t>Alejandra Vargas</t>
        </is>
      </c>
      <c r="S60" s="8" t="n">
        <v>46042.21291666666</v>
      </c>
    </row>
    <row r="61" hidden="1" ht="29" customHeight="1">
      <c r="A61" s="15">
        <f>HYPERLINK("https://vtmf.veevavault.com/ui/#doc_info/30414230/2/0", "VTMF-24499513")</f>
        <v/>
      </c>
      <c r="B61" s="19" t="inlineStr">
        <is>
          <t>No</t>
        </is>
      </c>
      <c r="C61" s="5" t="inlineStr">
        <is>
          <t>2.0</t>
        </is>
      </c>
      <c r="D61" s="5" t="inlineStr">
        <is>
          <t>GCO</t>
        </is>
      </c>
      <c r="E61" s="5" t="inlineStr">
        <is>
          <t>42847922MDD3003</t>
        </is>
      </c>
      <c r="F61" s="16">
        <f>HYPERLINK("https://vtmf.veevavault.com/ui/#doc_info/30414230/2/0", "42847922MDD3003-ROU-S10-RO10021-IP Destruction Form-28 Aug 2025 (v2.0)")</f>
        <v/>
      </c>
      <c r="G61" s="5" t="inlineStr">
        <is>
          <t>IP and Trial Supplies</t>
        </is>
      </c>
      <c r="H61" s="5" t="inlineStr">
        <is>
          <t>IP Documentation</t>
        </is>
      </c>
      <c r="I61" s="5" t="inlineStr">
        <is>
          <t>IP Destruction Form</t>
        </is>
      </c>
      <c r="J61" s="5" t="inlineStr">
        <is>
          <t>IP Destruction Form</t>
        </is>
      </c>
      <c r="K61" s="6" t="n">
        <v>173</v>
      </c>
      <c r="L61" s="7" t="n">
        <v>45897</v>
      </c>
      <c r="M61" s="11" t="n">
        <v>46070</v>
      </c>
      <c r="N61" s="5" t="inlineStr">
        <is>
          <t>Approved</t>
        </is>
      </c>
      <c r="O61" s="5" t="inlineStr">
        <is>
          <t>Site</t>
        </is>
      </c>
      <c r="P61" s="5" t="inlineStr">
        <is>
          <t>Romania</t>
        </is>
      </c>
      <c r="Q61" s="13" t="inlineStr">
        <is>
          <t>S10-RO10021</t>
        </is>
      </c>
      <c r="R61" s="5" t="inlineStr">
        <is>
          <t>Alexandra Matache</t>
        </is>
      </c>
      <c r="S61" s="8" t="n">
        <v>46070.6178125</v>
      </c>
    </row>
    <row r="62" hidden="1" ht="29" customHeight="1">
      <c r="A62" s="15">
        <f>HYPERLINK("https://vtmf.veevavault.com/ui/#doc_info/30439141/3/0", "VTMF-24520883")</f>
        <v/>
      </c>
      <c r="B62" s="19" t="inlineStr">
        <is>
          <t>No</t>
        </is>
      </c>
      <c r="C62" s="5" t="inlineStr">
        <is>
          <t>3.0</t>
        </is>
      </c>
      <c r="D62" s="5" t="inlineStr">
        <is>
          <t>GCO</t>
        </is>
      </c>
      <c r="E62" s="5" t="inlineStr">
        <is>
          <t>42847922MDD3003</t>
        </is>
      </c>
      <c r="F62" s="16">
        <f>HYPERLINK("https://vtmf.veevavault.com/ui/#doc_info/30439141/3/0", "42847922MDD3003-ROU-S10-RO10015-IP Destruction Form-04 Nov 2025 (v3.0)")</f>
        <v/>
      </c>
      <c r="G62" s="5" t="inlineStr">
        <is>
          <t>IP and Trial Supplies</t>
        </is>
      </c>
      <c r="H62" s="5" t="inlineStr">
        <is>
          <t>IP Documentation</t>
        </is>
      </c>
      <c r="I62" s="5" t="inlineStr">
        <is>
          <t>IP Destruction Form</t>
        </is>
      </c>
      <c r="J62" s="5" t="inlineStr">
        <is>
          <t>IP Destruction Form</t>
        </is>
      </c>
      <c r="K62" s="6" t="n">
        <v>105</v>
      </c>
      <c r="L62" s="7" t="n">
        <v>45965</v>
      </c>
      <c r="M62" s="11" t="n">
        <v>46070</v>
      </c>
      <c r="N62" s="5" t="inlineStr">
        <is>
          <t>Approved</t>
        </is>
      </c>
      <c r="O62" s="5" t="inlineStr">
        <is>
          <t>Site</t>
        </is>
      </c>
      <c r="P62" s="5" t="inlineStr">
        <is>
          <t>Romania</t>
        </is>
      </c>
      <c r="Q62" s="13" t="inlineStr">
        <is>
          <t>S10-RO10015</t>
        </is>
      </c>
      <c r="R62" s="5" t="inlineStr">
        <is>
          <t>Alexandra Matache</t>
        </is>
      </c>
      <c r="S62" s="8" t="n">
        <v>46070.64319444444</v>
      </c>
    </row>
    <row r="63" hidden="1" ht="29" customHeight="1">
      <c r="A63" s="15">
        <f>HYPERLINK("https://vtmf.veevavault.com/ui/#doc_info/30734882/2/0", "VTMF-24765193")</f>
        <v/>
      </c>
      <c r="B63" s="20" t="inlineStr">
        <is>
          <t>Yes</t>
        </is>
      </c>
      <c r="C63" s="5" t="inlineStr">
        <is>
          <t>2.0</t>
        </is>
      </c>
      <c r="D63" s="5" t="inlineStr">
        <is>
          <t>GCO</t>
        </is>
      </c>
      <c r="E63" s="5" t="inlineStr">
        <is>
          <t>42847922MDD3003</t>
        </is>
      </c>
      <c r="F63" s="16">
        <f>HYPERLINK("https://vtmf.veevavault.com/ui/#doc_info/30734882/2/0", "42847922MDD3003-USA--Country-specific ICF Review and Approval Form-07 Jan 2026 (v2.0)")</f>
        <v/>
      </c>
      <c r="G63" s="5" t="inlineStr">
        <is>
          <t>Central Trial Documents</t>
        </is>
      </c>
      <c r="H63" s="5" t="inlineStr">
        <is>
          <t>Subject Documents</t>
        </is>
      </c>
      <c r="I63" s="5" t="inlineStr">
        <is>
          <t>Country-specific ICF Review and Approval Form</t>
        </is>
      </c>
      <c r="J63" s="5" t="inlineStr">
        <is>
          <t>US ICF Part 1 and Part 2 Version 7.0 RAF</t>
        </is>
      </c>
      <c r="K63" s="6" t="n">
        <v>99</v>
      </c>
      <c r="L63" s="7" t="n">
        <v>46029</v>
      </c>
      <c r="M63" s="11" t="n">
        <v>46128</v>
      </c>
      <c r="N63" s="5" t="inlineStr">
        <is>
          <t>Approved</t>
        </is>
      </c>
      <c r="O63" s="5" t="inlineStr">
        <is>
          <t>Country</t>
        </is>
      </c>
      <c r="P63" s="5" t="inlineStr">
        <is>
          <t>United States</t>
        </is>
      </c>
      <c r="Q63" s="13" t="inlineStr"/>
      <c r="R63" s="5" t="inlineStr">
        <is>
          <t>Joshua Hauser</t>
        </is>
      </c>
      <c r="S63" s="8" t="n">
        <v>46128.80222222222</v>
      </c>
    </row>
    <row r="64" hidden="1" ht="29" customHeight="1">
      <c r="A64" s="15">
        <f>HYPERLINK("https://vtmf.veevavault.com/ui/#doc_info/30734886/2/0", "VTMF-24765201")</f>
        <v/>
      </c>
      <c r="B64" s="20" t="inlineStr">
        <is>
          <t>Yes</t>
        </is>
      </c>
      <c r="C64" s="5" t="inlineStr">
        <is>
          <t>2.0</t>
        </is>
      </c>
      <c r="D64" s="5" t="inlineStr">
        <is>
          <t>GCO</t>
        </is>
      </c>
      <c r="E64" s="5" t="inlineStr">
        <is>
          <t>42847922MDD3003</t>
        </is>
      </c>
      <c r="F64" s="16">
        <f>HYPERLINK("https://vtmf.veevavault.com/ui/#doc_info/30734886/2/0", "42847922MDD3003-USA--Country-specific ICF Review and Approval Form-07 Jan 2026 (v2.0)")</f>
        <v/>
      </c>
      <c r="G64" s="5" t="inlineStr">
        <is>
          <t>Central Trial Documents</t>
        </is>
      </c>
      <c r="H64" s="5" t="inlineStr">
        <is>
          <t>Subject Documents</t>
        </is>
      </c>
      <c r="I64" s="5" t="inlineStr">
        <is>
          <t>Country-specific ICF Review and Approval Form</t>
        </is>
      </c>
      <c r="J64" s="5" t="inlineStr">
        <is>
          <t>US ICF Part 2 Version 7.0 RAF</t>
        </is>
      </c>
      <c r="K64" s="6" t="n">
        <v>99</v>
      </c>
      <c r="L64" s="7" t="n">
        <v>46029</v>
      </c>
      <c r="M64" s="11" t="n">
        <v>46128</v>
      </c>
      <c r="N64" s="5" t="inlineStr">
        <is>
          <t>Approved</t>
        </is>
      </c>
      <c r="O64" s="5" t="inlineStr">
        <is>
          <t>Country</t>
        </is>
      </c>
      <c r="P64" s="5" t="inlineStr">
        <is>
          <t>United States</t>
        </is>
      </c>
      <c r="Q64" s="13" t="inlineStr"/>
      <c r="R64" s="5" t="inlineStr">
        <is>
          <t>Joshua Hauser</t>
        </is>
      </c>
      <c r="S64" s="8" t="n">
        <v>46128.80239583334</v>
      </c>
    </row>
    <row r="65" hidden="1" ht="29" customHeight="1">
      <c r="A65" s="15">
        <f>HYPERLINK("https://vtmf.veevavault.com/ui/#doc_info/30766849/2/0", "VTMF-24792480")</f>
        <v/>
      </c>
      <c r="B65" s="19" t="inlineStr">
        <is>
          <t>No</t>
        </is>
      </c>
      <c r="C65" s="5" t="inlineStr">
        <is>
          <t>2.0</t>
        </is>
      </c>
      <c r="D65" s="5" t="inlineStr">
        <is>
          <t>GCO</t>
        </is>
      </c>
      <c r="E65" s="5" t="inlineStr">
        <is>
          <t>42847922MDD3003</t>
        </is>
      </c>
      <c r="F65" s="16">
        <f>HYPERLINK("https://vtmf.veevavault.com/ui/#doc_info/30766849/2/0", "42847922MDD3003-POL-S10-PL10017-Non-IP Shipment Documentation-14 Jan 2026 (v2.0)")</f>
        <v/>
      </c>
      <c r="G65" s="5" t="inlineStr">
        <is>
          <t>IP and Trial Supplies</t>
        </is>
      </c>
      <c r="H65" s="5" t="inlineStr">
        <is>
          <t>Non-IP Documentation</t>
        </is>
      </c>
      <c r="I65" s="5" t="inlineStr">
        <is>
          <t>Non-IP Shipment Documentation</t>
        </is>
      </c>
      <c r="J65" s="5" t="inlineStr">
        <is>
          <t>NIPSF_Patient materials: ICF, patient`s card and PQC (file copy)_13Jan2026</t>
        </is>
      </c>
      <c r="K65" s="6" t="n">
        <v>48</v>
      </c>
      <c r="L65" s="7" t="n">
        <v>46036</v>
      </c>
      <c r="M65" s="11" t="n">
        <v>46084</v>
      </c>
      <c r="N65" s="5" t="inlineStr">
        <is>
          <t>Approved</t>
        </is>
      </c>
      <c r="O65" s="5" t="inlineStr">
        <is>
          <t>Site</t>
        </is>
      </c>
      <c r="P65" s="5" t="inlineStr">
        <is>
          <t>Poland</t>
        </is>
      </c>
      <c r="Q65" s="13" t="inlineStr">
        <is>
          <t>S10-PL10017</t>
        </is>
      </c>
      <c r="R65" s="5" t="inlineStr">
        <is>
          <t>Agnieszka Smolewska</t>
        </is>
      </c>
      <c r="S65" s="8" t="n">
        <v>46084.48416666667</v>
      </c>
    </row>
    <row r="66" hidden="1" ht="29" customHeight="1">
      <c r="A66" s="15">
        <f>HYPERLINK("https://vtmf.veevavault.com/ui/#doc_info/30799516/1/0", "VTMF-24819714")</f>
        <v/>
      </c>
      <c r="B66" s="20" t="inlineStr">
        <is>
          <t>Yes</t>
        </is>
      </c>
      <c r="C66" s="5" t="inlineStr">
        <is>
          <t>1.0</t>
        </is>
      </c>
      <c r="D66" s="5" t="inlineStr">
        <is>
          <t>GCO</t>
        </is>
      </c>
      <c r="E66" s="5" t="inlineStr">
        <is>
          <t>42847922MDD3003</t>
        </is>
      </c>
      <c r="F66" s="16">
        <f>HYPERLINK("https://vtmf.veevavault.com/ui/#doc_info/30799516/1/0", "42847922MDD3003-CZE-S10-CZ10012-Financial Disclosure Form-13 Oct 2025 (v1.0)")</f>
        <v/>
      </c>
      <c r="G66" s="5" t="inlineStr">
        <is>
          <t>Site Management</t>
        </is>
      </c>
      <c r="H66" s="5" t="inlineStr">
        <is>
          <t>Site Set-up Documentation</t>
        </is>
      </c>
      <c r="I66" s="5" t="inlineStr">
        <is>
          <t>Financial Disclosure Form</t>
        </is>
      </c>
      <c r="J66" s="5" t="inlineStr">
        <is>
          <t>IFDF_Wolfova, I_Initial_13Oct2025</t>
        </is>
      </c>
      <c r="K66" s="6" t="n">
        <v>97</v>
      </c>
      <c r="L66" s="7" t="n">
        <v>45943</v>
      </c>
      <c r="M66" s="11" t="n">
        <v>46040</v>
      </c>
      <c r="N66" s="5" t="inlineStr">
        <is>
          <t>Approved</t>
        </is>
      </c>
      <c r="O66" s="5" t="inlineStr">
        <is>
          <t>Site</t>
        </is>
      </c>
      <c r="P66" s="5" t="inlineStr">
        <is>
          <t>Czech Republic</t>
        </is>
      </c>
      <c r="Q66" s="13" t="inlineStr">
        <is>
          <t>S10-CZ10012</t>
        </is>
      </c>
      <c r="R66" s="5" t="inlineStr">
        <is>
          <t>Vera Matousková</t>
        </is>
      </c>
      <c r="S66" s="8" t="n">
        <v>46040.8575462963</v>
      </c>
    </row>
    <row r="67" hidden="1" ht="29" customHeight="1">
      <c r="A67" s="15">
        <f>HYPERLINK("https://vtmf.veevavault.com/ui/#doc_info/30802699/1/0", "VTMF-24822340")</f>
        <v/>
      </c>
      <c r="B67" s="20" t="inlineStr">
        <is>
          <t>Yes</t>
        </is>
      </c>
      <c r="C67" s="5" t="inlineStr">
        <is>
          <t>1.0</t>
        </is>
      </c>
      <c r="D67" s="5" t="inlineStr">
        <is>
          <t>GCO</t>
        </is>
      </c>
      <c r="E67" s="5" t="inlineStr">
        <is>
          <t>42847922MDD3003</t>
        </is>
      </c>
      <c r="F67" s="16">
        <f>HYPERLINK("https://vtmf.veevavault.com/ui/#doc_info/30802699/1/0", "42847922MDD3003-TUR-S10-TR10012-Financial Disclosure Form-28 Jul 2025 (v1.0)")</f>
        <v/>
      </c>
      <c r="G67" s="5" t="inlineStr">
        <is>
          <t>Site Management</t>
        </is>
      </c>
      <c r="H67" s="5" t="inlineStr">
        <is>
          <t>Site Set-up Documentation</t>
        </is>
      </c>
      <c r="I67" s="5" t="inlineStr">
        <is>
          <t>Financial Disclosure Form</t>
        </is>
      </c>
      <c r="J67" s="5" t="inlineStr">
        <is>
          <t>IFDF_Nakipoglu,T._Initial</t>
        </is>
      </c>
      <c r="K67" s="6" t="n">
        <v>176</v>
      </c>
      <c r="L67" s="7" t="n">
        <v>45866</v>
      </c>
      <c r="M67" s="11" t="n">
        <v>46042</v>
      </c>
      <c r="N67" s="5" t="inlineStr">
        <is>
          <t>Approved</t>
        </is>
      </c>
      <c r="O67" s="5" t="inlineStr">
        <is>
          <t>Site</t>
        </is>
      </c>
      <c r="P67" s="5" t="inlineStr">
        <is>
          <t>Türkiye</t>
        </is>
      </c>
      <c r="Q67" s="13" t="inlineStr">
        <is>
          <t>S10-TR10012</t>
        </is>
      </c>
      <c r="R67" s="5" t="inlineStr">
        <is>
          <t>Gozde Mermer (VeevaID)</t>
        </is>
      </c>
      <c r="S67" s="8" t="n">
        <v>46041.51854166666</v>
      </c>
    </row>
    <row r="68" hidden="1" ht="29" customHeight="1">
      <c r="A68" s="15">
        <f>HYPERLINK("https://vtmf.veevavault.com/ui/#doc_info/30802803/1/0", "VTMF-24822347")</f>
        <v/>
      </c>
      <c r="B68" s="20" t="inlineStr">
        <is>
          <t>Yes</t>
        </is>
      </c>
      <c r="C68" s="5" t="inlineStr">
        <is>
          <t>1.0</t>
        </is>
      </c>
      <c r="D68" s="5" t="inlineStr">
        <is>
          <t>GCO</t>
        </is>
      </c>
      <c r="E68" s="5" t="inlineStr">
        <is>
          <t>42847922MDD3003</t>
        </is>
      </c>
      <c r="F68" s="16">
        <f>HYPERLINK("https://vtmf.veevavault.com/ui/#doc_info/30802803/1/0", "42847922MDD3003-TUR-S10-TR10012-Financial Disclosure Form-28 Jul 2025 (v1.0)")</f>
        <v/>
      </c>
      <c r="G68" s="5" t="inlineStr">
        <is>
          <t>Site Management</t>
        </is>
      </c>
      <c r="H68" s="5" t="inlineStr">
        <is>
          <t>Site Set-up Documentation</t>
        </is>
      </c>
      <c r="I68" s="5" t="inlineStr">
        <is>
          <t>Financial Disclosure Form</t>
        </is>
      </c>
      <c r="J68" s="5" t="inlineStr">
        <is>
          <t>IFDF_Babaoglan,Y._Initial</t>
        </is>
      </c>
      <c r="K68" s="6" t="n">
        <v>176</v>
      </c>
      <c r="L68" s="7" t="n">
        <v>45866</v>
      </c>
      <c r="M68" s="11" t="n">
        <v>46042</v>
      </c>
      <c r="N68" s="5" t="inlineStr">
        <is>
          <t>Approved</t>
        </is>
      </c>
      <c r="O68" s="5" t="inlineStr">
        <is>
          <t>Site</t>
        </is>
      </c>
      <c r="P68" s="5" t="inlineStr">
        <is>
          <t>Türkiye</t>
        </is>
      </c>
      <c r="Q68" s="13" t="inlineStr">
        <is>
          <t>S10-TR10012</t>
        </is>
      </c>
      <c r="R68" s="5" t="inlineStr">
        <is>
          <t>Gozde Mermer (VeevaID)</t>
        </is>
      </c>
      <c r="S68" s="8" t="n">
        <v>46041.51950231481</v>
      </c>
    </row>
    <row r="69" hidden="1">
      <c r="A69" s="15">
        <f>HYPERLINK("https://vtmf.veevavault.com/ui/#doc_info/30804542/1/0", "VTMF-24823673")</f>
        <v/>
      </c>
      <c r="B69" s="20" t="inlineStr">
        <is>
          <t>Yes</t>
        </is>
      </c>
      <c r="C69" s="5" t="inlineStr">
        <is>
          <t>1.0</t>
        </is>
      </c>
      <c r="D69" s="5" t="inlineStr">
        <is>
          <t>GCO</t>
        </is>
      </c>
      <c r="E69" s="5" t="inlineStr">
        <is>
          <t>42847922MDD3003</t>
        </is>
      </c>
      <c r="F69" s="16">
        <f>HYPERLINK("https://vtmf.veevavault.com/ui/#doc_info/30804542/1/0", "42847922MDD3003---Team Meetings-01 Dec 2025 (v1.0)")</f>
        <v/>
      </c>
      <c r="G69" s="5" t="inlineStr">
        <is>
          <t>Trial Management</t>
        </is>
      </c>
      <c r="H69" s="5" t="inlineStr">
        <is>
          <t>Meetings</t>
        </is>
      </c>
      <c r="I69" s="5" t="inlineStr">
        <is>
          <t>Team Meetings</t>
        </is>
      </c>
      <c r="J69" s="5" t="inlineStr">
        <is>
          <t>Data Quality Dashboard December 2025</t>
        </is>
      </c>
      <c r="K69" s="6" t="n">
        <v>49</v>
      </c>
      <c r="L69" s="7" t="n">
        <v>45992</v>
      </c>
      <c r="M69" s="11" t="n">
        <v>46041</v>
      </c>
      <c r="N69" s="5" t="inlineStr">
        <is>
          <t>Approved</t>
        </is>
      </c>
      <c r="O69" s="5" t="inlineStr">
        <is>
          <t>Study</t>
        </is>
      </c>
      <c r="P69" s="5" t="inlineStr"/>
      <c r="Q69" s="13" t="inlineStr"/>
      <c r="R69" s="5" t="inlineStr">
        <is>
          <t>Debhora Garcia</t>
        </is>
      </c>
      <c r="S69" s="8" t="n">
        <v>46041.70040509259</v>
      </c>
    </row>
    <row r="70" hidden="1" ht="29" customHeight="1">
      <c r="A70" s="15">
        <f>HYPERLINK("https://vtmf.veevavault.com/ui/#doc_info/30806358/1/0", "VTMF-24825282")</f>
        <v/>
      </c>
      <c r="B70" s="20" t="inlineStr">
        <is>
          <t>Yes</t>
        </is>
      </c>
      <c r="C70" s="5" t="inlineStr">
        <is>
          <t>1.0</t>
        </is>
      </c>
      <c r="D70" s="5" t="inlineStr">
        <is>
          <t>GCO</t>
        </is>
      </c>
      <c r="E70" s="5" t="inlineStr">
        <is>
          <t>42847922MDD3003</t>
        </is>
      </c>
      <c r="F70" s="16">
        <f>HYPERLINK("https://vtmf.veevavault.com/ui/#doc_info/30806358/1/0", "42847922MDD3003-USA-S10-US10200-Relevant Communications-30 Oct 2025 (v1.0)")</f>
        <v/>
      </c>
      <c r="G70" s="5" t="inlineStr">
        <is>
          <t>IP and Trial Supplies</t>
        </is>
      </c>
      <c r="H70" s="5" t="inlineStr">
        <is>
          <t>General</t>
        </is>
      </c>
      <c r="I70" s="5" t="inlineStr">
        <is>
          <t>Relevant Communications</t>
        </is>
      </c>
      <c r="J70" s="5" t="inlineStr">
        <is>
          <t>Notification of Capital Equipment Return</t>
        </is>
      </c>
      <c r="K70" s="6" t="n">
        <v>81</v>
      </c>
      <c r="L70" s="7" t="n">
        <v>45960</v>
      </c>
      <c r="M70" s="11" t="n">
        <v>46041</v>
      </c>
      <c r="N70" s="5" t="inlineStr">
        <is>
          <t>Approved</t>
        </is>
      </c>
      <c r="O70" s="5" t="inlineStr">
        <is>
          <t>Site</t>
        </is>
      </c>
      <c r="P70" s="5" t="inlineStr">
        <is>
          <t>United States</t>
        </is>
      </c>
      <c r="Q70" s="13" t="inlineStr">
        <is>
          <t>S10-US10200</t>
        </is>
      </c>
      <c r="R70" s="5" t="inlineStr">
        <is>
          <t>Darius Ford</t>
        </is>
      </c>
      <c r="S70" s="8" t="n">
        <v>46042.1709837963</v>
      </c>
    </row>
    <row r="71" hidden="1" ht="29" customHeight="1">
      <c r="A71" s="15">
        <f>HYPERLINK("https://vtmf.veevavault.com/ui/#doc_info/30806429/1/0", "VTMF-24825299")</f>
        <v/>
      </c>
      <c r="B71" s="20" t="inlineStr">
        <is>
          <t>Yes</t>
        </is>
      </c>
      <c r="C71" s="5" t="inlineStr">
        <is>
          <t>1.0</t>
        </is>
      </c>
      <c r="D71" s="5" t="inlineStr">
        <is>
          <t>GCO</t>
        </is>
      </c>
      <c r="E71" s="5" t="inlineStr">
        <is>
          <t>42847922MDD3003</t>
        </is>
      </c>
      <c r="F71" s="16">
        <f>HYPERLINK("https://vtmf.veevavault.com/ui/#doc_info/30806429/1/0", "42847922MDD3003-USA-S10-US10066-Relevant Communications-30 Oct 2025 (v1.0)")</f>
        <v/>
      </c>
      <c r="G71" s="5" t="inlineStr">
        <is>
          <t>IP and Trial Supplies</t>
        </is>
      </c>
      <c r="H71" s="5" t="inlineStr">
        <is>
          <t>General</t>
        </is>
      </c>
      <c r="I71" s="5" t="inlineStr">
        <is>
          <t>Relevant Communications</t>
        </is>
      </c>
      <c r="J71" s="5" t="inlineStr">
        <is>
          <t>Notification of Capital Equipment Return</t>
        </is>
      </c>
      <c r="K71" s="6" t="n">
        <v>81</v>
      </c>
      <c r="L71" s="7" t="n">
        <v>45960</v>
      </c>
      <c r="M71" s="11" t="n">
        <v>46041</v>
      </c>
      <c r="N71" s="5" t="inlineStr">
        <is>
          <t>Approved</t>
        </is>
      </c>
      <c r="O71" s="5" t="inlineStr">
        <is>
          <t>Site</t>
        </is>
      </c>
      <c r="P71" s="5" t="inlineStr">
        <is>
          <t>United States</t>
        </is>
      </c>
      <c r="Q71" s="13" t="inlineStr">
        <is>
          <t>S10-US10066</t>
        </is>
      </c>
      <c r="R71" s="5" t="inlineStr">
        <is>
          <t>Darius Ford</t>
        </is>
      </c>
      <c r="S71" s="8" t="n">
        <v>46042.1740162037</v>
      </c>
    </row>
    <row r="72" hidden="1" ht="29" customHeight="1">
      <c r="A72" s="15">
        <f>HYPERLINK("https://vtmf.veevavault.com/ui/#doc_info/30806438/1/0", "VTMF-24825310")</f>
        <v/>
      </c>
      <c r="B72" s="20" t="inlineStr">
        <is>
          <t>Yes</t>
        </is>
      </c>
      <c r="C72" s="5" t="inlineStr">
        <is>
          <t>1.0</t>
        </is>
      </c>
      <c r="D72" s="5" t="inlineStr">
        <is>
          <t>GCO</t>
        </is>
      </c>
      <c r="E72" s="5" t="inlineStr">
        <is>
          <t>42847922MDD3003</t>
        </is>
      </c>
      <c r="F72" s="16">
        <f>HYPERLINK("https://vtmf.veevavault.com/ui/#doc_info/30806438/1/0", "42847922MDD3003-USA-S10-US10025-Relevant Communications-30 Oct 2025 (v1.0)")</f>
        <v/>
      </c>
      <c r="G72" s="5" t="inlineStr">
        <is>
          <t>IP and Trial Supplies</t>
        </is>
      </c>
      <c r="H72" s="5" t="inlineStr">
        <is>
          <t>General</t>
        </is>
      </c>
      <c r="I72" s="5" t="inlineStr">
        <is>
          <t>Relevant Communications</t>
        </is>
      </c>
      <c r="J72" s="5" t="inlineStr">
        <is>
          <t>Notification of Capital Equipment Return</t>
        </is>
      </c>
      <c r="K72" s="6" t="n">
        <v>81</v>
      </c>
      <c r="L72" s="7" t="n">
        <v>45960</v>
      </c>
      <c r="M72" s="11" t="n">
        <v>46041</v>
      </c>
      <c r="N72" s="5" t="inlineStr">
        <is>
          <t>Approved</t>
        </is>
      </c>
      <c r="O72" s="5" t="inlineStr">
        <is>
          <t>Site</t>
        </is>
      </c>
      <c r="P72" s="5" t="inlineStr">
        <is>
          <t>United States</t>
        </is>
      </c>
      <c r="Q72" s="13" t="inlineStr">
        <is>
          <t>S10-US10025</t>
        </is>
      </c>
      <c r="R72" s="5" t="inlineStr">
        <is>
          <t>Darius Ford</t>
        </is>
      </c>
      <c r="S72" s="8" t="n">
        <v>46042.17556712963</v>
      </c>
    </row>
    <row r="73" hidden="1" ht="29" customHeight="1">
      <c r="A73" s="15">
        <f>HYPERLINK("https://vtmf.veevavault.com/ui/#doc_info/30806440/1/0", "VTMF-24825313")</f>
        <v/>
      </c>
      <c r="B73" s="20" t="inlineStr">
        <is>
          <t>Yes</t>
        </is>
      </c>
      <c r="C73" s="5" t="inlineStr">
        <is>
          <t>1.0</t>
        </is>
      </c>
      <c r="D73" s="5" t="inlineStr">
        <is>
          <t>GCO</t>
        </is>
      </c>
      <c r="E73" s="5" t="inlineStr">
        <is>
          <t>42847922MDD3003</t>
        </is>
      </c>
      <c r="F73" s="16">
        <f>HYPERLINK("https://vtmf.veevavault.com/ui/#doc_info/30806440/1/0", "42847922MDD3003-USA-S10-US10154-Relevant Communications-30 Oct 2025 (v1.0)")</f>
        <v/>
      </c>
      <c r="G73" s="5" t="inlineStr">
        <is>
          <t>IP and Trial Supplies</t>
        </is>
      </c>
      <c r="H73" s="5" t="inlineStr">
        <is>
          <t>General</t>
        </is>
      </c>
      <c r="I73" s="5" t="inlineStr">
        <is>
          <t>Relevant Communications</t>
        </is>
      </c>
      <c r="J73" s="5" t="inlineStr">
        <is>
          <t>Notification of Capital Equipment Return</t>
        </is>
      </c>
      <c r="K73" s="6" t="n">
        <v>81</v>
      </c>
      <c r="L73" s="7" t="n">
        <v>45960</v>
      </c>
      <c r="M73" s="11" t="n">
        <v>46041</v>
      </c>
      <c r="N73" s="5" t="inlineStr">
        <is>
          <t>Approved</t>
        </is>
      </c>
      <c r="O73" s="5" t="inlineStr">
        <is>
          <t>Site</t>
        </is>
      </c>
      <c r="P73" s="5" t="inlineStr">
        <is>
          <t>United States</t>
        </is>
      </c>
      <c r="Q73" s="13" t="inlineStr">
        <is>
          <t>S10-US10154</t>
        </is>
      </c>
      <c r="R73" s="5" t="inlineStr">
        <is>
          <t>Darius Ford</t>
        </is>
      </c>
      <c r="S73" s="8" t="n">
        <v>46042.17690972222</v>
      </c>
    </row>
    <row r="74" hidden="1" ht="29" customHeight="1">
      <c r="A74" s="15">
        <f>HYPERLINK("https://vtmf.veevavault.com/ui/#doc_info/30808015/1/0", "VTMF-24826702")</f>
        <v/>
      </c>
      <c r="B74" s="19" t="inlineStr">
        <is>
          <t>No</t>
        </is>
      </c>
      <c r="C74" s="5" t="inlineStr">
        <is>
          <t>1.0</t>
        </is>
      </c>
      <c r="D74" s="5" t="inlineStr">
        <is>
          <t>GCO</t>
        </is>
      </c>
      <c r="E74" s="5" t="inlineStr">
        <is>
          <t>42847922MDD3003</t>
        </is>
      </c>
      <c r="F74" s="16">
        <f>HYPERLINK("https://vtmf.veevavault.com/ui/#doc_info/30808015/1/0", "42847922MDD3003-TUR-S10-TR10006-IP Destruction Form-16 Dec 2025 (v1.0)")</f>
        <v/>
      </c>
      <c r="G74" s="5" t="inlineStr">
        <is>
          <t>IP and Trial Supplies</t>
        </is>
      </c>
      <c r="H74" s="5" t="inlineStr">
        <is>
          <t>IP Documentation</t>
        </is>
      </c>
      <c r="I74" s="5" t="inlineStr">
        <is>
          <t>IP Destruction Form</t>
        </is>
      </c>
      <c r="J74" s="5" t="inlineStr">
        <is>
          <t>IP Destruction Form_#183</t>
        </is>
      </c>
      <c r="K74" s="6" t="n">
        <v>35</v>
      </c>
      <c r="L74" s="7" t="n">
        <v>46007</v>
      </c>
      <c r="M74" s="11" t="n">
        <v>46042</v>
      </c>
      <c r="N74" s="5" t="inlineStr">
        <is>
          <t>Approved</t>
        </is>
      </c>
      <c r="O74" s="5" t="inlineStr">
        <is>
          <t>Site</t>
        </is>
      </c>
      <c r="P74" s="5" t="inlineStr">
        <is>
          <t>Türkiye</t>
        </is>
      </c>
      <c r="Q74" s="13" t="inlineStr">
        <is>
          <t>S10-TR10006</t>
        </is>
      </c>
      <c r="R74" s="5" t="inlineStr">
        <is>
          <t>Gulsah Yalcinkaya</t>
        </is>
      </c>
      <c r="S74" s="8" t="n">
        <v>46042.405</v>
      </c>
    </row>
    <row r="75" hidden="1" ht="29" customHeight="1">
      <c r="A75" s="15">
        <f>HYPERLINK("https://vtmf.veevavault.com/ui/#doc_info/30810052/1/0", "VTMF-24828072")</f>
        <v/>
      </c>
      <c r="B75" s="20" t="inlineStr">
        <is>
          <t>Yes</t>
        </is>
      </c>
      <c r="C75" s="5" t="inlineStr">
        <is>
          <t>1.0</t>
        </is>
      </c>
      <c r="D75" s="5" t="inlineStr">
        <is>
          <t>GCO</t>
        </is>
      </c>
      <c r="E75" s="5" t="inlineStr">
        <is>
          <t>42847922MDD3003</t>
        </is>
      </c>
      <c r="F75" s="16">
        <f>HYPERLINK("https://vtmf.veevavault.com/ui/#doc_info/30810052/1/0", "42847922MDD3003-SWE-S10-SE10012-Financial Disclosure Form-14 May 2025 (v1.0)")</f>
        <v/>
      </c>
      <c r="G75" s="5" t="inlineStr">
        <is>
          <t>Site Management</t>
        </is>
      </c>
      <c r="H75" s="5" t="inlineStr">
        <is>
          <t>Site Set-up Documentation</t>
        </is>
      </c>
      <c r="I75" s="5" t="inlineStr">
        <is>
          <t>Financial Disclosure Form</t>
        </is>
      </c>
      <c r="J75" s="5" t="inlineStr">
        <is>
          <t>IFDF_Risedahl, U_initial</t>
        </is>
      </c>
      <c r="K75" s="6" t="n">
        <v>251</v>
      </c>
      <c r="L75" s="7" t="n">
        <v>45791</v>
      </c>
      <c r="M75" s="11" t="n">
        <v>46042</v>
      </c>
      <c r="N75" s="5" t="inlineStr">
        <is>
          <t>Approved</t>
        </is>
      </c>
      <c r="O75" s="5" t="inlineStr">
        <is>
          <t>Site</t>
        </is>
      </c>
      <c r="P75" s="5" t="inlineStr">
        <is>
          <t>Sweden</t>
        </is>
      </c>
      <c r="Q75" s="13" t="inlineStr">
        <is>
          <t>S10-SE10012</t>
        </is>
      </c>
      <c r="R75" s="5" t="inlineStr">
        <is>
          <t>Marcus Nilsson</t>
        </is>
      </c>
      <c r="S75" s="8" t="n">
        <v>46042.59006944444</v>
      </c>
    </row>
    <row r="76" hidden="1" ht="29" customHeight="1">
      <c r="A76" s="15">
        <f>HYPERLINK("https://vtmf.veevavault.com/ui/#doc_info/30810373/1/0", "VTMF-24828300")</f>
        <v/>
      </c>
      <c r="B76" s="20" t="inlineStr">
        <is>
          <t>Yes</t>
        </is>
      </c>
      <c r="C76" s="5" t="inlineStr">
        <is>
          <t>1.0</t>
        </is>
      </c>
      <c r="D76" s="5" t="inlineStr">
        <is>
          <t>GCO</t>
        </is>
      </c>
      <c r="E76" s="5" t="inlineStr">
        <is>
          <t>42847922MDD3003</t>
        </is>
      </c>
      <c r="F76" s="16">
        <f>HYPERLINK("https://vtmf.veevavault.com/ui/#doc_info/30810373/1/0", "42847922MDD3003-BRA-S10-BR10013-Relevant Communications-10 Dec 2025 (v1.0)")</f>
        <v/>
      </c>
      <c r="G76" s="5" t="inlineStr">
        <is>
          <t>Site Management</t>
        </is>
      </c>
      <c r="H76" s="5" t="inlineStr">
        <is>
          <t>General</t>
        </is>
      </c>
      <c r="I76" s="5" t="inlineStr">
        <is>
          <t>Relevant Communications</t>
        </is>
      </c>
      <c r="J76" s="5" t="inlineStr">
        <is>
          <t>Email_SAE filing instruction; 10Dec2025</t>
        </is>
      </c>
      <c r="K76" s="6" t="n">
        <v>41</v>
      </c>
      <c r="L76" s="7" t="n">
        <v>46001</v>
      </c>
      <c r="M76" s="11" t="n">
        <v>46042</v>
      </c>
      <c r="N76" s="5" t="inlineStr">
        <is>
          <t>Approved</t>
        </is>
      </c>
      <c r="O76" s="5" t="inlineStr">
        <is>
          <t>Site</t>
        </is>
      </c>
      <c r="P76" s="5" t="inlineStr">
        <is>
          <t>Brazil</t>
        </is>
      </c>
      <c r="Q76" s="13" t="inlineStr">
        <is>
          <t>S10-BR10003, S10-BR10013</t>
        </is>
      </c>
      <c r="R76" s="5" t="inlineStr">
        <is>
          <t>BARBARA SILVA</t>
        </is>
      </c>
      <c r="S76" s="8" t="n">
        <v>46042.61472222222</v>
      </c>
    </row>
    <row r="77" hidden="1" ht="29" customHeight="1">
      <c r="A77" s="15">
        <f>HYPERLINK("https://vtmf.veevavault.com/ui/#doc_info/30810435/1/0", "VTMF-24828393")</f>
        <v/>
      </c>
      <c r="B77" s="19" t="inlineStr">
        <is>
          <t>No</t>
        </is>
      </c>
      <c r="C77" s="5" t="inlineStr">
        <is>
          <t>1.0</t>
        </is>
      </c>
      <c r="D77" s="5" t="inlineStr">
        <is>
          <t>GCO</t>
        </is>
      </c>
      <c r="E77" s="5" t="inlineStr">
        <is>
          <t>42847922MDD3003</t>
        </is>
      </c>
      <c r="F77" s="16">
        <f>HYPERLINK("https://vtmf.veevavault.com/ui/#doc_info/30810435/1/0", "42847922MDD3003-BRA-S10-BR10009-Sub-Investigator Curriculum Vitae-15 May 2025 (v1.0)")</f>
        <v/>
      </c>
      <c r="G77" s="5" t="inlineStr">
        <is>
          <t>Site Management</t>
        </is>
      </c>
      <c r="H77" s="5" t="inlineStr">
        <is>
          <t>Site Set-up Documentation</t>
        </is>
      </c>
      <c r="I77" s="5" t="inlineStr">
        <is>
          <t>Sub-Investigator Curriculum Vitae</t>
        </is>
      </c>
      <c r="J77" s="5" t="inlineStr">
        <is>
          <t>CV_Eng_Giacomini, D_Initial; 15May2025</t>
        </is>
      </c>
      <c r="K77" s="6" t="n">
        <v>250</v>
      </c>
      <c r="L77" s="7" t="n">
        <v>45792</v>
      </c>
      <c r="M77" s="11" t="n">
        <v>46042</v>
      </c>
      <c r="N77" s="5" t="inlineStr">
        <is>
          <t>Approved</t>
        </is>
      </c>
      <c r="O77" s="5" t="inlineStr">
        <is>
          <t>Site</t>
        </is>
      </c>
      <c r="P77" s="5" t="inlineStr">
        <is>
          <t>Brazil</t>
        </is>
      </c>
      <c r="Q77" s="13" t="inlineStr">
        <is>
          <t>S10-BR10009</t>
        </is>
      </c>
      <c r="R77" s="5" t="inlineStr">
        <is>
          <t>BARBARA SILVA</t>
        </is>
      </c>
      <c r="S77" s="8" t="n">
        <v>46042.6299537037</v>
      </c>
    </row>
    <row r="78" hidden="1" ht="29" customHeight="1">
      <c r="A78" s="15">
        <f>HYPERLINK("https://vtmf.veevavault.com/ui/#doc_info/30810917/1/0", "VTMF-24828680")</f>
        <v/>
      </c>
      <c r="B78" s="18" t="inlineStr">
        <is>
          <t>N/A</t>
        </is>
      </c>
      <c r="C78" s="5" t="inlineStr">
        <is>
          <t>1.0</t>
        </is>
      </c>
      <c r="D78" s="5" t="inlineStr">
        <is>
          <t>GCO</t>
        </is>
      </c>
      <c r="E78" s="5" t="inlineStr">
        <is>
          <t>42847922MDD3003</t>
        </is>
      </c>
      <c r="F78" s="16">
        <f>HYPERLINK("https://vtmf.veevavault.com/ui/#doc_info/30810917/1/0", "Optional_42847922MDD3003 Clario ECG Training v2.0_30Oct2025 (v1.0)")</f>
        <v/>
      </c>
      <c r="G78" s="5" t="inlineStr">
        <is>
          <t>Trial Management</t>
        </is>
      </c>
      <c r="H78" s="5" t="inlineStr">
        <is>
          <t>Trial Oversight</t>
        </is>
      </c>
      <c r="I78" s="5" t="inlineStr">
        <is>
          <t>Study Specific Training Material</t>
        </is>
      </c>
      <c r="J78" s="5" t="inlineStr">
        <is>
          <t>42847922MDD3003 Clario ECG Training v2.0_30Oct2025</t>
        </is>
      </c>
      <c r="K78" s="6" t="n">
        <v>82</v>
      </c>
      <c r="L78" s="7" t="n">
        <v>45960</v>
      </c>
      <c r="M78" s="11" t="n">
        <v>46042</v>
      </c>
      <c r="N78" s="5" t="inlineStr">
        <is>
          <t>Approved</t>
        </is>
      </c>
      <c r="O78" s="5" t="inlineStr">
        <is>
          <t>Study</t>
        </is>
      </c>
      <c r="P78" s="5" t="inlineStr"/>
      <c r="Q78" s="13" t="inlineStr"/>
      <c r="R78" s="5" t="inlineStr">
        <is>
          <t>Jen Goodridge</t>
        </is>
      </c>
      <c r="S78" s="8" t="n">
        <v>46042.65723379629</v>
      </c>
    </row>
    <row r="79" hidden="1" ht="29" customHeight="1">
      <c r="A79" s="15">
        <f>HYPERLINK("https://vtmf.veevavault.com/ui/#doc_info/30818482/1/0", "VTMF-24835406")</f>
        <v/>
      </c>
      <c r="B79" s="20" t="inlineStr">
        <is>
          <t>Yes</t>
        </is>
      </c>
      <c r="C79" s="5" t="inlineStr">
        <is>
          <t>1.0</t>
        </is>
      </c>
      <c r="D79" s="5" t="inlineStr">
        <is>
          <t>GCO</t>
        </is>
      </c>
      <c r="E79" s="5" t="inlineStr">
        <is>
          <t>42847922MDD3003</t>
        </is>
      </c>
      <c r="F79" s="16">
        <f>HYPERLINK("https://vtmf.veevavault.com/ui/#doc_info/30818482/1/0", "42847922MDD3003-PRT-S10-PT10005-Relevant Communications-13 Nov 2025 (v1.0)")</f>
        <v/>
      </c>
      <c r="G79" s="5" t="inlineStr">
        <is>
          <t>Site Management</t>
        </is>
      </c>
      <c r="H79" s="5" t="inlineStr">
        <is>
          <t>General</t>
        </is>
      </c>
      <c r="I79" s="5" t="inlineStr">
        <is>
          <t>Relevant Communications</t>
        </is>
      </c>
      <c r="J79" s="5" t="inlineStr">
        <is>
          <t>Email_Acknowledgment of Receipt of Participant Expense Card v1_0_Portuguese Version</t>
        </is>
      </c>
      <c r="K79" s="6" t="n">
        <v>69</v>
      </c>
      <c r="L79" s="7" t="n">
        <v>45974</v>
      </c>
      <c r="M79" s="11" t="n">
        <v>46043</v>
      </c>
      <c r="N79" s="5" t="inlineStr">
        <is>
          <t>Approved</t>
        </is>
      </c>
      <c r="O79" s="5" t="inlineStr">
        <is>
          <t>Site</t>
        </is>
      </c>
      <c r="P79" s="5" t="inlineStr">
        <is>
          <t>Portugal</t>
        </is>
      </c>
      <c r="Q79" s="13" t="inlineStr">
        <is>
          <t>S10-PT10005</t>
        </is>
      </c>
      <c r="R79" s="5" t="inlineStr">
        <is>
          <t>Ruben Ayora</t>
        </is>
      </c>
      <c r="S79" s="8" t="n">
        <v>46043.52474537037</v>
      </c>
    </row>
    <row r="80" hidden="1" ht="29" customHeight="1">
      <c r="A80" s="15">
        <f>HYPERLINK("https://vtmf.veevavault.com/ui/#doc_info/30818483/1/0", "VTMF-24835407")</f>
        <v/>
      </c>
      <c r="B80" s="20" t="inlineStr">
        <is>
          <t>Yes</t>
        </is>
      </c>
      <c r="C80" s="5" t="inlineStr">
        <is>
          <t>1.0</t>
        </is>
      </c>
      <c r="D80" s="5" t="inlineStr">
        <is>
          <t>GCO</t>
        </is>
      </c>
      <c r="E80" s="5" t="inlineStr">
        <is>
          <t>42847922MDD3003</t>
        </is>
      </c>
      <c r="F80" s="16">
        <f>HYPERLINK("https://vtmf.veevavault.com/ui/#doc_info/30818483/1/0", "42847922MDD3003-PRT-S10-PT10005-Relevant Communications-15 Dec 2025 (v1.0)")</f>
        <v/>
      </c>
      <c r="G80" s="5" t="inlineStr">
        <is>
          <t>Site Management</t>
        </is>
      </c>
      <c r="H80" s="5" t="inlineStr">
        <is>
          <t>General</t>
        </is>
      </c>
      <c r="I80" s="5" t="inlineStr">
        <is>
          <t>Relevant Communications</t>
        </is>
      </c>
      <c r="J80" s="5" t="inlineStr">
        <is>
          <t>Email_Amendment 2 to the Contract has Been Approved</t>
        </is>
      </c>
      <c r="K80" s="6" t="n">
        <v>37</v>
      </c>
      <c r="L80" s="7" t="n">
        <v>46006</v>
      </c>
      <c r="M80" s="11" t="n">
        <v>46043</v>
      </c>
      <c r="N80" s="5" t="inlineStr">
        <is>
          <t>Approved</t>
        </is>
      </c>
      <c r="O80" s="5" t="inlineStr">
        <is>
          <t>Site</t>
        </is>
      </c>
      <c r="P80" s="5" t="inlineStr">
        <is>
          <t>Portugal</t>
        </is>
      </c>
      <c r="Q80" s="13" t="inlineStr">
        <is>
          <t>S10-PT10005</t>
        </is>
      </c>
      <c r="R80" s="5" t="inlineStr">
        <is>
          <t>Ruben Ayora</t>
        </is>
      </c>
      <c r="S80" s="8" t="n">
        <v>46043.52474537037</v>
      </c>
    </row>
    <row r="81" hidden="1" ht="29" customHeight="1">
      <c r="A81" s="15">
        <f>HYPERLINK("https://vtmf.veevavault.com/ui/#doc_info/30819075/1/0", "VTMF-24835795")</f>
        <v/>
      </c>
      <c r="B81" s="20" t="inlineStr">
        <is>
          <t>Yes</t>
        </is>
      </c>
      <c r="C81" s="5" t="inlineStr">
        <is>
          <t>1.0</t>
        </is>
      </c>
      <c r="D81" s="5" t="inlineStr">
        <is>
          <t>GCO</t>
        </is>
      </c>
      <c r="E81" s="5" t="inlineStr">
        <is>
          <t>42847922MDD3003</t>
        </is>
      </c>
      <c r="F81" s="16">
        <f>HYPERLINK("https://vtmf.veevavault.com/ui/#doc_info/30819075/1/0", "42847922MDD3003-ARG-S10-AR10015-Relevant Communications-16 Dec 2025 (v1.0)")</f>
        <v/>
      </c>
      <c r="G81" s="5" t="inlineStr">
        <is>
          <t>Site Management</t>
        </is>
      </c>
      <c r="H81" s="5" t="inlineStr">
        <is>
          <t>General</t>
        </is>
      </c>
      <c r="I81" s="5" t="inlineStr">
        <is>
          <t>Relevant Communications</t>
        </is>
      </c>
      <c r="J81" s="5" t="inlineStr">
        <is>
          <t>Enrollment cap increase Noriega</t>
        </is>
      </c>
      <c r="K81" s="6" t="n">
        <v>36</v>
      </c>
      <c r="L81" s="7" t="n">
        <v>46007</v>
      </c>
      <c r="M81" s="11" t="n">
        <v>46043</v>
      </c>
      <c r="N81" s="5" t="inlineStr">
        <is>
          <t>Approved</t>
        </is>
      </c>
      <c r="O81" s="5" t="inlineStr">
        <is>
          <t>Site</t>
        </is>
      </c>
      <c r="P81" s="5" t="inlineStr">
        <is>
          <t>Argentina</t>
        </is>
      </c>
      <c r="Q81" s="13" t="inlineStr">
        <is>
          <t>S10-AR10015</t>
        </is>
      </c>
      <c r="R81" s="5" t="inlineStr">
        <is>
          <t>LEANDRO LOPEZ</t>
        </is>
      </c>
      <c r="S81" s="8" t="n">
        <v>46043.58505787037</v>
      </c>
    </row>
    <row r="82" hidden="1" ht="29" customHeight="1">
      <c r="A82" s="15">
        <f>HYPERLINK("https://vtmf.veevavault.com/ui/#doc_info/30820667/1/0", "VTMF-24837104")</f>
        <v/>
      </c>
      <c r="B82" s="19" t="inlineStr">
        <is>
          <t>No</t>
        </is>
      </c>
      <c r="C82" s="5" t="inlineStr">
        <is>
          <t>1.0</t>
        </is>
      </c>
      <c r="D82" s="5" t="inlineStr">
        <is>
          <t>GCO</t>
        </is>
      </c>
      <c r="E82" s="5" t="inlineStr">
        <is>
          <t>42847922MDD3003</t>
        </is>
      </c>
      <c r="F82" s="16">
        <f>HYPERLINK("https://vtmf.veevavault.com/ui/#doc_info/30820667/1/0", "42847922MDD3003-SVK-S10-SK10002-IP Destruction Form-28 Oct 2025 (v1.0)")</f>
        <v/>
      </c>
      <c r="G82" s="5" t="inlineStr">
        <is>
          <t>IP and Trial Supplies</t>
        </is>
      </c>
      <c r="H82" s="5" t="inlineStr">
        <is>
          <t>IP Documentation</t>
        </is>
      </c>
      <c r="I82" s="5" t="inlineStr">
        <is>
          <t>IP Destruction Form</t>
        </is>
      </c>
      <c r="J82" s="5" t="inlineStr">
        <is>
          <t>Destruction form SK-DESTR-001-2025</t>
        </is>
      </c>
      <c r="K82" s="6" t="n">
        <v>85</v>
      </c>
      <c r="L82" s="7" t="n">
        <v>45958</v>
      </c>
      <c r="M82" s="11" t="n">
        <v>46043</v>
      </c>
      <c r="N82" s="5" t="inlineStr">
        <is>
          <t>Approved</t>
        </is>
      </c>
      <c r="O82" s="5" t="inlineStr">
        <is>
          <t>Site</t>
        </is>
      </c>
      <c r="P82" s="5" t="inlineStr">
        <is>
          <t>Slovakia</t>
        </is>
      </c>
      <c r="Q82" s="13" t="inlineStr">
        <is>
          <t>S10-SK10002</t>
        </is>
      </c>
      <c r="R82" s="5" t="inlineStr">
        <is>
          <t>Jitka Kone</t>
        </is>
      </c>
      <c r="S82" s="8" t="n">
        <v>46043.70262731481</v>
      </c>
    </row>
    <row r="83" hidden="1" ht="29" customHeight="1">
      <c r="A83" s="15">
        <f>HYPERLINK("https://vtmf.veevavault.com/ui/#doc_info/30826730/1/0", "VTMF-24842429")</f>
        <v/>
      </c>
      <c r="B83" s="20" t="inlineStr">
        <is>
          <t>Yes</t>
        </is>
      </c>
      <c r="C83" s="5" t="inlineStr">
        <is>
          <t>1.0</t>
        </is>
      </c>
      <c r="D83" s="5" t="inlineStr">
        <is>
          <t>GCO</t>
        </is>
      </c>
      <c r="E83" s="5" t="inlineStr">
        <is>
          <t>42847922MDD3003</t>
        </is>
      </c>
      <c r="F83" s="16">
        <f>HYPERLINK("https://vtmf.veevavault.com/ui/#doc_info/30826730/1/0", "42847922MDD3003-SWE-S10-SE10002-Relevant Communications-18 Nov 2025 (v1.0)")</f>
        <v/>
      </c>
      <c r="G83" s="5" t="inlineStr">
        <is>
          <t>Trial Management</t>
        </is>
      </c>
      <c r="H83" s="5" t="inlineStr">
        <is>
          <t>General</t>
        </is>
      </c>
      <c r="I83" s="5" t="inlineStr">
        <is>
          <t>Relevant Communications</t>
        </is>
      </c>
      <c r="J83" s="5" t="inlineStr">
        <is>
          <t>Subject SE100020024 - Re-Screening request approved</t>
        </is>
      </c>
      <c r="K83" s="6" t="n">
        <v>65</v>
      </c>
      <c r="L83" s="7" t="n">
        <v>45979</v>
      </c>
      <c r="M83" s="11" t="n">
        <v>46044</v>
      </c>
      <c r="N83" s="5" t="inlineStr">
        <is>
          <t>Approved</t>
        </is>
      </c>
      <c r="O83" s="5" t="inlineStr">
        <is>
          <t>Site</t>
        </is>
      </c>
      <c r="P83" s="5" t="inlineStr">
        <is>
          <t>Sweden</t>
        </is>
      </c>
      <c r="Q83" s="13" t="inlineStr">
        <is>
          <t>S10-SE10002</t>
        </is>
      </c>
      <c r="R83" s="5" t="inlineStr">
        <is>
          <t>Victoria Rye</t>
        </is>
      </c>
      <c r="S83" s="8" t="n">
        <v>46044.4396412037</v>
      </c>
    </row>
    <row r="84" hidden="1" ht="29" customHeight="1">
      <c r="A84" s="15">
        <f>HYPERLINK("https://vtmf.veevavault.com/ui/#doc_info/30830983/1/0", "VTMF-24845619")</f>
        <v/>
      </c>
      <c r="B84" s="19" t="inlineStr">
        <is>
          <t>No</t>
        </is>
      </c>
      <c r="C84" s="5" t="inlineStr">
        <is>
          <t>1.0</t>
        </is>
      </c>
      <c r="D84" s="5" t="inlineStr">
        <is>
          <t>GCO</t>
        </is>
      </c>
      <c r="E84" s="5" t="inlineStr">
        <is>
          <t>42847922MDD3003</t>
        </is>
      </c>
      <c r="F84" s="16">
        <f>HYPERLINK("https://vtmf.veevavault.com/ui/#doc_info/30830983/1/0", "42847922MDD3003-BRA-S10-BR10009-Other Curriculum Vitae-18 Aug 2025 (v1.0)")</f>
        <v/>
      </c>
      <c r="G84" s="5" t="inlineStr">
        <is>
          <t>Site Management</t>
        </is>
      </c>
      <c r="H84" s="5" t="inlineStr">
        <is>
          <t>Site Set-up Documentation</t>
        </is>
      </c>
      <c r="I84" s="5" t="inlineStr">
        <is>
          <t>Other Curriculum Vitae</t>
        </is>
      </c>
      <c r="J84" s="5" t="inlineStr">
        <is>
          <t>CV_ENG/POR_Zardo, L._Initial_18Aug2025</t>
        </is>
      </c>
      <c r="K84" s="6" t="n">
        <v>157</v>
      </c>
      <c r="L84" s="7" t="n">
        <v>45887</v>
      </c>
      <c r="M84" s="11" t="n">
        <v>46044</v>
      </c>
      <c r="N84" s="5" t="inlineStr">
        <is>
          <t>Approved</t>
        </is>
      </c>
      <c r="O84" s="5" t="inlineStr">
        <is>
          <t>Site</t>
        </is>
      </c>
      <c r="P84" s="5" t="inlineStr">
        <is>
          <t>Brazil</t>
        </is>
      </c>
      <c r="Q84" s="13" t="inlineStr">
        <is>
          <t>S10-BR10009</t>
        </is>
      </c>
      <c r="R84" s="5" t="inlineStr">
        <is>
          <t>BARBARA SILVA</t>
        </is>
      </c>
      <c r="S84" s="8" t="n">
        <v>46044.82240740741</v>
      </c>
    </row>
    <row r="85" hidden="1" ht="29" customHeight="1">
      <c r="A85" s="15">
        <f>HYPERLINK("https://vtmf.veevavault.com/ui/#doc_info/30830984/1/0", "VTMF-24845620")</f>
        <v/>
      </c>
      <c r="B85" s="19" t="inlineStr">
        <is>
          <t>No</t>
        </is>
      </c>
      <c r="C85" s="5" t="inlineStr">
        <is>
          <t>1.0</t>
        </is>
      </c>
      <c r="D85" s="5" t="inlineStr">
        <is>
          <t>GCO</t>
        </is>
      </c>
      <c r="E85" s="5" t="inlineStr">
        <is>
          <t>42847922MDD3003</t>
        </is>
      </c>
      <c r="F85" s="16">
        <f>HYPERLINK("https://vtmf.veevavault.com/ui/#doc_info/30830984/1/0", "42847922MDD3003-BRA-S10-BR10009-Other Curriculum Vitae-05 Sep 2025 (v1.0)")</f>
        <v/>
      </c>
      <c r="G85" s="5" t="inlineStr">
        <is>
          <t>Site Management</t>
        </is>
      </c>
      <c r="H85" s="5" t="inlineStr">
        <is>
          <t>Site Set-up Documentation</t>
        </is>
      </c>
      <c r="I85" s="5" t="inlineStr">
        <is>
          <t>Other Curriculum Vitae</t>
        </is>
      </c>
      <c r="J85" s="5" t="inlineStr">
        <is>
          <t>CV_ENG/POR_Beck, J._Initial_05Sep2025</t>
        </is>
      </c>
      <c r="K85" s="6" t="n">
        <v>139</v>
      </c>
      <c r="L85" s="7" t="n">
        <v>45905</v>
      </c>
      <c r="M85" s="11" t="n">
        <v>46044</v>
      </c>
      <c r="N85" s="5" t="inlineStr">
        <is>
          <t>Approved</t>
        </is>
      </c>
      <c r="O85" s="5" t="inlineStr">
        <is>
          <t>Site</t>
        </is>
      </c>
      <c r="P85" s="5" t="inlineStr">
        <is>
          <t>Brazil</t>
        </is>
      </c>
      <c r="Q85" s="13" t="inlineStr">
        <is>
          <t>S10-BR10009</t>
        </is>
      </c>
      <c r="R85" s="5" t="inlineStr">
        <is>
          <t>BARBARA SILVA</t>
        </is>
      </c>
      <c r="S85" s="8" t="n">
        <v>46044.82240740741</v>
      </c>
    </row>
    <row r="86" hidden="1" ht="29" customHeight="1">
      <c r="A86" s="15">
        <f>HYPERLINK("https://vtmf.veevavault.com/ui/#doc_info/30836782/1/0", "VTMF-24850594")</f>
        <v/>
      </c>
      <c r="B86" s="20" t="inlineStr">
        <is>
          <t>Yes</t>
        </is>
      </c>
      <c r="C86" s="5" t="inlineStr">
        <is>
          <t>1.0</t>
        </is>
      </c>
      <c r="D86" s="5" t="inlineStr">
        <is>
          <t>GCO</t>
        </is>
      </c>
      <c r="E86" s="5" t="inlineStr">
        <is>
          <t>42847922MDD3003</t>
        </is>
      </c>
      <c r="F86" s="16">
        <f>HYPERLINK("https://vtmf.veevavault.com/ui/#doc_info/30836782/1/0", "42847922MDD3003-SVK-S10-SK10001-Non-IP Return Documentation-04 Dec 2025 (v1.0)")</f>
        <v/>
      </c>
      <c r="G86" s="5" t="inlineStr">
        <is>
          <t>IP and Trial Supplies</t>
        </is>
      </c>
      <c r="H86" s="5" t="inlineStr">
        <is>
          <t>Non-IP Documentation</t>
        </is>
      </c>
      <c r="I86" s="5" t="inlineStr">
        <is>
          <t>Non-IP Return Documentation</t>
        </is>
      </c>
      <c r="J86" s="5" t="inlineStr">
        <is>
          <t>Confirmation of Return_Meal Vouchers_04Dec2025</t>
        </is>
      </c>
      <c r="K86" s="6" t="n">
        <v>50</v>
      </c>
      <c r="L86" s="7" t="n">
        <v>45995</v>
      </c>
      <c r="M86" s="11" t="n">
        <v>46045</v>
      </c>
      <c r="N86" s="5" t="inlineStr">
        <is>
          <t>Approved</t>
        </is>
      </c>
      <c r="O86" s="5" t="inlineStr">
        <is>
          <t>Site</t>
        </is>
      </c>
      <c r="P86" s="5" t="inlineStr">
        <is>
          <t>Slovakia</t>
        </is>
      </c>
      <c r="Q86" s="13" t="inlineStr">
        <is>
          <t>S10-SK10001</t>
        </is>
      </c>
      <c r="R86" s="5" t="inlineStr">
        <is>
          <t>Marketa Hanzalova</t>
        </is>
      </c>
      <c r="S86" s="8" t="n">
        <v>46045.57636574074</v>
      </c>
    </row>
    <row r="87" hidden="1" ht="29" customHeight="1">
      <c r="A87" s="15">
        <f>HYPERLINK("https://vtmf.veevavault.com/ui/#doc_info/30836783/1/0", "VTMF-24850595")</f>
        <v/>
      </c>
      <c r="B87" s="20" t="inlineStr">
        <is>
          <t>Yes</t>
        </is>
      </c>
      <c r="C87" s="5" t="inlineStr">
        <is>
          <t>1.0</t>
        </is>
      </c>
      <c r="D87" s="5" t="inlineStr">
        <is>
          <t>GCO</t>
        </is>
      </c>
      <c r="E87" s="5" t="inlineStr">
        <is>
          <t>42847922MDD3003</t>
        </is>
      </c>
      <c r="F87" s="16">
        <f>HYPERLINK("https://vtmf.veevavault.com/ui/#doc_info/30836783/1/0", "42847922MDD3003-SVK-S10-SK10005-Non-IP Return Documentation-08 Dec 2025 (v1.0)")</f>
        <v/>
      </c>
      <c r="G87" s="5" t="inlineStr">
        <is>
          <t>IP and Trial Supplies</t>
        </is>
      </c>
      <c r="H87" s="5" t="inlineStr">
        <is>
          <t>Non-IP Documentation</t>
        </is>
      </c>
      <c r="I87" s="5" t="inlineStr">
        <is>
          <t>Non-IP Return Documentation</t>
        </is>
      </c>
      <c r="J87" s="5" t="inlineStr">
        <is>
          <t>Confirmation of Return_Meal Vouchers_08Dec2025</t>
        </is>
      </c>
      <c r="K87" s="6" t="n">
        <v>46</v>
      </c>
      <c r="L87" s="7" t="n">
        <v>45999</v>
      </c>
      <c r="M87" s="11" t="n">
        <v>46045</v>
      </c>
      <c r="N87" s="5" t="inlineStr">
        <is>
          <t>Approved</t>
        </is>
      </c>
      <c r="O87" s="5" t="inlineStr">
        <is>
          <t>Site</t>
        </is>
      </c>
      <c r="P87" s="5" t="inlineStr">
        <is>
          <t>Slovakia</t>
        </is>
      </c>
      <c r="Q87" s="13" t="inlineStr">
        <is>
          <t>S10-SK10005</t>
        </is>
      </c>
      <c r="R87" s="5" t="inlineStr">
        <is>
          <t>Marketa Hanzalova</t>
        </is>
      </c>
      <c r="S87" s="8" t="n">
        <v>46045.57636574074</v>
      </c>
    </row>
    <row r="88" hidden="1" ht="29" customHeight="1">
      <c r="A88" s="15">
        <f>HYPERLINK("https://vtmf.veevavault.com/ui/#doc_info/30836784/1/0", "VTMF-24850596")</f>
        <v/>
      </c>
      <c r="B88" s="20" t="inlineStr">
        <is>
          <t>Yes</t>
        </is>
      </c>
      <c r="C88" s="5" t="inlineStr">
        <is>
          <t>1.0</t>
        </is>
      </c>
      <c r="D88" s="5" t="inlineStr">
        <is>
          <t>GCO</t>
        </is>
      </c>
      <c r="E88" s="5" t="inlineStr">
        <is>
          <t>42847922MDD3003</t>
        </is>
      </c>
      <c r="F88" s="16">
        <f>HYPERLINK("https://vtmf.veevavault.com/ui/#doc_info/30836784/1/0", "42847922MDD3003-SVK-S10-SK10006-Non-IP Return Documentation-10 Dec 2025 (v1.0)")</f>
        <v/>
      </c>
      <c r="G88" s="5" t="inlineStr">
        <is>
          <t>IP and Trial Supplies</t>
        </is>
      </c>
      <c r="H88" s="5" t="inlineStr">
        <is>
          <t>Non-IP Documentation</t>
        </is>
      </c>
      <c r="I88" s="5" t="inlineStr">
        <is>
          <t>Non-IP Return Documentation</t>
        </is>
      </c>
      <c r="J88" s="5" t="inlineStr">
        <is>
          <t>Confirmation of Return_Meal Vouchers_10Dec2025</t>
        </is>
      </c>
      <c r="K88" s="6" t="n">
        <v>44</v>
      </c>
      <c r="L88" s="7" t="n">
        <v>46001</v>
      </c>
      <c r="M88" s="11" t="n">
        <v>46045</v>
      </c>
      <c r="N88" s="5" t="inlineStr">
        <is>
          <t>Approved</t>
        </is>
      </c>
      <c r="O88" s="5" t="inlineStr">
        <is>
          <t>Site</t>
        </is>
      </c>
      <c r="P88" s="5" t="inlineStr">
        <is>
          <t>Slovakia</t>
        </is>
      </c>
      <c r="Q88" s="13" t="inlineStr">
        <is>
          <t>S10-SK10006</t>
        </is>
      </c>
      <c r="R88" s="5" t="inlineStr">
        <is>
          <t>Marketa Hanzalova</t>
        </is>
      </c>
      <c r="S88" s="8" t="n">
        <v>46045.57636574074</v>
      </c>
    </row>
    <row r="89" hidden="1" ht="29" customHeight="1">
      <c r="A89" s="15">
        <f>HYPERLINK("https://vtmf.veevavault.com/ui/#doc_info/30838964/1/0", "VTMF-24852754")</f>
        <v/>
      </c>
      <c r="B89" s="19" t="inlineStr">
        <is>
          <t>No</t>
        </is>
      </c>
      <c r="C89" s="5" t="inlineStr">
        <is>
          <t>1.0</t>
        </is>
      </c>
      <c r="D89" s="5" t="inlineStr">
        <is>
          <t>GCO</t>
        </is>
      </c>
      <c r="E89" s="5" t="inlineStr">
        <is>
          <t>42847922MDD3003</t>
        </is>
      </c>
      <c r="F89" s="16">
        <f>HYPERLINK("https://vtmf.veevavault.com/ui/#doc_info/30838964/1/0", "42847922MDD3003-COL-S10-CO10004-Sub-Investigator Curriculum Vitae-01 Sep 2025 (v1.0)")</f>
        <v/>
      </c>
      <c r="G89" s="5" t="inlineStr">
        <is>
          <t>Site Management</t>
        </is>
      </c>
      <c r="H89" s="5" t="inlineStr">
        <is>
          <t>Site Set-up Documentation</t>
        </is>
      </c>
      <c r="I89" s="5" t="inlineStr">
        <is>
          <t>Sub-Investigator Curriculum Vitae</t>
        </is>
      </c>
      <c r="J89" s="5" t="inlineStr">
        <is>
          <t>CV_Spa_Ortegón, J_Revised_01 Sep 2025</t>
        </is>
      </c>
      <c r="K89" s="6" t="n">
        <v>147</v>
      </c>
      <c r="L89" s="7" t="n">
        <v>45901</v>
      </c>
      <c r="M89" s="11" t="n">
        <v>46048</v>
      </c>
      <c r="N89" s="5" t="inlineStr">
        <is>
          <t>Approved</t>
        </is>
      </c>
      <c r="O89" s="5" t="inlineStr">
        <is>
          <t>Site</t>
        </is>
      </c>
      <c r="P89" s="5" t="inlineStr">
        <is>
          <t>Colombia</t>
        </is>
      </c>
      <c r="Q89" s="13" t="inlineStr">
        <is>
          <t>S10-CO10004</t>
        </is>
      </c>
      <c r="R89" s="5" t="inlineStr">
        <is>
          <t>Alejandra Torres (VeevaID)</t>
        </is>
      </c>
      <c r="S89" s="8" t="n">
        <v>46045.77471064815</v>
      </c>
    </row>
    <row r="90" hidden="1" ht="29" customHeight="1">
      <c r="A90" s="15">
        <f>HYPERLINK("https://vtmf.veevavault.com/ui/#doc_info/30838972/1/0", "VTMF-24852764")</f>
        <v/>
      </c>
      <c r="B90" s="19" t="inlineStr">
        <is>
          <t>No</t>
        </is>
      </c>
      <c r="C90" s="5" t="inlineStr">
        <is>
          <t>1.0</t>
        </is>
      </c>
      <c r="D90" s="5" t="inlineStr">
        <is>
          <t>GCO</t>
        </is>
      </c>
      <c r="E90" s="5" t="inlineStr">
        <is>
          <t>42847922MDD3003</t>
        </is>
      </c>
      <c r="F90" s="16">
        <f>HYPERLINK("https://vtmf.veevavault.com/ui/#doc_info/30838972/1/0", "42847922MDD3003-COL-S10-CO10004-Sub-Investigator Curriculum Vitae-01 Sep 2025 (v1.0)")</f>
        <v/>
      </c>
      <c r="G90" s="5" t="inlineStr">
        <is>
          <t>Site Management</t>
        </is>
      </c>
      <c r="H90" s="5" t="inlineStr">
        <is>
          <t>Site Set-up Documentation</t>
        </is>
      </c>
      <c r="I90" s="5" t="inlineStr">
        <is>
          <t>Sub-Investigator Curriculum Vitae</t>
        </is>
      </c>
      <c r="J90" s="5" t="inlineStr">
        <is>
          <t>CV_Eng_Ortegón, J_Revised_01 Sep 2025</t>
        </is>
      </c>
      <c r="K90" s="6" t="n">
        <v>147</v>
      </c>
      <c r="L90" s="7" t="n">
        <v>45901</v>
      </c>
      <c r="M90" s="11" t="n">
        <v>46048</v>
      </c>
      <c r="N90" s="5" t="inlineStr">
        <is>
          <t>Approved</t>
        </is>
      </c>
      <c r="O90" s="5" t="inlineStr">
        <is>
          <t>Site</t>
        </is>
      </c>
      <c r="P90" s="5" t="inlineStr">
        <is>
          <t>Colombia</t>
        </is>
      </c>
      <c r="Q90" s="13" t="inlineStr">
        <is>
          <t>S10-CO10004</t>
        </is>
      </c>
      <c r="R90" s="5" t="inlineStr">
        <is>
          <t>Alejandra Torres (VeevaID)</t>
        </is>
      </c>
      <c r="S90" s="8" t="n">
        <v>46045.77568287037</v>
      </c>
    </row>
    <row r="91" hidden="1" ht="29" customHeight="1">
      <c r="A91" s="15">
        <f>HYPERLINK("https://vtmf.veevavault.com/ui/#doc_info/30839538/1/0", "VTMF-24852886")</f>
        <v/>
      </c>
      <c r="B91" s="19" t="inlineStr">
        <is>
          <t>No</t>
        </is>
      </c>
      <c r="C91" s="5" t="inlineStr">
        <is>
          <t>1.0</t>
        </is>
      </c>
      <c r="D91" s="5" t="inlineStr">
        <is>
          <t>GCO</t>
        </is>
      </c>
      <c r="E91" s="5" t="inlineStr">
        <is>
          <t>42847922MDD3003</t>
        </is>
      </c>
      <c r="F91" s="16">
        <f>HYPERLINK("https://vtmf.veevavault.com/ui/#doc_info/30839538/1/0", "42847922MDD3003-COL-S10-CO10004-Sub-Investigator Curriculum Vitae-01 Sep 2025 (v1.0)")</f>
        <v/>
      </c>
      <c r="G91" s="5" t="inlineStr">
        <is>
          <t>Site Management</t>
        </is>
      </c>
      <c r="H91" s="5" t="inlineStr">
        <is>
          <t>Site Set-up Documentation</t>
        </is>
      </c>
      <c r="I91" s="5" t="inlineStr">
        <is>
          <t>Sub-Investigator Curriculum Vitae</t>
        </is>
      </c>
      <c r="J91" s="5" t="inlineStr">
        <is>
          <t>CV_Spa_Pedraza, C_Revised_01 Sep 2025</t>
        </is>
      </c>
      <c r="K91" s="6" t="n">
        <v>147</v>
      </c>
      <c r="L91" s="7" t="n">
        <v>45901</v>
      </c>
      <c r="M91" s="11" t="n">
        <v>46048</v>
      </c>
      <c r="N91" s="5" t="inlineStr">
        <is>
          <t>Approved</t>
        </is>
      </c>
      <c r="O91" s="5" t="inlineStr">
        <is>
          <t>Site</t>
        </is>
      </c>
      <c r="P91" s="5" t="inlineStr">
        <is>
          <t>Colombia</t>
        </is>
      </c>
      <c r="Q91" s="13" t="inlineStr">
        <is>
          <t>S10-CO10004</t>
        </is>
      </c>
      <c r="R91" s="5" t="inlineStr">
        <is>
          <t>Alejandra Torres (VeevaID)</t>
        </is>
      </c>
      <c r="S91" s="8" t="n">
        <v>46045.79380787037</v>
      </c>
    </row>
    <row r="92" hidden="1" ht="29" customHeight="1">
      <c r="A92" s="15">
        <f>HYPERLINK("https://vtmf.veevavault.com/ui/#doc_info/30839549/1/0", "VTMF-24852902")</f>
        <v/>
      </c>
      <c r="B92" s="19" t="inlineStr">
        <is>
          <t>No</t>
        </is>
      </c>
      <c r="C92" s="5" t="inlineStr">
        <is>
          <t>1.0</t>
        </is>
      </c>
      <c r="D92" s="5" t="inlineStr">
        <is>
          <t>GCO</t>
        </is>
      </c>
      <c r="E92" s="5" t="inlineStr">
        <is>
          <t>42847922MDD3003</t>
        </is>
      </c>
      <c r="F92" s="16">
        <f>HYPERLINK("https://vtmf.veevavault.com/ui/#doc_info/30839549/1/0", "42847922MDD3003-COL-S10-CO10004-Sub-Investigator Curriculum Vitae-02 May 2025 (v1.0)")</f>
        <v/>
      </c>
      <c r="G92" s="5" t="inlineStr">
        <is>
          <t>Site Management</t>
        </is>
      </c>
      <c r="H92" s="5" t="inlineStr">
        <is>
          <t>Site Set-up Documentation</t>
        </is>
      </c>
      <c r="I92" s="5" t="inlineStr">
        <is>
          <t>Sub-Investigator Curriculum Vitae</t>
        </is>
      </c>
      <c r="J92" s="5" t="inlineStr">
        <is>
          <t>CV_Eng_Cano, J_Revised_02 May 2025</t>
        </is>
      </c>
      <c r="K92" s="6" t="n">
        <v>269</v>
      </c>
      <c r="L92" s="7" t="n">
        <v>45779</v>
      </c>
      <c r="M92" s="11" t="n">
        <v>46048</v>
      </c>
      <c r="N92" s="5" t="inlineStr">
        <is>
          <t>Approved</t>
        </is>
      </c>
      <c r="O92" s="5" t="inlineStr">
        <is>
          <t>Site</t>
        </is>
      </c>
      <c r="P92" s="5" t="inlineStr">
        <is>
          <t>Colombia</t>
        </is>
      </c>
      <c r="Q92" s="13" t="inlineStr">
        <is>
          <t>S10-CO10004</t>
        </is>
      </c>
      <c r="R92" s="5" t="inlineStr">
        <is>
          <t>Alejandra Torres (VeevaID)</t>
        </is>
      </c>
      <c r="S92" s="8" t="n">
        <v>46045.79616898148</v>
      </c>
    </row>
    <row r="93" hidden="1" ht="29" customHeight="1">
      <c r="A93" s="15">
        <f>HYPERLINK("https://vtmf.veevavault.com/ui/#doc_info/30839550/1/0", "VTMF-24852906")</f>
        <v/>
      </c>
      <c r="B93" s="19" t="inlineStr">
        <is>
          <t>No</t>
        </is>
      </c>
      <c r="C93" s="5" t="inlineStr">
        <is>
          <t>1.0</t>
        </is>
      </c>
      <c r="D93" s="5" t="inlineStr">
        <is>
          <t>GCO</t>
        </is>
      </c>
      <c r="E93" s="5" t="inlineStr">
        <is>
          <t>42847922MDD3003</t>
        </is>
      </c>
      <c r="F93" s="16">
        <f>HYPERLINK("https://vtmf.veevavault.com/ui/#doc_info/30839550/1/0", "42847922MDD3003-COL-S10-CO10004-Sub-Investigator Curriculum Vitae-01 May 2025 (v1.0)")</f>
        <v/>
      </c>
      <c r="G93" s="5" t="inlineStr">
        <is>
          <t>Site Management</t>
        </is>
      </c>
      <c r="H93" s="5" t="inlineStr">
        <is>
          <t>Site Set-up Documentation</t>
        </is>
      </c>
      <c r="I93" s="5" t="inlineStr">
        <is>
          <t>Sub-Investigator Curriculum Vitae</t>
        </is>
      </c>
      <c r="J93" s="5" t="inlineStr">
        <is>
          <t>CV_Spanish_ Cano, J_Revised_01 May 2025</t>
        </is>
      </c>
      <c r="K93" s="6" t="n">
        <v>270</v>
      </c>
      <c r="L93" s="7" t="n">
        <v>45778</v>
      </c>
      <c r="M93" s="11" t="n">
        <v>46048</v>
      </c>
      <c r="N93" s="5" t="inlineStr">
        <is>
          <t>Approved</t>
        </is>
      </c>
      <c r="O93" s="5" t="inlineStr">
        <is>
          <t>Site</t>
        </is>
      </c>
      <c r="P93" s="5" t="inlineStr">
        <is>
          <t>Colombia</t>
        </is>
      </c>
      <c r="Q93" s="13" t="inlineStr">
        <is>
          <t>S10-CO10004</t>
        </is>
      </c>
      <c r="R93" s="5" t="inlineStr">
        <is>
          <t>Alejandra Torres (VeevaID)</t>
        </is>
      </c>
      <c r="S93" s="8" t="n">
        <v>46045.79679398148</v>
      </c>
    </row>
    <row r="94" hidden="1" ht="29" customHeight="1">
      <c r="A94" s="15">
        <f>HYPERLINK("https://vtmf.veevavault.com/ui/#doc_info/30839551/1/0", "VTMF-24852910")</f>
        <v/>
      </c>
      <c r="B94" s="19" t="inlineStr">
        <is>
          <t>No</t>
        </is>
      </c>
      <c r="C94" s="5" t="inlineStr">
        <is>
          <t>1.0</t>
        </is>
      </c>
      <c r="D94" s="5" t="inlineStr">
        <is>
          <t>GCO</t>
        </is>
      </c>
      <c r="E94" s="5" t="inlineStr">
        <is>
          <t>42847922MDD3003</t>
        </is>
      </c>
      <c r="F94" s="16">
        <f>HYPERLINK("https://vtmf.veevavault.com/ui/#doc_info/30839551/1/0", "42847922MDD3003-COL-S10-CO10004-Sub-Investigator Curriculum Vitae-01 May 2025 (v1.0)")</f>
        <v/>
      </c>
      <c r="G94" s="5" t="inlineStr">
        <is>
          <t>Site Management</t>
        </is>
      </c>
      <c r="H94" s="5" t="inlineStr">
        <is>
          <t>Site Set-up Documentation</t>
        </is>
      </c>
      <c r="I94" s="5" t="inlineStr">
        <is>
          <t>Sub-Investigator Curriculum Vitae</t>
        </is>
      </c>
      <c r="J94" s="5" t="inlineStr">
        <is>
          <t>CV_Eng_Pedraza, C_Revised_01 May 2025</t>
        </is>
      </c>
      <c r="K94" s="6" t="n">
        <v>270</v>
      </c>
      <c r="L94" s="7" t="n">
        <v>45778</v>
      </c>
      <c r="M94" s="11" t="n">
        <v>46048</v>
      </c>
      <c r="N94" s="5" t="inlineStr">
        <is>
          <t>Approved</t>
        </is>
      </c>
      <c r="O94" s="5" t="inlineStr">
        <is>
          <t>Site</t>
        </is>
      </c>
      <c r="P94" s="5" t="inlineStr">
        <is>
          <t>Colombia</t>
        </is>
      </c>
      <c r="Q94" s="13" t="inlineStr">
        <is>
          <t>S10-CO10004</t>
        </is>
      </c>
      <c r="R94" s="5" t="inlineStr">
        <is>
          <t>Alejandra Torres (VeevaID)</t>
        </is>
      </c>
      <c r="S94" s="8" t="n">
        <v>46045.79758101852</v>
      </c>
    </row>
    <row r="95" hidden="1" ht="43.5" customHeight="1">
      <c r="A95" s="15">
        <f>HYPERLINK("https://vtmf.veevavault.com/ui/#doc_info/30844054/1/0", "VTMF-24857112")</f>
        <v/>
      </c>
      <c r="B95" s="19" t="inlineStr">
        <is>
          <t>No</t>
        </is>
      </c>
      <c r="C95" s="5" t="inlineStr">
        <is>
          <t>1.0</t>
        </is>
      </c>
      <c r="D95" s="5" t="inlineStr">
        <is>
          <t>GCO</t>
        </is>
      </c>
      <c r="E95" s="5" t="inlineStr">
        <is>
          <t>42847922MDD3003</t>
        </is>
      </c>
      <c r="F95" s="16">
        <f>HYPERLINK("https://vtmf.veevavault.com/ui/#doc_info/30844054/1/0", "42847922MDD3003-USA-S10-US10206-Site Signature Sheet-12 Nov 2025 (v1.0)")</f>
        <v/>
      </c>
      <c r="G95" s="5" t="inlineStr">
        <is>
          <t>Site Management</t>
        </is>
      </c>
      <c r="H95" s="5" t="inlineStr">
        <is>
          <t>Site Set-up Documentation</t>
        </is>
      </c>
      <c r="I95" s="5" t="inlineStr">
        <is>
          <t>Site Signature Sheet</t>
        </is>
      </c>
      <c r="J95" s="5" t="inlineStr">
        <is>
          <t>42847922MDD3003 S10-US10206_KSalim_DelegationLog_12Nov2025_06Jan2026</t>
        </is>
      </c>
      <c r="K95" s="6" t="n">
        <v>74</v>
      </c>
      <c r="L95" s="7" t="n">
        <v>45973</v>
      </c>
      <c r="M95" s="11" t="n">
        <v>46047</v>
      </c>
      <c r="N95" s="5" t="inlineStr">
        <is>
          <t>Superseded</t>
        </is>
      </c>
      <c r="O95" s="5" t="inlineStr">
        <is>
          <t>Site</t>
        </is>
      </c>
      <c r="P95" s="5" t="inlineStr">
        <is>
          <t>United States</t>
        </is>
      </c>
      <c r="Q95" s="13" t="inlineStr">
        <is>
          <t>S10-US10206</t>
        </is>
      </c>
      <c r="R95" s="5" t="inlineStr">
        <is>
          <t>Jerry Torne</t>
        </is>
      </c>
      <c r="S95" s="8" t="n">
        <v>46048.04778935185</v>
      </c>
    </row>
    <row r="96" hidden="1" ht="29" customHeight="1">
      <c r="A96" s="15">
        <f>HYPERLINK("https://vtmf.veevavault.com/ui/#doc_info/30846968/1/0", "VTMF-24859648")</f>
        <v/>
      </c>
      <c r="B96" s="19" t="inlineStr">
        <is>
          <t>No</t>
        </is>
      </c>
      <c r="C96" s="5" t="inlineStr">
        <is>
          <t>1.0</t>
        </is>
      </c>
      <c r="D96" s="5" t="inlineStr">
        <is>
          <t>GCO</t>
        </is>
      </c>
      <c r="E96" s="5" t="inlineStr">
        <is>
          <t>42847922MDD3003</t>
        </is>
      </c>
      <c r="F96" s="16">
        <f>HYPERLINK("https://vtmf.veevavault.com/ui/#doc_info/30846968/1/0", "42847922MDD3003-COL-S10-CO10001-IRB/IEC GCP Compliance Statement-18 Dec 2025 (v1.0)")</f>
        <v/>
      </c>
      <c r="G96" s="5" t="inlineStr">
        <is>
          <t>IRB/IEC and other Approvals</t>
        </is>
      </c>
      <c r="H96" s="5" t="inlineStr">
        <is>
          <t>IRB/IEC Trial Approval</t>
        </is>
      </c>
      <c r="I96" s="5" t="inlineStr">
        <is>
          <t>IRB/IEC GCP Compliance Statement</t>
        </is>
      </c>
      <c r="J96" s="5" t="inlineStr">
        <is>
          <t>EC Compliance statement_18 Dec 202</t>
        </is>
      </c>
      <c r="K96" s="6" t="n">
        <v>39</v>
      </c>
      <c r="L96" s="7" t="n">
        <v>46009</v>
      </c>
      <c r="M96" s="11" t="n">
        <v>46048</v>
      </c>
      <c r="N96" s="5" t="inlineStr">
        <is>
          <t>Approved</t>
        </is>
      </c>
      <c r="O96" s="5" t="inlineStr">
        <is>
          <t>Site</t>
        </is>
      </c>
      <c r="P96" s="5" t="inlineStr">
        <is>
          <t>Colombia</t>
        </is>
      </c>
      <c r="Q96" s="13" t="inlineStr">
        <is>
          <t>S10-CO10001</t>
        </is>
      </c>
      <c r="R96" s="5" t="inlineStr">
        <is>
          <t>Monica Romero</t>
        </is>
      </c>
      <c r="S96" s="8" t="n">
        <v>46048.58866898148</v>
      </c>
    </row>
    <row r="97" hidden="1" ht="29" customHeight="1">
      <c r="A97" s="15">
        <f>HYPERLINK("https://vtmf.veevavault.com/ui/#doc_info/30848211/1/0", "VTMF-24860498")</f>
        <v/>
      </c>
      <c r="B97" s="19" t="inlineStr">
        <is>
          <t>No</t>
        </is>
      </c>
      <c r="C97" s="5" t="inlineStr">
        <is>
          <t>1.0</t>
        </is>
      </c>
      <c r="D97" s="5" t="inlineStr">
        <is>
          <t>GCO</t>
        </is>
      </c>
      <c r="E97" s="5" t="inlineStr">
        <is>
          <t>42847922MDD3003</t>
        </is>
      </c>
      <c r="F97" s="16">
        <f>HYPERLINK("https://vtmf.veevavault.com/ui/#doc_info/30848211/1/0", "42847922MDD3003-COL-S10-CO10004-Site-specific Informed Consent Form-03 Apr 2025 (v1.0)")</f>
        <v/>
      </c>
      <c r="G97" s="5" t="inlineStr">
        <is>
          <t>Central Trial Documents</t>
        </is>
      </c>
      <c r="H97" s="5" t="inlineStr">
        <is>
          <t>Subject Documents</t>
        </is>
      </c>
      <c r="I97" s="5" t="inlineStr">
        <is>
          <t>Site-specific Informed Consent Form</t>
        </is>
      </c>
      <c r="J97" s="5" t="inlineStr">
        <is>
          <t>Main ICF_Part 1 and 2_ V4.0COL1.1A_CO10004_Spanish_Clean_03 Apr 2025</t>
        </is>
      </c>
      <c r="K97" s="6" t="n">
        <v>298</v>
      </c>
      <c r="L97" s="7" t="n">
        <v>45750</v>
      </c>
      <c r="M97" s="11" t="n">
        <v>46048</v>
      </c>
      <c r="N97" s="5" t="inlineStr">
        <is>
          <t>Approved</t>
        </is>
      </c>
      <c r="O97" s="5" t="inlineStr">
        <is>
          <t>Site</t>
        </is>
      </c>
      <c r="P97" s="5" t="inlineStr">
        <is>
          <t>Colombia</t>
        </is>
      </c>
      <c r="Q97" s="13" t="inlineStr">
        <is>
          <t>S10-CO10004</t>
        </is>
      </c>
      <c r="R97" s="5" t="inlineStr">
        <is>
          <t>Monica Romero</t>
        </is>
      </c>
      <c r="S97" s="8" t="n">
        <v>46048.63180555555</v>
      </c>
    </row>
    <row r="98" hidden="1" ht="43.5" customHeight="1">
      <c r="A98" s="15">
        <f>HYPERLINK("https://vtmf.veevavault.com/ui/#doc_info/30848223/1/0", "VTMF-24860519")</f>
        <v/>
      </c>
      <c r="B98" s="19" t="inlineStr">
        <is>
          <t>No</t>
        </is>
      </c>
      <c r="C98" s="5" t="inlineStr">
        <is>
          <t>1.0</t>
        </is>
      </c>
      <c r="D98" s="5" t="inlineStr">
        <is>
          <t>GCO</t>
        </is>
      </c>
      <c r="E98" s="5" t="inlineStr">
        <is>
          <t>42847922MDD3003</t>
        </is>
      </c>
      <c r="F98" s="16">
        <f>HYPERLINK("https://vtmf.veevavault.com/ui/#doc_info/30848223/1/0", "42847922MDD3003-COL-S10-CO10004-Site-specific Informed Consent Form-03 Apr 2025 (v1.0)")</f>
        <v/>
      </c>
      <c r="G98" s="5" t="inlineStr">
        <is>
          <t>Central Trial Documents</t>
        </is>
      </c>
      <c r="H98" s="5" t="inlineStr">
        <is>
          <t>Subject Documents</t>
        </is>
      </c>
      <c r="I98" s="5" t="inlineStr">
        <is>
          <t>Site-specific Informed Consent Form</t>
        </is>
      </c>
      <c r="J98" s="5" t="inlineStr">
        <is>
          <t>Main ICF_Part 1 and 2_ V4.0COL1.1A_Spanish_CO10004_Track changes_03 Apr 2025</t>
        </is>
      </c>
      <c r="K98" s="6" t="n">
        <v>298</v>
      </c>
      <c r="L98" s="7" t="n">
        <v>45750</v>
      </c>
      <c r="M98" s="11" t="n">
        <v>46048</v>
      </c>
      <c r="N98" s="5" t="inlineStr">
        <is>
          <t>Approved</t>
        </is>
      </c>
      <c r="O98" s="5" t="inlineStr">
        <is>
          <t>Site</t>
        </is>
      </c>
      <c r="P98" s="5" t="inlineStr">
        <is>
          <t>Colombia</t>
        </is>
      </c>
      <c r="Q98" s="13" t="inlineStr">
        <is>
          <t>S10-CO10004</t>
        </is>
      </c>
      <c r="R98" s="5" t="inlineStr">
        <is>
          <t>Monica Romero</t>
        </is>
      </c>
      <c r="S98" s="8" t="n">
        <v>46048.63381944445</v>
      </c>
    </row>
    <row r="99" hidden="1" ht="29" customHeight="1">
      <c r="A99" s="15">
        <f>HYPERLINK("https://vtmf.veevavault.com/ui/#doc_info/30848277/1/0", "VTMF-24860581")</f>
        <v/>
      </c>
      <c r="B99" s="19" t="inlineStr">
        <is>
          <t>No</t>
        </is>
      </c>
      <c r="C99" s="5" t="inlineStr">
        <is>
          <t>1.0</t>
        </is>
      </c>
      <c r="D99" s="5" t="inlineStr">
        <is>
          <t>GCO</t>
        </is>
      </c>
      <c r="E99" s="5" t="inlineStr">
        <is>
          <t>42847922MDD3003</t>
        </is>
      </c>
      <c r="F99" s="16">
        <f>HYPERLINK("https://vtmf.veevavault.com/ui/#doc_info/30848277/1/0", "42847922MDD3003-COL-S10-CO10004-Site-specific Informed Consent Form-03 Apr 2025 (v1.0)")</f>
        <v/>
      </c>
      <c r="G99" s="5" t="inlineStr">
        <is>
          <t>Central Trial Documents</t>
        </is>
      </c>
      <c r="H99" s="5" t="inlineStr">
        <is>
          <t>Subject Documents</t>
        </is>
      </c>
      <c r="I99" s="5" t="inlineStr">
        <is>
          <t>Site-specific Informed Consent Form</t>
        </is>
      </c>
      <c r="J99" s="5" t="inlineStr">
        <is>
          <t>Main ICF_Part 2 V4.0COL1.0A_Spanish_CO10004_Clean_03 Apr 2025</t>
        </is>
      </c>
      <c r="K99" s="6" t="n">
        <v>298</v>
      </c>
      <c r="L99" s="7" t="n">
        <v>45750</v>
      </c>
      <c r="M99" s="11" t="n">
        <v>46048</v>
      </c>
      <c r="N99" s="5" t="inlineStr">
        <is>
          <t>Approved</t>
        </is>
      </c>
      <c r="O99" s="5" t="inlineStr">
        <is>
          <t>Site</t>
        </is>
      </c>
      <c r="P99" s="5" t="inlineStr">
        <is>
          <t>Colombia</t>
        </is>
      </c>
      <c r="Q99" s="13" t="inlineStr">
        <is>
          <t>S10-CO10004</t>
        </is>
      </c>
      <c r="R99" s="5" t="inlineStr">
        <is>
          <t>Monica Romero</t>
        </is>
      </c>
      <c r="S99" s="8" t="n">
        <v>46048.63644675926</v>
      </c>
    </row>
    <row r="100" hidden="1" ht="43.5" customHeight="1">
      <c r="A100" s="15">
        <f>HYPERLINK("https://vtmf.veevavault.com/ui/#doc_info/30848168/1/0", "VTMF-24860598")</f>
        <v/>
      </c>
      <c r="B100" s="19" t="inlineStr">
        <is>
          <t>No</t>
        </is>
      </c>
      <c r="C100" s="5" t="inlineStr">
        <is>
          <t>1.0</t>
        </is>
      </c>
      <c r="D100" s="5" t="inlineStr">
        <is>
          <t>GCO</t>
        </is>
      </c>
      <c r="E100" s="5" t="inlineStr">
        <is>
          <t>42847922MDD3003</t>
        </is>
      </c>
      <c r="F100" s="16">
        <f>HYPERLINK("https://vtmf.veevavault.com/ui/#doc_info/30848168/1/0", "42847922MDD3003-COL-S10-CO10004-Site-specific Informed Consent Form-03 Apr 2025 (v1.0)")</f>
        <v/>
      </c>
      <c r="G100" s="5" t="inlineStr">
        <is>
          <t>Central Trial Documents</t>
        </is>
      </c>
      <c r="H100" s="5" t="inlineStr">
        <is>
          <t>Subject Documents</t>
        </is>
      </c>
      <c r="I100" s="5" t="inlineStr">
        <is>
          <t>Site-specific Informed Consent Form</t>
        </is>
      </c>
      <c r="J100" s="5" t="inlineStr">
        <is>
          <t>Main ICF_Part 2 V4.0COL1.0A_Spanish_CO10004_Track changes_03 Apr 2025</t>
        </is>
      </c>
      <c r="K100" s="6" t="n">
        <v>298</v>
      </c>
      <c r="L100" s="7" t="n">
        <v>45750</v>
      </c>
      <c r="M100" s="11" t="n">
        <v>46048</v>
      </c>
      <c r="N100" s="5" t="inlineStr">
        <is>
          <t>Approved</t>
        </is>
      </c>
      <c r="O100" s="5" t="inlineStr">
        <is>
          <t>Site</t>
        </is>
      </c>
      <c r="P100" s="5" t="inlineStr">
        <is>
          <t>Colombia</t>
        </is>
      </c>
      <c r="Q100" s="13" t="inlineStr">
        <is>
          <t>S10-CO10004</t>
        </is>
      </c>
      <c r="R100" s="5" t="inlineStr">
        <is>
          <t>Monica Romero</t>
        </is>
      </c>
      <c r="S100" s="8" t="n">
        <v>46048.63813657407</v>
      </c>
    </row>
    <row r="101" hidden="1" ht="29" customHeight="1">
      <c r="A101" s="15">
        <f>HYPERLINK("https://vtmf.veevavault.com/ui/#doc_info/30848338/1/0", "VTMF-24860695")</f>
        <v/>
      </c>
      <c r="B101" s="19" t="inlineStr">
        <is>
          <t>No</t>
        </is>
      </c>
      <c r="C101" s="5" t="inlineStr">
        <is>
          <t>1.0</t>
        </is>
      </c>
      <c r="D101" s="5" t="inlineStr">
        <is>
          <t>GCO</t>
        </is>
      </c>
      <c r="E101" s="5" t="inlineStr">
        <is>
          <t>42847922MDD3003</t>
        </is>
      </c>
      <c r="F101" s="16">
        <f>HYPERLINK("https://vtmf.veevavault.com/ui/#doc_info/30848338/1/0", "42847922MDD3003-COL-S10-CO10004-IRB/IEC GCP Compliance Statement-30 Dec 2024 (v1.0)")</f>
        <v/>
      </c>
      <c r="G101" s="5" t="inlineStr">
        <is>
          <t>IRB/IEC and other Approvals</t>
        </is>
      </c>
      <c r="H101" s="5" t="inlineStr">
        <is>
          <t>IRB/IEC Trial Approval</t>
        </is>
      </c>
      <c r="I101" s="5" t="inlineStr">
        <is>
          <t>IRB/IEC GCP Compliance Statement</t>
        </is>
      </c>
      <c r="J101" s="5" t="inlineStr">
        <is>
          <t>EC Compliance statement_English_30 Dec 2024</t>
        </is>
      </c>
      <c r="K101" s="6" t="n">
        <v>392</v>
      </c>
      <c r="L101" s="7" t="n">
        <v>45656</v>
      </c>
      <c r="M101" s="11" t="n">
        <v>46048</v>
      </c>
      <c r="N101" s="5" t="inlineStr">
        <is>
          <t>Approved</t>
        </is>
      </c>
      <c r="O101" s="5" t="inlineStr">
        <is>
          <t>Site</t>
        </is>
      </c>
      <c r="P101" s="5" t="inlineStr">
        <is>
          <t>Colombia</t>
        </is>
      </c>
      <c r="Q101" s="13" t="inlineStr">
        <is>
          <t>S10-CO10004</t>
        </is>
      </c>
      <c r="R101" s="5" t="inlineStr">
        <is>
          <t>Monica Romero</t>
        </is>
      </c>
      <c r="S101" s="8" t="n">
        <v>46048.64585648148</v>
      </c>
    </row>
    <row r="102" hidden="1" ht="29" customHeight="1">
      <c r="A102" s="15">
        <f>HYPERLINK("https://vtmf.veevavault.com/ui/#doc_info/30848343/1/0", "VTMF-24860709")</f>
        <v/>
      </c>
      <c r="B102" s="19" t="inlineStr">
        <is>
          <t>No</t>
        </is>
      </c>
      <c r="C102" s="5" t="inlineStr">
        <is>
          <t>1.0</t>
        </is>
      </c>
      <c r="D102" s="5" t="inlineStr">
        <is>
          <t>GCO</t>
        </is>
      </c>
      <c r="E102" s="5" t="inlineStr">
        <is>
          <t>42847922MDD3003</t>
        </is>
      </c>
      <c r="F102" s="16">
        <f>HYPERLINK("https://vtmf.veevavault.com/ui/#doc_info/30848343/1/0", "42847922MDD3003-COL-S10-CO10004-IRB/IEC GCP Compliance Statement-30 Dec 2024 (v1.0)")</f>
        <v/>
      </c>
      <c r="G102" s="5" t="inlineStr">
        <is>
          <t>IRB/IEC and other Approvals</t>
        </is>
      </c>
      <c r="H102" s="5" t="inlineStr">
        <is>
          <t>IRB/IEC Trial Approval</t>
        </is>
      </c>
      <c r="I102" s="5" t="inlineStr">
        <is>
          <t>IRB/IEC GCP Compliance Statement</t>
        </is>
      </c>
      <c r="J102" s="5" t="inlineStr">
        <is>
          <t>EC Compliance statement_Spanish_30 Dec 2024</t>
        </is>
      </c>
      <c r="K102" s="6" t="n">
        <v>392</v>
      </c>
      <c r="L102" s="7" t="n">
        <v>45656</v>
      </c>
      <c r="M102" s="11" t="n">
        <v>46048</v>
      </c>
      <c r="N102" s="5" t="inlineStr">
        <is>
          <t>Approved</t>
        </is>
      </c>
      <c r="O102" s="5" t="inlineStr">
        <is>
          <t>Site</t>
        </is>
      </c>
      <c r="P102" s="5" t="inlineStr">
        <is>
          <t>Colombia</t>
        </is>
      </c>
      <c r="Q102" s="13" t="inlineStr">
        <is>
          <t>S10-CO10004</t>
        </is>
      </c>
      <c r="R102" s="5" t="inlineStr">
        <is>
          <t>Monica Romero</t>
        </is>
      </c>
      <c r="S102" s="8" t="n">
        <v>46048.64704861111</v>
      </c>
    </row>
    <row r="103" hidden="1" ht="29" customHeight="1">
      <c r="A103" s="15">
        <f>HYPERLINK("https://vtmf.veevavault.com/ui/#doc_info/30849232/1/0", "VTMF-24861344")</f>
        <v/>
      </c>
      <c r="B103" s="19" t="inlineStr">
        <is>
          <t>No</t>
        </is>
      </c>
      <c r="C103" s="5" t="inlineStr">
        <is>
          <t>1.0</t>
        </is>
      </c>
      <c r="D103" s="5" t="inlineStr">
        <is>
          <t>GCO</t>
        </is>
      </c>
      <c r="E103" s="5" t="inlineStr">
        <is>
          <t>42847922MDD3003</t>
        </is>
      </c>
      <c r="F103" s="16">
        <f>HYPERLINK("https://vtmf.veevavault.com/ui/#doc_info/30849232/1/0", "42847922MDD3003-COL-S10-CO10004-Other Curriculum Vitae-01 Oct 2025 (v1.0)")</f>
        <v/>
      </c>
      <c r="G103" s="5" t="inlineStr">
        <is>
          <t>Site Management</t>
        </is>
      </c>
      <c r="H103" s="5" t="inlineStr">
        <is>
          <t>Site Set-up Documentation</t>
        </is>
      </c>
      <c r="I103" s="5" t="inlineStr">
        <is>
          <t>Other Curriculum Vitae</t>
        </is>
      </c>
      <c r="J103" s="5" t="inlineStr">
        <is>
          <t>CV_Spanish_García, C_Initial_01 Oct 2025</t>
        </is>
      </c>
      <c r="K103" s="6" t="n">
        <v>117</v>
      </c>
      <c r="L103" s="7" t="n">
        <v>45931</v>
      </c>
      <c r="M103" s="11" t="n">
        <v>46048</v>
      </c>
      <c r="N103" s="5" t="inlineStr">
        <is>
          <t>Approved</t>
        </is>
      </c>
      <c r="O103" s="5" t="inlineStr">
        <is>
          <t>Site</t>
        </is>
      </c>
      <c r="P103" s="5" t="inlineStr">
        <is>
          <t>Colombia</t>
        </is>
      </c>
      <c r="Q103" s="13" t="inlineStr">
        <is>
          <t>S10-CO10004</t>
        </is>
      </c>
      <c r="R103" s="5" t="inlineStr">
        <is>
          <t>Alejandra Torres (VeevaID)</t>
        </is>
      </c>
      <c r="S103" s="8" t="n">
        <v>46048.69456018518</v>
      </c>
    </row>
    <row r="104" hidden="1" ht="29" customHeight="1">
      <c r="A104" s="15">
        <f>HYPERLINK("https://vtmf.veevavault.com/ui/#doc_info/30849251/1/0", "VTMF-24861377")</f>
        <v/>
      </c>
      <c r="B104" s="20" t="inlineStr">
        <is>
          <t>Yes</t>
        </is>
      </c>
      <c r="C104" s="5" t="inlineStr">
        <is>
          <t>1.0</t>
        </is>
      </c>
      <c r="D104" s="5" t="inlineStr">
        <is>
          <t>GCO</t>
        </is>
      </c>
      <c r="E104" s="5" t="inlineStr">
        <is>
          <t>42847922MDD3003</t>
        </is>
      </c>
      <c r="F104" s="16">
        <f>HYPERLINK("https://vtmf.veevavault.com/ui/#doc_info/30849251/1/0", "42847922MDD3003-COL-S10-CO10002-Acceptance of Investigator Brochure-19 Dec 2025 (v1.0)")</f>
        <v/>
      </c>
      <c r="G104" s="5" t="inlineStr">
        <is>
          <t>Site Management</t>
        </is>
      </c>
      <c r="H104" s="5" t="inlineStr">
        <is>
          <t>Site Set-up Documentation</t>
        </is>
      </c>
      <c r="I104" s="5" t="inlineStr">
        <is>
          <t>Acceptance of Investigator Brochure</t>
        </is>
      </c>
      <c r="J104" s="5" t="inlineStr">
        <is>
          <t>Site receipt of clinical trial_ IB Ed14 and ICFs V6.0_19 Dec 2025</t>
        </is>
      </c>
      <c r="K104" s="6" t="n">
        <v>38</v>
      </c>
      <c r="L104" s="7" t="n">
        <v>46010</v>
      </c>
      <c r="M104" s="11" t="n">
        <v>46048</v>
      </c>
      <c r="N104" s="5" t="inlineStr">
        <is>
          <t>Approved</t>
        </is>
      </c>
      <c r="O104" s="5" t="inlineStr">
        <is>
          <t>Site</t>
        </is>
      </c>
      <c r="P104" s="5" t="inlineStr">
        <is>
          <t>Colombia</t>
        </is>
      </c>
      <c r="Q104" s="13" t="inlineStr">
        <is>
          <t>S10-CO10002</t>
        </is>
      </c>
      <c r="R104" s="5" t="inlineStr">
        <is>
          <t>Monica Romero</t>
        </is>
      </c>
      <c r="S104" s="8" t="n">
        <v>46048.69740740741</v>
      </c>
    </row>
    <row r="105" hidden="1" ht="29" customHeight="1">
      <c r="A105" s="15">
        <f>HYPERLINK("https://vtmf.veevavault.com/ui/#doc_info/30849449/1/0", "VTMF-24861574")</f>
        <v/>
      </c>
      <c r="B105" s="19" t="inlineStr">
        <is>
          <t>No</t>
        </is>
      </c>
      <c r="C105" s="5" t="inlineStr">
        <is>
          <t>1.0</t>
        </is>
      </c>
      <c r="D105" s="5" t="inlineStr">
        <is>
          <t>GCO</t>
        </is>
      </c>
      <c r="E105" s="5" t="inlineStr">
        <is>
          <t>42847922MDD3003</t>
        </is>
      </c>
      <c r="F105" s="16">
        <f>HYPERLINK("https://vtmf.veevavault.com/ui/#doc_info/30849449/1/0", "42847922MDD3003-COL-S10-CO10004-Other Curriculum Vitae-30 Sep 2025 (v1.0)")</f>
        <v/>
      </c>
      <c r="G105" s="5" t="inlineStr">
        <is>
          <t>Site Management</t>
        </is>
      </c>
      <c r="H105" s="5" t="inlineStr">
        <is>
          <t>Site Set-up Documentation</t>
        </is>
      </c>
      <c r="I105" s="5" t="inlineStr">
        <is>
          <t>Other Curriculum Vitae</t>
        </is>
      </c>
      <c r="J105" s="5" t="inlineStr">
        <is>
          <t>CV_Spanish_Torres, Y_Initial_30 Sep 2025</t>
        </is>
      </c>
      <c r="K105" s="6" t="n">
        <v>118</v>
      </c>
      <c r="L105" s="7" t="n">
        <v>45930</v>
      </c>
      <c r="M105" s="11" t="n">
        <v>46048</v>
      </c>
      <c r="N105" s="5" t="inlineStr">
        <is>
          <t>Approved</t>
        </is>
      </c>
      <c r="O105" s="5" t="inlineStr">
        <is>
          <t>Site</t>
        </is>
      </c>
      <c r="P105" s="5" t="inlineStr">
        <is>
          <t>Colombia</t>
        </is>
      </c>
      <c r="Q105" s="13" t="inlineStr">
        <is>
          <t>S10-CO10004</t>
        </is>
      </c>
      <c r="R105" s="5" t="inlineStr">
        <is>
          <t>Alejandra Torres (VeevaID)</t>
        </is>
      </c>
      <c r="S105" s="8" t="n">
        <v>46048.71329861111</v>
      </c>
    </row>
    <row r="106" hidden="1" ht="29" customHeight="1">
      <c r="A106" s="15">
        <f>HYPERLINK("https://vtmf.veevavault.com/ui/#doc_info/30849868/1/0", "VTMF-24861942")</f>
        <v/>
      </c>
      <c r="B106" s="19" t="inlineStr">
        <is>
          <t>No</t>
        </is>
      </c>
      <c r="C106" s="5" t="inlineStr">
        <is>
          <t>1.0</t>
        </is>
      </c>
      <c r="D106" s="5" t="inlineStr">
        <is>
          <t>GCO</t>
        </is>
      </c>
      <c r="E106" s="5" t="inlineStr">
        <is>
          <t>42847922MDD3003</t>
        </is>
      </c>
      <c r="F106" s="16">
        <f>HYPERLINK("https://vtmf.veevavault.com/ui/#doc_info/30849868/1/0", "42847922MDD3003-COL-S10-CO10004-Other Curriculum Vitae-01 Sep 2025 (v1.0)")</f>
        <v/>
      </c>
      <c r="G106" s="5" t="inlineStr">
        <is>
          <t>Site Management</t>
        </is>
      </c>
      <c r="H106" s="5" t="inlineStr">
        <is>
          <t>Site Set-up Documentation</t>
        </is>
      </c>
      <c r="I106" s="5" t="inlineStr">
        <is>
          <t>Other Curriculum Vitae</t>
        </is>
      </c>
      <c r="J106" s="5" t="inlineStr">
        <is>
          <t>CV_Spanish_Lesmes, K_Initial_01 Sep 2025</t>
        </is>
      </c>
      <c r="K106" s="6" t="n">
        <v>147</v>
      </c>
      <c r="L106" s="7" t="n">
        <v>45901</v>
      </c>
      <c r="M106" s="11" t="n">
        <v>46048</v>
      </c>
      <c r="N106" s="5" t="inlineStr">
        <is>
          <t>Approved</t>
        </is>
      </c>
      <c r="O106" s="5" t="inlineStr">
        <is>
          <t>Site</t>
        </is>
      </c>
      <c r="P106" s="5" t="inlineStr">
        <is>
          <t>Colombia</t>
        </is>
      </c>
      <c r="Q106" s="13" t="inlineStr">
        <is>
          <t>S10-CO10004</t>
        </is>
      </c>
      <c r="R106" s="5" t="inlineStr">
        <is>
          <t>Alejandra Torres (VeevaID)</t>
        </is>
      </c>
      <c r="S106" s="8" t="n">
        <v>46048.74979166667</v>
      </c>
    </row>
    <row r="107" hidden="1" ht="29" customHeight="1">
      <c r="A107" s="15">
        <f>HYPERLINK("https://vtmf.veevavault.com/ui/#doc_info/30850749/1/0", "VTMF-24862595")</f>
        <v/>
      </c>
      <c r="B107" s="19" t="inlineStr">
        <is>
          <t>No</t>
        </is>
      </c>
      <c r="C107" s="5" t="inlineStr">
        <is>
          <t>1.0</t>
        </is>
      </c>
      <c r="D107" s="5" t="inlineStr">
        <is>
          <t>GCO</t>
        </is>
      </c>
      <c r="E107" s="5" t="inlineStr">
        <is>
          <t>42847922MDD3003</t>
        </is>
      </c>
      <c r="F107" s="16">
        <f>HYPERLINK("https://vtmf.veevavault.com/ui/#doc_info/30850749/1/0", "42847922MDD3003-COL-S10-CO10004-Other Curriculum Vitae-01 Sep 2025 (v1.0)")</f>
        <v/>
      </c>
      <c r="G107" s="5" t="inlineStr">
        <is>
          <t>Site Management</t>
        </is>
      </c>
      <c r="H107" s="5" t="inlineStr">
        <is>
          <t>Site Set-up Documentation</t>
        </is>
      </c>
      <c r="I107" s="5" t="inlineStr">
        <is>
          <t>Other Curriculum Vitae</t>
        </is>
      </c>
      <c r="J107" s="5" t="inlineStr">
        <is>
          <t>CV_Spanish_León, J_Initial_01 Sep 2025</t>
        </is>
      </c>
      <c r="K107" s="6" t="n">
        <v>147</v>
      </c>
      <c r="L107" s="7" t="n">
        <v>45901</v>
      </c>
      <c r="M107" s="11" t="n">
        <v>46048</v>
      </c>
      <c r="N107" s="5" t="inlineStr">
        <is>
          <t>Approved</t>
        </is>
      </c>
      <c r="O107" s="5" t="inlineStr">
        <is>
          <t>Site</t>
        </is>
      </c>
      <c r="P107" s="5" t="inlineStr">
        <is>
          <t>Colombia</t>
        </is>
      </c>
      <c r="Q107" s="13" t="inlineStr">
        <is>
          <t>S10-CO10004</t>
        </is>
      </c>
      <c r="R107" s="5" t="inlineStr">
        <is>
          <t>Alejandra Torres (VeevaID)</t>
        </is>
      </c>
      <c r="S107" s="8" t="n">
        <v>46048.84423611111</v>
      </c>
    </row>
    <row r="108" hidden="1" ht="29" customHeight="1">
      <c r="A108" s="15">
        <f>HYPERLINK("https://vtmf.veevavault.com/ui/#doc_info/30854431/2/0", "VTMF-24865919")</f>
        <v/>
      </c>
      <c r="B108" s="19" t="inlineStr">
        <is>
          <t>No</t>
        </is>
      </c>
      <c r="C108" s="5" t="inlineStr">
        <is>
          <t>2.0</t>
        </is>
      </c>
      <c r="D108" s="5" t="inlineStr">
        <is>
          <t>GCO</t>
        </is>
      </c>
      <c r="E108" s="5" t="inlineStr">
        <is>
          <t>42847922MDD3003</t>
        </is>
      </c>
      <c r="F108" s="16">
        <f>HYPERLINK("https://vtmf.veevavault.com/ui/#doc_info/30854431/2/0", "42847922MDD3003-POL-S10-PL10017-Non-IP Shipment Documentation-27 Jan 2026 (v2.0)")</f>
        <v/>
      </c>
      <c r="G108" s="5" t="inlineStr">
        <is>
          <t>IP and Trial Supplies</t>
        </is>
      </c>
      <c r="H108" s="5" t="inlineStr">
        <is>
          <t>Non-IP Documentation</t>
        </is>
      </c>
      <c r="I108" s="5" t="inlineStr">
        <is>
          <t>Non-IP Shipment Documentation</t>
        </is>
      </c>
      <c r="J108" s="5" t="inlineStr">
        <is>
          <t>NIPSF_Patient`s materials and documents to ISF: PQC (file copy), Jesir Instruction, NTF, GPTP v9.0_26Jan2026</t>
        </is>
      </c>
      <c r="K108" s="6" t="n">
        <v>35</v>
      </c>
      <c r="L108" s="7" t="n">
        <v>46049</v>
      </c>
      <c r="M108" s="11" t="n">
        <v>46084</v>
      </c>
      <c r="N108" s="5" t="inlineStr">
        <is>
          <t>Approved</t>
        </is>
      </c>
      <c r="O108" s="5" t="inlineStr">
        <is>
          <t>Site</t>
        </is>
      </c>
      <c r="P108" s="5" t="inlineStr">
        <is>
          <t>Poland</t>
        </is>
      </c>
      <c r="Q108" s="13" t="inlineStr">
        <is>
          <t>S10-PL10017</t>
        </is>
      </c>
      <c r="R108" s="5" t="inlineStr">
        <is>
          <t>Agnieszka Smolewska</t>
        </is>
      </c>
      <c r="S108" s="8" t="n">
        <v>46084.48353009259</v>
      </c>
    </row>
    <row r="109" hidden="1" ht="29" customHeight="1">
      <c r="A109" s="15">
        <f>HYPERLINK("https://vtmf.veevavault.com/ui/#doc_info/30864567/1/0", "VTMF-24874529")</f>
        <v/>
      </c>
      <c r="B109" s="19" t="inlineStr">
        <is>
          <t>No</t>
        </is>
      </c>
      <c r="C109" s="5" t="inlineStr">
        <is>
          <t>1.0</t>
        </is>
      </c>
      <c r="D109" s="5" t="inlineStr">
        <is>
          <t>GCO</t>
        </is>
      </c>
      <c r="E109" s="5" t="inlineStr">
        <is>
          <t>42847922MDD3003</t>
        </is>
      </c>
      <c r="F109" s="16">
        <f>HYPERLINK("https://vtmf.veevavault.com/ui/#doc_info/30864567/1/0", "42847922MDD3003-SVK-S10-SK10003-IP Shipment Documentation-01 Jul 2025 (v1.0)")</f>
        <v/>
      </c>
      <c r="G109" s="5" t="inlineStr">
        <is>
          <t>IP and Trial Supplies</t>
        </is>
      </c>
      <c r="H109" s="5" t="inlineStr">
        <is>
          <t>IP Documentation</t>
        </is>
      </c>
      <c r="I109" s="5" t="inlineStr">
        <is>
          <t>IP Shipment Documentation</t>
        </is>
      </c>
      <c r="J109" s="5" t="inlineStr">
        <is>
          <t>SK10003 Packing list 100920</t>
        </is>
      </c>
      <c r="K109" s="6" t="n">
        <v>211</v>
      </c>
      <c r="L109" s="7" t="n">
        <v>45839</v>
      </c>
      <c r="M109" s="11" t="n">
        <v>46050</v>
      </c>
      <c r="N109" s="5" t="inlineStr">
        <is>
          <t>Approved</t>
        </is>
      </c>
      <c r="O109" s="5" t="inlineStr">
        <is>
          <t>Site</t>
        </is>
      </c>
      <c r="P109" s="5" t="inlineStr">
        <is>
          <t>Slovakia</t>
        </is>
      </c>
      <c r="Q109" s="13" t="inlineStr">
        <is>
          <t>S10-SK10003</t>
        </is>
      </c>
      <c r="R109" s="5" t="inlineStr">
        <is>
          <t>Jana Likavcanova</t>
        </is>
      </c>
      <c r="S109" s="8" t="n">
        <v>46050.54413194444</v>
      </c>
    </row>
    <row r="110" hidden="1" ht="29" customHeight="1">
      <c r="A110" s="15">
        <f>HYPERLINK("https://vtmf.veevavault.com/ui/#doc_info/30864573/1/0", "VTMF-24874549")</f>
        <v/>
      </c>
      <c r="B110" s="19" t="inlineStr">
        <is>
          <t>No</t>
        </is>
      </c>
      <c r="C110" s="5" t="inlineStr">
        <is>
          <t>1.0</t>
        </is>
      </c>
      <c r="D110" s="5" t="inlineStr">
        <is>
          <t>GCO</t>
        </is>
      </c>
      <c r="E110" s="5" t="inlineStr">
        <is>
          <t>42847922MDD3003</t>
        </is>
      </c>
      <c r="F110" s="16">
        <f>HYPERLINK("https://vtmf.veevavault.com/ui/#doc_info/30864573/1/0", "42847922MDD3003-SVK-S10-SK10003-IP Shipment Documentation-31 Jul 2025 (v1.0)")</f>
        <v/>
      </c>
      <c r="G110" s="5" t="inlineStr">
        <is>
          <t>IP and Trial Supplies</t>
        </is>
      </c>
      <c r="H110" s="5" t="inlineStr">
        <is>
          <t>IP Documentation</t>
        </is>
      </c>
      <c r="I110" s="5" t="inlineStr">
        <is>
          <t>IP Shipment Documentation</t>
        </is>
      </c>
      <c r="J110" s="5" t="inlineStr">
        <is>
          <t>SK10003 packing list 101075</t>
        </is>
      </c>
      <c r="K110" s="6" t="n">
        <v>181</v>
      </c>
      <c r="L110" s="7" t="n">
        <v>45869</v>
      </c>
      <c r="M110" s="11" t="n">
        <v>46050</v>
      </c>
      <c r="N110" s="5" t="inlineStr">
        <is>
          <t>Approved</t>
        </is>
      </c>
      <c r="O110" s="5" t="inlineStr">
        <is>
          <t>Site</t>
        </is>
      </c>
      <c r="P110" s="5" t="inlineStr">
        <is>
          <t>Slovakia</t>
        </is>
      </c>
      <c r="Q110" s="13" t="inlineStr">
        <is>
          <t>S10-SK10003</t>
        </is>
      </c>
      <c r="R110" s="5" t="inlineStr">
        <is>
          <t>Jana Likavcanova</t>
        </is>
      </c>
      <c r="S110" s="8" t="n">
        <v>46050.54414351852</v>
      </c>
    </row>
    <row r="111" hidden="1" ht="29" customHeight="1">
      <c r="A111" s="15">
        <f>HYPERLINK("https://vtmf.veevavault.com/ui/#doc_info/30864569/1/0", "VTMF-24874568")</f>
        <v/>
      </c>
      <c r="B111" s="19" t="inlineStr">
        <is>
          <t>No</t>
        </is>
      </c>
      <c r="C111" s="5" t="inlineStr">
        <is>
          <t>1.0</t>
        </is>
      </c>
      <c r="D111" s="5" t="inlineStr">
        <is>
          <t>GCO</t>
        </is>
      </c>
      <c r="E111" s="5" t="inlineStr">
        <is>
          <t>42847922MDD3003</t>
        </is>
      </c>
      <c r="F111" s="16">
        <f>HYPERLINK("https://vtmf.veevavault.com/ui/#doc_info/30864569/1/0", "42847922MDD3003-SVK-S10-SK10003-IP Shipment Documentation-01 Sep 2025 (v1.0)")</f>
        <v/>
      </c>
      <c r="G111" s="5" t="inlineStr">
        <is>
          <t>IP and Trial Supplies</t>
        </is>
      </c>
      <c r="H111" s="5" t="inlineStr">
        <is>
          <t>IP Documentation</t>
        </is>
      </c>
      <c r="I111" s="5" t="inlineStr">
        <is>
          <t>IP Shipment Documentation</t>
        </is>
      </c>
      <c r="J111" s="5" t="inlineStr">
        <is>
          <t>Packing list 101206</t>
        </is>
      </c>
      <c r="K111" s="6" t="n">
        <v>149</v>
      </c>
      <c r="L111" s="7" t="n">
        <v>45901</v>
      </c>
      <c r="M111" s="11" t="n">
        <v>46050</v>
      </c>
      <c r="N111" s="5" t="inlineStr">
        <is>
          <t>Approved</t>
        </is>
      </c>
      <c r="O111" s="5" t="inlineStr">
        <is>
          <t>Site</t>
        </is>
      </c>
      <c r="P111" s="5" t="inlineStr">
        <is>
          <t>Slovakia</t>
        </is>
      </c>
      <c r="Q111" s="13" t="inlineStr">
        <is>
          <t>S10-SK10003</t>
        </is>
      </c>
      <c r="R111" s="5" t="inlineStr">
        <is>
          <t>Jana Likavcanova</t>
        </is>
      </c>
      <c r="S111" s="8" t="n">
        <v>46050.54414351852</v>
      </c>
    </row>
    <row r="112" hidden="1" ht="29" customHeight="1">
      <c r="A112" s="15">
        <f>HYPERLINK("https://vtmf.veevavault.com/ui/#doc_info/30864568/1/0", "VTMF-24874575")</f>
        <v/>
      </c>
      <c r="B112" s="19" t="inlineStr">
        <is>
          <t>No</t>
        </is>
      </c>
      <c r="C112" s="5" t="inlineStr">
        <is>
          <t>1.0</t>
        </is>
      </c>
      <c r="D112" s="5" t="inlineStr">
        <is>
          <t>GCO</t>
        </is>
      </c>
      <c r="E112" s="5" t="inlineStr">
        <is>
          <t>42847922MDD3003</t>
        </is>
      </c>
      <c r="F112" s="16">
        <f>HYPERLINK("https://vtmf.veevavault.com/ui/#doc_info/30864568/1/0", "42847922MDD3003-SVK-S10-SK10003-IP Shipment Documentation-22 Sep 2025 (v1.0)")</f>
        <v/>
      </c>
      <c r="G112" s="5" t="inlineStr">
        <is>
          <t>IP and Trial Supplies</t>
        </is>
      </c>
      <c r="H112" s="5" t="inlineStr">
        <is>
          <t>IP Documentation</t>
        </is>
      </c>
      <c r="I112" s="5" t="inlineStr">
        <is>
          <t>IP Shipment Documentation</t>
        </is>
      </c>
      <c r="J112" s="5" t="inlineStr">
        <is>
          <t>SK10003 PAcking list 101308</t>
        </is>
      </c>
      <c r="K112" s="6" t="n">
        <v>128</v>
      </c>
      <c r="L112" s="7" t="n">
        <v>45922</v>
      </c>
      <c r="M112" s="11" t="n">
        <v>46050</v>
      </c>
      <c r="N112" s="5" t="inlineStr">
        <is>
          <t>Approved</t>
        </is>
      </c>
      <c r="O112" s="5" t="inlineStr">
        <is>
          <t>Site</t>
        </is>
      </c>
      <c r="P112" s="5" t="inlineStr">
        <is>
          <t>Slovakia</t>
        </is>
      </c>
      <c r="Q112" s="13" t="inlineStr">
        <is>
          <t>S10-SK10003</t>
        </is>
      </c>
      <c r="R112" s="5" t="inlineStr">
        <is>
          <t>Jana Likavcanova</t>
        </is>
      </c>
      <c r="S112" s="8" t="n">
        <v>46050.54413194444</v>
      </c>
    </row>
    <row r="113" hidden="1" ht="29" customHeight="1">
      <c r="A113" s="15">
        <f>HYPERLINK("https://vtmf.veevavault.com/ui/#doc_info/30864571/1/0", "VTMF-24874580")</f>
        <v/>
      </c>
      <c r="B113" s="19" t="inlineStr">
        <is>
          <t>No</t>
        </is>
      </c>
      <c r="C113" s="5" t="inlineStr">
        <is>
          <t>1.0</t>
        </is>
      </c>
      <c r="D113" s="5" t="inlineStr">
        <is>
          <t>GCO</t>
        </is>
      </c>
      <c r="E113" s="5" t="inlineStr">
        <is>
          <t>42847922MDD3003</t>
        </is>
      </c>
      <c r="F113" s="16">
        <f>HYPERLINK("https://vtmf.veevavault.com/ui/#doc_info/30864571/1/0", "42847922MDD3003-SVK-S10-SK10003-IP Shipment Documentation-25 Sep 2025 (v1.0)")</f>
        <v/>
      </c>
      <c r="G113" s="5" t="inlineStr">
        <is>
          <t>IP and Trial Supplies</t>
        </is>
      </c>
      <c r="H113" s="5" t="inlineStr">
        <is>
          <t>IP Documentation</t>
        </is>
      </c>
      <c r="I113" s="5" t="inlineStr">
        <is>
          <t>IP Shipment Documentation</t>
        </is>
      </c>
      <c r="J113" s="5" t="inlineStr">
        <is>
          <t>S10-SK10003 Packing list 101334</t>
        </is>
      </c>
      <c r="K113" s="6" t="n">
        <v>125</v>
      </c>
      <c r="L113" s="7" t="n">
        <v>45925</v>
      </c>
      <c r="M113" s="11" t="n">
        <v>46050</v>
      </c>
      <c r="N113" s="5" t="inlineStr">
        <is>
          <t>Approved</t>
        </is>
      </c>
      <c r="O113" s="5" t="inlineStr">
        <is>
          <t>Site</t>
        </is>
      </c>
      <c r="P113" s="5" t="inlineStr">
        <is>
          <t>Slovakia</t>
        </is>
      </c>
      <c r="Q113" s="13" t="inlineStr">
        <is>
          <t>S10-SK10003</t>
        </is>
      </c>
      <c r="R113" s="5" t="inlineStr">
        <is>
          <t>Jana Likavcanova</t>
        </is>
      </c>
      <c r="S113" s="8" t="n">
        <v>46050.54414351852</v>
      </c>
    </row>
    <row r="114" hidden="1" ht="29" customHeight="1">
      <c r="A114" s="15">
        <f>HYPERLINK("https://vtmf.veevavault.com/ui/#doc_info/30864572/1/0", "VTMF-24874587")</f>
        <v/>
      </c>
      <c r="B114" s="19" t="inlineStr">
        <is>
          <t>No</t>
        </is>
      </c>
      <c r="C114" s="5" t="inlineStr">
        <is>
          <t>1.0</t>
        </is>
      </c>
      <c r="D114" s="5" t="inlineStr">
        <is>
          <t>GCO</t>
        </is>
      </c>
      <c r="E114" s="5" t="inlineStr">
        <is>
          <t>42847922MDD3003</t>
        </is>
      </c>
      <c r="F114" s="16">
        <f>HYPERLINK("https://vtmf.veevavault.com/ui/#doc_info/30864572/1/0", "42847922MDD3003-SVK-S10-SK10003-IP Shipment Documentation-30 Sep 2025 (v1.0)")</f>
        <v/>
      </c>
      <c r="G114" s="5" t="inlineStr">
        <is>
          <t>IP and Trial Supplies</t>
        </is>
      </c>
      <c r="H114" s="5" t="inlineStr">
        <is>
          <t>IP Documentation</t>
        </is>
      </c>
      <c r="I114" s="5" t="inlineStr">
        <is>
          <t>IP Shipment Documentation</t>
        </is>
      </c>
      <c r="J114" s="5" t="inlineStr">
        <is>
          <t>S10-SK10003 Packing list 101348</t>
        </is>
      </c>
      <c r="K114" s="6" t="n">
        <v>120</v>
      </c>
      <c r="L114" s="7" t="n">
        <v>45930</v>
      </c>
      <c r="M114" s="11" t="n">
        <v>46050</v>
      </c>
      <c r="N114" s="5" t="inlineStr">
        <is>
          <t>Approved</t>
        </is>
      </c>
      <c r="O114" s="5" t="inlineStr">
        <is>
          <t>Site</t>
        </is>
      </c>
      <c r="P114" s="5" t="inlineStr">
        <is>
          <t>Slovakia</t>
        </is>
      </c>
      <c r="Q114" s="13" t="inlineStr">
        <is>
          <t>S10-SK10003</t>
        </is>
      </c>
      <c r="R114" s="5" t="inlineStr">
        <is>
          <t>Jana Likavcanova</t>
        </is>
      </c>
      <c r="S114" s="8" t="n">
        <v>46050.54414351852</v>
      </c>
    </row>
    <row r="115" hidden="1" ht="29" customHeight="1">
      <c r="A115" s="15">
        <f>HYPERLINK("https://vtmf.veevavault.com/ui/#doc_info/30864574/1/0", "VTMF-24874596")</f>
        <v/>
      </c>
      <c r="B115" s="19" t="inlineStr">
        <is>
          <t>No</t>
        </is>
      </c>
      <c r="C115" s="5" t="inlineStr">
        <is>
          <t>1.0</t>
        </is>
      </c>
      <c r="D115" s="5" t="inlineStr">
        <is>
          <t>GCO</t>
        </is>
      </c>
      <c r="E115" s="5" t="inlineStr">
        <is>
          <t>42847922MDD3003</t>
        </is>
      </c>
      <c r="F115" s="16">
        <f>HYPERLINK("https://vtmf.veevavault.com/ui/#doc_info/30864574/1/0", "42847922MDD3003-SVK-S10-SK10003-IP Shipment Documentation-13 Oct 2025 (v1.0)")</f>
        <v/>
      </c>
      <c r="G115" s="5" t="inlineStr">
        <is>
          <t>IP and Trial Supplies</t>
        </is>
      </c>
      <c r="H115" s="5" t="inlineStr">
        <is>
          <t>IP Documentation</t>
        </is>
      </c>
      <c r="I115" s="5" t="inlineStr">
        <is>
          <t>IP Shipment Documentation</t>
        </is>
      </c>
      <c r="J115" s="5" t="inlineStr">
        <is>
          <t>Packing list 101410</t>
        </is>
      </c>
      <c r="K115" s="6" t="n">
        <v>107</v>
      </c>
      <c r="L115" s="7" t="n">
        <v>45943</v>
      </c>
      <c r="M115" s="11" t="n">
        <v>46050</v>
      </c>
      <c r="N115" s="5" t="inlineStr">
        <is>
          <t>Approved</t>
        </is>
      </c>
      <c r="O115" s="5" t="inlineStr">
        <is>
          <t>Site</t>
        </is>
      </c>
      <c r="P115" s="5" t="inlineStr">
        <is>
          <t>Slovakia</t>
        </is>
      </c>
      <c r="Q115" s="13" t="inlineStr">
        <is>
          <t>S10-SK10003</t>
        </is>
      </c>
      <c r="R115" s="5" t="inlineStr">
        <is>
          <t>Jana Likavcanova</t>
        </is>
      </c>
      <c r="S115" s="8" t="n">
        <v>46050.54414351852</v>
      </c>
    </row>
    <row r="116" hidden="1" ht="29" customHeight="1">
      <c r="A116" s="15">
        <f>HYPERLINK("https://vtmf.veevavault.com/ui/#doc_info/30864570/1/0", "VTMF-24874603")</f>
        <v/>
      </c>
      <c r="B116" s="19" t="inlineStr">
        <is>
          <t>No</t>
        </is>
      </c>
      <c r="C116" s="5" t="inlineStr">
        <is>
          <t>1.0</t>
        </is>
      </c>
      <c r="D116" s="5" t="inlineStr">
        <is>
          <t>GCO</t>
        </is>
      </c>
      <c r="E116" s="5" t="inlineStr">
        <is>
          <t>42847922MDD3003</t>
        </is>
      </c>
      <c r="F116" s="16">
        <f>HYPERLINK("https://vtmf.veevavault.com/ui/#doc_info/30864570/1/0", "42847922MDD3003-SVK-S10-SK10003-IP Shipment Documentation-17 Nov 2025 (v1.0)")</f>
        <v/>
      </c>
      <c r="G116" s="5" t="inlineStr">
        <is>
          <t>IP and Trial Supplies</t>
        </is>
      </c>
      <c r="H116" s="5" t="inlineStr">
        <is>
          <t>IP Documentation</t>
        </is>
      </c>
      <c r="I116" s="5" t="inlineStr">
        <is>
          <t>IP Shipment Documentation</t>
        </is>
      </c>
      <c r="J116" s="5" t="inlineStr">
        <is>
          <t>Packing list 101562</t>
        </is>
      </c>
      <c r="K116" s="6" t="n">
        <v>72</v>
      </c>
      <c r="L116" s="7" t="n">
        <v>45978</v>
      </c>
      <c r="M116" s="11" t="n">
        <v>46050</v>
      </c>
      <c r="N116" s="5" t="inlineStr">
        <is>
          <t>Approved</t>
        </is>
      </c>
      <c r="O116" s="5" t="inlineStr">
        <is>
          <t>Site</t>
        </is>
      </c>
      <c r="P116" s="5" t="inlineStr">
        <is>
          <t>Slovakia</t>
        </is>
      </c>
      <c r="Q116" s="13" t="inlineStr">
        <is>
          <t>S10-SK10003</t>
        </is>
      </c>
      <c r="R116" s="5" t="inlineStr">
        <is>
          <t>Jana Likavcanova</t>
        </is>
      </c>
      <c r="S116" s="8" t="n">
        <v>46050.54414351852</v>
      </c>
    </row>
    <row r="117" hidden="1" ht="29" customHeight="1">
      <c r="A117" s="15">
        <f>HYPERLINK("https://vtmf.veevavault.com/ui/#doc_info/30864892/1/0", "VTMF-24874752")</f>
        <v/>
      </c>
      <c r="B117" s="19" t="inlineStr">
        <is>
          <t>No</t>
        </is>
      </c>
      <c r="C117" s="5" t="inlineStr">
        <is>
          <t>1.0</t>
        </is>
      </c>
      <c r="D117" s="5" t="inlineStr">
        <is>
          <t>GCO</t>
        </is>
      </c>
      <c r="E117" s="5" t="inlineStr">
        <is>
          <t>42847922MDD3003</t>
        </is>
      </c>
      <c r="F117" s="16">
        <f>HYPERLINK("https://vtmf.veevavault.com/ui/#doc_info/30864892/1/0", "42847922MDD3003-SVK-S10-SK10006-IP Shipment Documentation-19 Sep 2025 (v1.0)")</f>
        <v/>
      </c>
      <c r="G117" s="5" t="inlineStr">
        <is>
          <t>IP and Trial Supplies</t>
        </is>
      </c>
      <c r="H117" s="5" t="inlineStr">
        <is>
          <t>IP Documentation</t>
        </is>
      </c>
      <c r="I117" s="5" t="inlineStr">
        <is>
          <t>IP Shipment Documentation</t>
        </is>
      </c>
      <c r="J117" s="5" t="inlineStr">
        <is>
          <t>S10-SK10006 Packing list 101309</t>
        </is>
      </c>
      <c r="K117" s="6" t="n">
        <v>131</v>
      </c>
      <c r="L117" s="7" t="n">
        <v>45919</v>
      </c>
      <c r="M117" s="11" t="n">
        <v>46050</v>
      </c>
      <c r="N117" s="5" t="inlineStr">
        <is>
          <t>Approved</t>
        </is>
      </c>
      <c r="O117" s="5" t="inlineStr">
        <is>
          <t>Site</t>
        </is>
      </c>
      <c r="P117" s="5" t="inlineStr">
        <is>
          <t>Slovakia</t>
        </is>
      </c>
      <c r="Q117" s="13" t="inlineStr">
        <is>
          <t>S10-SK10006</t>
        </is>
      </c>
      <c r="R117" s="5" t="inlineStr">
        <is>
          <t>Jana Likavcanova</t>
        </is>
      </c>
      <c r="S117" s="8" t="n">
        <v>46050.571875</v>
      </c>
    </row>
    <row r="118" hidden="1" ht="29" customHeight="1">
      <c r="A118" s="15">
        <f>HYPERLINK("https://vtmf.veevavault.com/ui/#doc_info/30864891/1/0", "VTMF-24874758")</f>
        <v/>
      </c>
      <c r="B118" s="19" t="inlineStr">
        <is>
          <t>No</t>
        </is>
      </c>
      <c r="C118" s="5" t="inlineStr">
        <is>
          <t>1.0</t>
        </is>
      </c>
      <c r="D118" s="5" t="inlineStr">
        <is>
          <t>GCO</t>
        </is>
      </c>
      <c r="E118" s="5" t="inlineStr">
        <is>
          <t>42847922MDD3003</t>
        </is>
      </c>
      <c r="F118" s="16">
        <f>HYPERLINK("https://vtmf.veevavault.com/ui/#doc_info/30864891/1/0", "42847922MDD3003-SVK-S10-SK10006-IP Shipment Documentation-20 Oct 2025 (v1.0)")</f>
        <v/>
      </c>
      <c r="G118" s="5" t="inlineStr">
        <is>
          <t>IP and Trial Supplies</t>
        </is>
      </c>
      <c r="H118" s="5" t="inlineStr">
        <is>
          <t>IP Documentation</t>
        </is>
      </c>
      <c r="I118" s="5" t="inlineStr">
        <is>
          <t>IP Shipment Documentation</t>
        </is>
      </c>
      <c r="J118" s="5" t="inlineStr">
        <is>
          <t>S10-SK10006 Packing list 101440</t>
        </is>
      </c>
      <c r="K118" s="6" t="n">
        <v>100</v>
      </c>
      <c r="L118" s="7" t="n">
        <v>45950</v>
      </c>
      <c r="M118" s="11" t="n">
        <v>46050</v>
      </c>
      <c r="N118" s="5" t="inlineStr">
        <is>
          <t>Approved</t>
        </is>
      </c>
      <c r="O118" s="5" t="inlineStr">
        <is>
          <t>Site</t>
        </is>
      </c>
      <c r="P118" s="5" t="inlineStr">
        <is>
          <t>Slovakia</t>
        </is>
      </c>
      <c r="Q118" s="13" t="inlineStr">
        <is>
          <t>S10-SK10006</t>
        </is>
      </c>
      <c r="R118" s="5" t="inlineStr">
        <is>
          <t>Jana Likavcanova</t>
        </is>
      </c>
      <c r="S118" s="8" t="n">
        <v>46050.57186342592</v>
      </c>
    </row>
    <row r="119" hidden="1" ht="29" customHeight="1">
      <c r="A119" s="15">
        <f>HYPERLINK("https://vtmf.veevavault.com/ui/#doc_info/30864894/1/0", "VTMF-24874767")</f>
        <v/>
      </c>
      <c r="B119" s="19" t="inlineStr">
        <is>
          <t>No</t>
        </is>
      </c>
      <c r="C119" s="5" t="inlineStr">
        <is>
          <t>1.0</t>
        </is>
      </c>
      <c r="D119" s="5" t="inlineStr">
        <is>
          <t>GCO</t>
        </is>
      </c>
      <c r="E119" s="5" t="inlineStr">
        <is>
          <t>42847922MDD3003</t>
        </is>
      </c>
      <c r="F119" s="16">
        <f>HYPERLINK("https://vtmf.veevavault.com/ui/#doc_info/30864894/1/0", "42847922MDD3003-SVK-S10-SK10006-IP Shipment Documentation-03 Sep 2025 (v1.0)")</f>
        <v/>
      </c>
      <c r="G119" s="5" t="inlineStr">
        <is>
          <t>IP and Trial Supplies</t>
        </is>
      </c>
      <c r="H119" s="5" t="inlineStr">
        <is>
          <t>IP Documentation</t>
        </is>
      </c>
      <c r="I119" s="5" t="inlineStr">
        <is>
          <t>IP Shipment Documentation</t>
        </is>
      </c>
      <c r="J119" s="5" t="inlineStr">
        <is>
          <t>S10-SK10006 Packing list 101215</t>
        </is>
      </c>
      <c r="K119" s="6" t="n">
        <v>147</v>
      </c>
      <c r="L119" s="7" t="n">
        <v>45903</v>
      </c>
      <c r="M119" s="11" t="n">
        <v>46050</v>
      </c>
      <c r="N119" s="5" t="inlineStr">
        <is>
          <t>Approved</t>
        </is>
      </c>
      <c r="O119" s="5" t="inlineStr">
        <is>
          <t>Site</t>
        </is>
      </c>
      <c r="P119" s="5" t="inlineStr">
        <is>
          <t>Slovakia</t>
        </is>
      </c>
      <c r="Q119" s="13" t="inlineStr">
        <is>
          <t>S10-SK10006</t>
        </is>
      </c>
      <c r="R119" s="5" t="inlineStr">
        <is>
          <t>Jana Likavcanova</t>
        </is>
      </c>
      <c r="S119" s="8" t="n">
        <v>46050.571875</v>
      </c>
    </row>
    <row r="120" hidden="1" ht="29" customHeight="1">
      <c r="A120" s="15">
        <f>HYPERLINK("https://vtmf.veevavault.com/ui/#doc_info/30865047/1/0", "VTMF-24874853")</f>
        <v/>
      </c>
      <c r="B120" s="19" t="inlineStr">
        <is>
          <t>No</t>
        </is>
      </c>
      <c r="C120" s="5" t="inlineStr">
        <is>
          <t>1.0</t>
        </is>
      </c>
      <c r="D120" s="5" t="inlineStr">
        <is>
          <t>GCO</t>
        </is>
      </c>
      <c r="E120" s="5" t="inlineStr">
        <is>
          <t>42847922MDD3003</t>
        </is>
      </c>
      <c r="F120" s="16">
        <f>HYPERLINK("https://vtmf.veevavault.com/ui/#doc_info/30865047/1/0", "42847922MDD3003-SVK-S10-SK10006-IP Shipment Documentation-20 Nov 2025 (v1.0)")</f>
        <v/>
      </c>
      <c r="G120" s="5" t="inlineStr">
        <is>
          <t>IP and Trial Supplies</t>
        </is>
      </c>
      <c r="H120" s="5" t="inlineStr">
        <is>
          <t>IP Documentation</t>
        </is>
      </c>
      <c r="I120" s="5" t="inlineStr">
        <is>
          <t>IP Shipment Documentation</t>
        </is>
      </c>
      <c r="J120" s="5" t="inlineStr">
        <is>
          <t>S10-SK10006 Packing list 101597</t>
        </is>
      </c>
      <c r="K120" s="6" t="n">
        <v>69</v>
      </c>
      <c r="L120" s="7" t="n">
        <v>45981</v>
      </c>
      <c r="M120" s="11" t="n">
        <v>46050</v>
      </c>
      <c r="N120" s="5" t="inlineStr">
        <is>
          <t>Approved</t>
        </is>
      </c>
      <c r="O120" s="5" t="inlineStr">
        <is>
          <t>Site</t>
        </is>
      </c>
      <c r="P120" s="5" t="inlineStr">
        <is>
          <t>Slovakia</t>
        </is>
      </c>
      <c r="Q120" s="13" t="inlineStr">
        <is>
          <t>S10-SK10006</t>
        </is>
      </c>
      <c r="R120" s="5" t="inlineStr">
        <is>
          <t>Jana Likavcanova</t>
        </is>
      </c>
      <c r="S120" s="8" t="n">
        <v>46050.58387731481</v>
      </c>
    </row>
    <row r="121" hidden="1" ht="29" customHeight="1">
      <c r="A121" s="15">
        <f>HYPERLINK("https://vtmf.veevavault.com/ui/#doc_info/30865389/1/0", "VTMF-24875220")</f>
        <v/>
      </c>
      <c r="B121" s="19" t="inlineStr">
        <is>
          <t>No</t>
        </is>
      </c>
      <c r="C121" s="5" t="inlineStr">
        <is>
          <t>1.0</t>
        </is>
      </c>
      <c r="D121" s="5" t="inlineStr">
        <is>
          <t>GCO</t>
        </is>
      </c>
      <c r="E121" s="5" t="inlineStr">
        <is>
          <t>42847922MDD3003</t>
        </is>
      </c>
      <c r="F121" s="16">
        <f>HYPERLINK("https://vtmf.veevavault.com/ui/#doc_info/30865389/1/0", "42847922MDD3003-SVK-S10-SK10006-Non-IP Shipment Documentation-11 Jul 2025 (v1.0)")</f>
        <v/>
      </c>
      <c r="G121" s="5" t="inlineStr">
        <is>
          <t>IP and Trial Supplies</t>
        </is>
      </c>
      <c r="H121" s="5" t="inlineStr">
        <is>
          <t>Non-IP Documentation</t>
        </is>
      </c>
      <c r="I121" s="5" t="inlineStr">
        <is>
          <t>Non-IP Shipment Documentation</t>
        </is>
      </c>
      <c r="J121" s="5" t="inlineStr">
        <is>
          <t>SK10006 NIPSF 11Jul2025</t>
        </is>
      </c>
      <c r="K121" s="6" t="n">
        <v>201</v>
      </c>
      <c r="L121" s="7" t="n">
        <v>45849</v>
      </c>
      <c r="M121" s="11" t="n">
        <v>46050</v>
      </c>
      <c r="N121" s="5" t="inlineStr">
        <is>
          <t>Approved</t>
        </is>
      </c>
      <c r="O121" s="5" t="inlineStr">
        <is>
          <t>Site</t>
        </is>
      </c>
      <c r="P121" s="5" t="inlineStr">
        <is>
          <t>Slovakia</t>
        </is>
      </c>
      <c r="Q121" s="13" t="inlineStr">
        <is>
          <t>S10-SK10006</t>
        </is>
      </c>
      <c r="R121" s="5" t="inlineStr">
        <is>
          <t>Jana Likavcanova</t>
        </is>
      </c>
      <c r="S121" s="8" t="n">
        <v>46050.61771990741</v>
      </c>
    </row>
    <row r="122" hidden="1" ht="29" customHeight="1">
      <c r="A122" s="15">
        <f>HYPERLINK("https://vtmf.veevavault.com/ui/#doc_info/30865590/1/0", "VTMF-24875445")</f>
        <v/>
      </c>
      <c r="B122" s="19" t="inlineStr">
        <is>
          <t>No</t>
        </is>
      </c>
      <c r="C122" s="5" t="inlineStr">
        <is>
          <t>1.0</t>
        </is>
      </c>
      <c r="D122" s="5" t="inlineStr">
        <is>
          <t>GCO</t>
        </is>
      </c>
      <c r="E122" s="5" t="inlineStr">
        <is>
          <t>42847922MDD3003</t>
        </is>
      </c>
      <c r="F122" s="16">
        <f>HYPERLINK("https://vtmf.veevavault.com/ui/#doc_info/30865590/1/0", "42847922MDD3003-SVK-S10-SK10006-IP Shipment Documentation-17 Apr 2025 (v1.0)")</f>
        <v/>
      </c>
      <c r="G122" s="5" t="inlineStr">
        <is>
          <t>IP and Trial Supplies</t>
        </is>
      </c>
      <c r="H122" s="5" t="inlineStr">
        <is>
          <t>IP Documentation</t>
        </is>
      </c>
      <c r="I122" s="5" t="inlineStr">
        <is>
          <t>IP Shipment Documentation</t>
        </is>
      </c>
      <c r="J122" s="5" t="inlineStr">
        <is>
          <t>S10-SK10006 Packing list 100563</t>
        </is>
      </c>
      <c r="K122" s="6" t="n">
        <v>286</v>
      </c>
      <c r="L122" s="7" t="n">
        <v>45764</v>
      </c>
      <c r="M122" s="11" t="n">
        <v>46050</v>
      </c>
      <c r="N122" s="5" t="inlineStr">
        <is>
          <t>Superseded</t>
        </is>
      </c>
      <c r="O122" s="5" t="inlineStr">
        <is>
          <t>Site</t>
        </is>
      </c>
      <c r="P122" s="5" t="inlineStr">
        <is>
          <t>Slovakia</t>
        </is>
      </c>
      <c r="Q122" s="13" t="inlineStr">
        <is>
          <t>S10-SK10006</t>
        </is>
      </c>
      <c r="R122" s="5" t="inlineStr">
        <is>
          <t>Jana Likavcanova</t>
        </is>
      </c>
      <c r="S122" s="8" t="n">
        <v>46050.63258101852</v>
      </c>
    </row>
    <row r="123" hidden="1" ht="29" customHeight="1">
      <c r="A123" s="15">
        <f>HYPERLINK("https://vtmf.veevavault.com/ui/#doc_info/30865590/2/0", "VTMF-24875445")</f>
        <v/>
      </c>
      <c r="B123" s="19" t="inlineStr">
        <is>
          <t>No</t>
        </is>
      </c>
      <c r="C123" s="5" t="inlineStr">
        <is>
          <t>2.0</t>
        </is>
      </c>
      <c r="D123" s="5" t="inlineStr">
        <is>
          <t>GCO</t>
        </is>
      </c>
      <c r="E123" s="5" t="inlineStr">
        <is>
          <t>42847922MDD3003</t>
        </is>
      </c>
      <c r="F123" s="16">
        <f>HYPERLINK("https://vtmf.veevavault.com/ui/#doc_info/30865590/2/0", "42847922MDD3003-SVK-S10-SK10006-IP Shipment Documentation-17 Apr 2025 (v2.0)")</f>
        <v/>
      </c>
      <c r="G123" s="5" t="inlineStr">
        <is>
          <t>IP and Trial Supplies</t>
        </is>
      </c>
      <c r="H123" s="5" t="inlineStr">
        <is>
          <t>IP Documentation</t>
        </is>
      </c>
      <c r="I123" s="5" t="inlineStr">
        <is>
          <t>IP Shipment Documentation</t>
        </is>
      </c>
      <c r="J123" s="5" t="inlineStr">
        <is>
          <t>S10-SK10006 Packing list 100563</t>
        </is>
      </c>
      <c r="K123" s="6" t="n">
        <v>286</v>
      </c>
      <c r="L123" s="7" t="n">
        <v>45764</v>
      </c>
      <c r="M123" s="11" t="n">
        <v>46050</v>
      </c>
      <c r="N123" s="5" t="inlineStr">
        <is>
          <t>Approved</t>
        </is>
      </c>
      <c r="O123" s="5" t="inlineStr">
        <is>
          <t>Site</t>
        </is>
      </c>
      <c r="P123" s="5" t="inlineStr">
        <is>
          <t>Slovakia</t>
        </is>
      </c>
      <c r="Q123" s="13" t="inlineStr">
        <is>
          <t>S10-SK10006</t>
        </is>
      </c>
      <c r="R123" s="5" t="inlineStr">
        <is>
          <t>Jana Likavcanova</t>
        </is>
      </c>
      <c r="S123" s="8" t="n">
        <v>46050.67736111111</v>
      </c>
    </row>
    <row r="124" hidden="1" ht="29" customHeight="1">
      <c r="A124" s="15">
        <f>HYPERLINK("https://vtmf.veevavault.com/ui/#doc_info/30866495/1/0", "VTMF-24876157")</f>
        <v/>
      </c>
      <c r="B124" s="20" t="inlineStr">
        <is>
          <t>Yes</t>
        </is>
      </c>
      <c r="C124" s="5" t="inlineStr">
        <is>
          <t>1.0</t>
        </is>
      </c>
      <c r="D124" s="5" t="inlineStr">
        <is>
          <t>GCO</t>
        </is>
      </c>
      <c r="E124" s="5" t="inlineStr">
        <is>
          <t>42847922MDD3003</t>
        </is>
      </c>
      <c r="F124" s="16">
        <f>HYPERLINK("https://vtmf.veevavault.com/ui/#doc_info/30866495/1/0", "42847922MDD3003-SVK-S10-SK10003-Acceptance of Investigator Brochure-15 Nov 2025 (v1.0)")</f>
        <v/>
      </c>
      <c r="G124" s="5" t="inlineStr">
        <is>
          <t>Site Management</t>
        </is>
      </c>
      <c r="H124" s="5" t="inlineStr">
        <is>
          <t>Site Set-up Documentation</t>
        </is>
      </c>
      <c r="I124" s="5" t="inlineStr">
        <is>
          <t>Acceptance of Investigator Brochure</t>
        </is>
      </c>
      <c r="J124" s="5" t="inlineStr">
        <is>
          <t>AoR_Shinwary_IB14.0 Seltorexant</t>
        </is>
      </c>
      <c r="K124" s="6" t="n">
        <v>74</v>
      </c>
      <c r="L124" s="7" t="n">
        <v>45976</v>
      </c>
      <c r="M124" s="11" t="n">
        <v>46050</v>
      </c>
      <c r="N124" s="5" t="inlineStr">
        <is>
          <t>Approved</t>
        </is>
      </c>
      <c r="O124" s="5" t="inlineStr">
        <is>
          <t>Site</t>
        </is>
      </c>
      <c r="P124" s="5" t="inlineStr">
        <is>
          <t>Slovakia</t>
        </is>
      </c>
      <c r="Q124" s="13" t="inlineStr">
        <is>
          <t>S10-SK10003</t>
        </is>
      </c>
      <c r="R124" s="5" t="inlineStr">
        <is>
          <t>Marketa Hanzalova</t>
        </is>
      </c>
      <c r="S124" s="8" t="n">
        <v>46050.70256944445</v>
      </c>
    </row>
    <row r="125" hidden="1" ht="29" customHeight="1">
      <c r="A125" s="15">
        <f>HYPERLINK("https://vtmf.veevavault.com/ui/#doc_info/30866496/1/0", "VTMF-24876161")</f>
        <v/>
      </c>
      <c r="B125" s="20" t="inlineStr">
        <is>
          <t>Yes</t>
        </is>
      </c>
      <c r="C125" s="5" t="inlineStr">
        <is>
          <t>1.0</t>
        </is>
      </c>
      <c r="D125" s="5" t="inlineStr">
        <is>
          <t>GCO</t>
        </is>
      </c>
      <c r="E125" s="5" t="inlineStr">
        <is>
          <t>42847922MDD3003</t>
        </is>
      </c>
      <c r="F125" s="16">
        <f>HYPERLINK("https://vtmf.veevavault.com/ui/#doc_info/30866496/1/0", "42847922MDD3003-POL-S10-PL10011-Financial Disclosure Form-20 Mar 2025 (v1.0)")</f>
        <v/>
      </c>
      <c r="G125" s="5" t="inlineStr">
        <is>
          <t>Site Management</t>
        </is>
      </c>
      <c r="H125" s="5" t="inlineStr">
        <is>
          <t>Site Set-up Documentation</t>
        </is>
      </c>
      <c r="I125" s="5" t="inlineStr">
        <is>
          <t>Financial Disclosure Form</t>
        </is>
      </c>
      <c r="J125" s="5" t="inlineStr">
        <is>
          <t>FDF_ Rybicka-Bojda, K_ Initial; 20MAR2025</t>
        </is>
      </c>
      <c r="K125" s="6" t="n">
        <v>314</v>
      </c>
      <c r="L125" s="7" t="n">
        <v>45736</v>
      </c>
      <c r="M125" s="11" t="n">
        <v>46050</v>
      </c>
      <c r="N125" s="5" t="inlineStr">
        <is>
          <t>Approved</t>
        </is>
      </c>
      <c r="O125" s="5" t="inlineStr">
        <is>
          <t>Site</t>
        </is>
      </c>
      <c r="P125" s="5" t="inlineStr">
        <is>
          <t>Poland</t>
        </is>
      </c>
      <c r="Q125" s="13" t="inlineStr">
        <is>
          <t>S10-PL10011</t>
        </is>
      </c>
      <c r="R125" s="5" t="inlineStr">
        <is>
          <t>Dennis Waclawik</t>
        </is>
      </c>
      <c r="S125" s="8" t="n">
        <v>46050.70303240741</v>
      </c>
    </row>
    <row r="126" hidden="1" ht="29" customHeight="1">
      <c r="A126" s="15">
        <f>HYPERLINK("https://vtmf.veevavault.com/ui/#doc_info/30866599/1/0", "VTMF-24876170")</f>
        <v/>
      </c>
      <c r="B126" s="19" t="inlineStr">
        <is>
          <t>No</t>
        </is>
      </c>
      <c r="C126" s="5" t="inlineStr">
        <is>
          <t>1.0</t>
        </is>
      </c>
      <c r="D126" s="5" t="inlineStr">
        <is>
          <t>GCO</t>
        </is>
      </c>
      <c r="E126" s="5" t="inlineStr">
        <is>
          <t>42847922MDD3003</t>
        </is>
      </c>
      <c r="F126" s="16">
        <f>HYPERLINK("https://vtmf.veevavault.com/ui/#doc_info/30866599/1/0", "42847922MDD3003-SVK-S10-SK10006-IP Shipment Documentation-25 Jul 2025 (v1.0)")</f>
        <v/>
      </c>
      <c r="G126" s="5" t="inlineStr">
        <is>
          <t>IP and Trial Supplies</t>
        </is>
      </c>
      <c r="H126" s="5" t="inlineStr">
        <is>
          <t>IP Documentation</t>
        </is>
      </c>
      <c r="I126" s="5" t="inlineStr">
        <is>
          <t>IP Shipment Documentation</t>
        </is>
      </c>
      <c r="J126" s="5" t="inlineStr">
        <is>
          <t>S10-SK10006 Packing list 101047+Pharmacy Receipt+Site Delivery Note</t>
        </is>
      </c>
      <c r="K126" s="6" t="n">
        <v>187</v>
      </c>
      <c r="L126" s="7" t="n">
        <v>45863</v>
      </c>
      <c r="M126" s="11" t="n">
        <v>46050</v>
      </c>
      <c r="N126" s="5" t="inlineStr">
        <is>
          <t>Approved</t>
        </is>
      </c>
      <c r="O126" s="5" t="inlineStr">
        <is>
          <t>Site</t>
        </is>
      </c>
      <c r="P126" s="5" t="inlineStr">
        <is>
          <t>Slovakia</t>
        </is>
      </c>
      <c r="Q126" s="13" t="inlineStr">
        <is>
          <t>S10-SK10006</t>
        </is>
      </c>
      <c r="R126" s="5" t="inlineStr">
        <is>
          <t>Jana Likavcanova</t>
        </is>
      </c>
      <c r="S126" s="8" t="n">
        <v>46050.70276620371</v>
      </c>
    </row>
    <row r="127" hidden="1" ht="29" customHeight="1">
      <c r="A127" s="15">
        <f>HYPERLINK("https://vtmf.veevavault.com/ui/#doc_info/30866598/1/0", "VTMF-24876179")</f>
        <v/>
      </c>
      <c r="B127" s="19" t="inlineStr">
        <is>
          <t>No</t>
        </is>
      </c>
      <c r="C127" s="5" t="inlineStr">
        <is>
          <t>1.0</t>
        </is>
      </c>
      <c r="D127" s="5" t="inlineStr">
        <is>
          <t>GCO</t>
        </is>
      </c>
      <c r="E127" s="5" t="inlineStr">
        <is>
          <t>42847922MDD3003</t>
        </is>
      </c>
      <c r="F127" s="16">
        <f>HYPERLINK("https://vtmf.veevavault.com/ui/#doc_info/30866598/1/0", "42847922MDD3003-SVK-S10-SK10006-IP Shipment Documentation-23 Apr 2025 (v1.0)")</f>
        <v/>
      </c>
      <c r="G127" s="5" t="inlineStr">
        <is>
          <t>IP and Trial Supplies</t>
        </is>
      </c>
      <c r="H127" s="5" t="inlineStr">
        <is>
          <t>IP Documentation</t>
        </is>
      </c>
      <c r="I127" s="5" t="inlineStr">
        <is>
          <t>IP Shipment Documentation</t>
        </is>
      </c>
      <c r="J127" s="5" t="inlineStr">
        <is>
          <t>S10-SK10006 Packing list 100573+Pharmacy Receipt + Site Delivery Note</t>
        </is>
      </c>
      <c r="K127" s="6" t="n">
        <v>280</v>
      </c>
      <c r="L127" s="7" t="n">
        <v>45770</v>
      </c>
      <c r="M127" s="11" t="n">
        <v>46050</v>
      </c>
      <c r="N127" s="5" t="inlineStr">
        <is>
          <t>Approved</t>
        </is>
      </c>
      <c r="O127" s="5" t="inlineStr">
        <is>
          <t>Site</t>
        </is>
      </c>
      <c r="P127" s="5" t="inlineStr">
        <is>
          <t>Slovakia</t>
        </is>
      </c>
      <c r="Q127" s="13" t="inlineStr">
        <is>
          <t>S10-SK10006</t>
        </is>
      </c>
      <c r="R127" s="5" t="inlineStr">
        <is>
          <t>Jana Likavcanova</t>
        </is>
      </c>
      <c r="S127" s="8" t="n">
        <v>46050.70275462963</v>
      </c>
    </row>
    <row r="128" hidden="1" ht="29" customHeight="1">
      <c r="A128" s="15">
        <f>HYPERLINK("https://vtmf.veevavault.com/ui/#doc_info/30866716/1/0", "VTMF-24876188")</f>
        <v/>
      </c>
      <c r="B128" s="19" t="inlineStr">
        <is>
          <t>No</t>
        </is>
      </c>
      <c r="C128" s="5" t="inlineStr">
        <is>
          <t>1.0</t>
        </is>
      </c>
      <c r="D128" s="5" t="inlineStr">
        <is>
          <t>GCO</t>
        </is>
      </c>
      <c r="E128" s="5" t="inlineStr">
        <is>
          <t>42847922MDD3003</t>
        </is>
      </c>
      <c r="F128" s="16">
        <f>HYPERLINK("https://vtmf.veevavault.com/ui/#doc_info/30866716/1/0", "42847922MDD3003-SVK-S10-SK10003-Non-IP Shipment Documentation-17 Jun 2025 (v1.0)")</f>
        <v/>
      </c>
      <c r="G128" s="5" t="inlineStr">
        <is>
          <t>IP and Trial Supplies</t>
        </is>
      </c>
      <c r="H128" s="5" t="inlineStr">
        <is>
          <t>Non-IP Documentation</t>
        </is>
      </c>
      <c r="I128" s="5" t="inlineStr">
        <is>
          <t>Non-IP Shipment Documentation</t>
        </is>
      </c>
      <c r="J128" s="5" t="inlineStr">
        <is>
          <t>NIPSF_SM1_PA2-EU2_PCI_17Jun2025</t>
        </is>
      </c>
      <c r="K128" s="6" t="n">
        <v>225</v>
      </c>
      <c r="L128" s="7" t="n">
        <v>45825</v>
      </c>
      <c r="M128" s="11" t="n">
        <v>46050</v>
      </c>
      <c r="N128" s="5" t="inlineStr">
        <is>
          <t>Approved</t>
        </is>
      </c>
      <c r="O128" s="5" t="inlineStr">
        <is>
          <t>Site</t>
        </is>
      </c>
      <c r="P128" s="5" t="inlineStr">
        <is>
          <t>Slovakia</t>
        </is>
      </c>
      <c r="Q128" s="13" t="inlineStr">
        <is>
          <t>S10-SK10003</t>
        </is>
      </c>
      <c r="R128" s="5" t="inlineStr">
        <is>
          <t>Marketa Hanzalova</t>
        </is>
      </c>
      <c r="S128" s="8" t="n">
        <v>46050.70633101852</v>
      </c>
    </row>
    <row r="129" hidden="1" ht="29" customHeight="1">
      <c r="A129" s="15">
        <f>HYPERLINK("https://vtmf.veevavault.com/ui/#doc_info/30866717/1/0", "VTMF-24876189")</f>
        <v/>
      </c>
      <c r="B129" s="19" t="inlineStr">
        <is>
          <t>No</t>
        </is>
      </c>
      <c r="C129" s="5" t="inlineStr">
        <is>
          <t>1.0</t>
        </is>
      </c>
      <c r="D129" s="5" t="inlineStr">
        <is>
          <t>GCO</t>
        </is>
      </c>
      <c r="E129" s="5" t="inlineStr">
        <is>
          <t>42847922MDD3003</t>
        </is>
      </c>
      <c r="F129" s="16">
        <f>HYPERLINK("https://vtmf.veevavault.com/ui/#doc_info/30866717/1/0", "42847922MDD3003-SVK-S10-SK10003-Non-IP Shipment Documentation-17 Nov 2025 (v1.0)")</f>
        <v/>
      </c>
      <c r="G129" s="5" t="inlineStr">
        <is>
          <t>IP and Trial Supplies</t>
        </is>
      </c>
      <c r="H129" s="5" t="inlineStr">
        <is>
          <t>Non-IP Documentation</t>
        </is>
      </c>
      <c r="I129" s="5" t="inlineStr">
        <is>
          <t>Non-IP Shipment Documentation</t>
        </is>
      </c>
      <c r="J129" s="5" t="inlineStr">
        <is>
          <t>NIPSF_SM2_ICF6_PtCard_IB14_12Nov2025</t>
        </is>
      </c>
      <c r="K129" s="6" t="n">
        <v>72</v>
      </c>
      <c r="L129" s="7" t="n">
        <v>45978</v>
      </c>
      <c r="M129" s="11" t="n">
        <v>46050</v>
      </c>
      <c r="N129" s="5" t="inlineStr">
        <is>
          <t>Approved</t>
        </is>
      </c>
      <c r="O129" s="5" t="inlineStr">
        <is>
          <t>Site</t>
        </is>
      </c>
      <c r="P129" s="5" t="inlineStr">
        <is>
          <t>Slovakia</t>
        </is>
      </c>
      <c r="Q129" s="13" t="inlineStr">
        <is>
          <t>S10-SK10003</t>
        </is>
      </c>
      <c r="R129" s="5" t="inlineStr">
        <is>
          <t>Marketa Hanzalova</t>
        </is>
      </c>
      <c r="S129" s="8" t="n">
        <v>46050.70633101852</v>
      </c>
    </row>
    <row r="130" hidden="1" ht="29" customHeight="1">
      <c r="A130" s="15">
        <f>HYPERLINK("https://vtmf.veevavault.com/ui/#doc_info/30867351/1/0", "VTMF-24876711")</f>
        <v/>
      </c>
      <c r="B130" s="20" t="inlineStr">
        <is>
          <t>Yes</t>
        </is>
      </c>
      <c r="C130" s="5" t="inlineStr">
        <is>
          <t>1.0</t>
        </is>
      </c>
      <c r="D130" s="5" t="inlineStr">
        <is>
          <t>GCO</t>
        </is>
      </c>
      <c r="E130" s="5" t="inlineStr">
        <is>
          <t>42847922MDD3003</t>
        </is>
      </c>
      <c r="F130" s="16">
        <f>HYPERLINK("https://vtmf.veevavault.com/ui/#doc_info/30867351/1/0", "42847922MDD3003-ARG-S10-AR10001-Specific Statements/Justifications-17 Jul 2024 (v1.0)")</f>
        <v/>
      </c>
      <c r="G130" s="5" t="inlineStr">
        <is>
          <t>Regulatory</t>
        </is>
      </c>
      <c r="H130" s="5" t="inlineStr">
        <is>
          <t>Trial Approval</t>
        </is>
      </c>
      <c r="I130" s="5" t="inlineStr">
        <is>
          <t>Specific Statements/Justifications</t>
        </is>
      </c>
      <c r="J130" s="5" t="inlineStr">
        <is>
          <t>Anmat commitment letter signed by PI</t>
        </is>
      </c>
      <c r="K130" s="6" t="n">
        <v>560</v>
      </c>
      <c r="L130" s="7" t="n">
        <v>45490</v>
      </c>
      <c r="M130" s="11" t="n">
        <v>46050</v>
      </c>
      <c r="N130" s="5" t="inlineStr">
        <is>
          <t>Approved</t>
        </is>
      </c>
      <c r="O130" s="5" t="inlineStr">
        <is>
          <t>Site</t>
        </is>
      </c>
      <c r="P130" s="5" t="inlineStr">
        <is>
          <t>Argentina</t>
        </is>
      </c>
      <c r="Q130" s="13" t="inlineStr">
        <is>
          <t>S10-AR10001</t>
        </is>
      </c>
      <c r="R130" s="5" t="inlineStr">
        <is>
          <t>Cintia Rodriguez</t>
        </is>
      </c>
      <c r="S130" s="8" t="n">
        <v>46050.76425925926</v>
      </c>
    </row>
    <row r="131" hidden="1" ht="29" customHeight="1">
      <c r="A131" s="15">
        <f>HYPERLINK("https://vtmf.veevavault.com/ui/#doc_info/30867361/1/0", "VTMF-24876727")</f>
        <v/>
      </c>
      <c r="B131" s="20" t="inlineStr">
        <is>
          <t>Yes</t>
        </is>
      </c>
      <c r="C131" s="5" t="inlineStr">
        <is>
          <t>1.0</t>
        </is>
      </c>
      <c r="D131" s="5" t="inlineStr">
        <is>
          <t>GCO</t>
        </is>
      </c>
      <c r="E131" s="5" t="inlineStr">
        <is>
          <t>42847922MDD3003</t>
        </is>
      </c>
      <c r="F131" s="16">
        <f>HYPERLINK("https://vtmf.veevavault.com/ui/#doc_info/30867361/1/0", "42847922MDD3003-ARG-S10-AR10001-IRB/IEC Submission Letter-10 Jul 2024 (v1.0)")</f>
        <v/>
      </c>
      <c r="G131" s="5" t="inlineStr">
        <is>
          <t>IRB/IEC and other Approvals</t>
        </is>
      </c>
      <c r="H131" s="5" t="inlineStr">
        <is>
          <t>IRB/IEC Trial Approval</t>
        </is>
      </c>
      <c r="I131" s="5" t="inlineStr">
        <is>
          <t>IRB/IEC Submission Letter</t>
        </is>
      </c>
      <c r="J131" s="5" t="inlineStr">
        <is>
          <t>EC_Submission ICFs 1.1.1_Esp. Dr. Lamaison</t>
        </is>
      </c>
      <c r="K131" s="6" t="n">
        <v>567</v>
      </c>
      <c r="L131" s="7" t="n">
        <v>45483</v>
      </c>
      <c r="M131" s="11" t="n">
        <v>46050</v>
      </c>
      <c r="N131" s="5" t="inlineStr">
        <is>
          <t>Approved</t>
        </is>
      </c>
      <c r="O131" s="5" t="inlineStr">
        <is>
          <t>Site</t>
        </is>
      </c>
      <c r="P131" s="5" t="inlineStr">
        <is>
          <t>Argentina</t>
        </is>
      </c>
      <c r="Q131" s="13" t="inlineStr">
        <is>
          <t>S10-AR10001</t>
        </is>
      </c>
      <c r="R131" s="5" t="inlineStr">
        <is>
          <t>Cintia Rodriguez</t>
        </is>
      </c>
      <c r="S131" s="8" t="n">
        <v>46050.76662037037</v>
      </c>
    </row>
    <row r="132" hidden="1" ht="29" customHeight="1">
      <c r="A132" s="15">
        <f>HYPERLINK("https://vtmf.veevavault.com/ui/#doc_info/30867385/1/0", "VTMF-24876767")</f>
        <v/>
      </c>
      <c r="B132" s="20" t="inlineStr">
        <is>
          <t>Yes</t>
        </is>
      </c>
      <c r="C132" s="5" t="inlineStr">
        <is>
          <t>1.0</t>
        </is>
      </c>
      <c r="D132" s="5" t="inlineStr">
        <is>
          <t>GCO</t>
        </is>
      </c>
      <c r="E132" s="5" t="inlineStr">
        <is>
          <t>42847922MDD3003</t>
        </is>
      </c>
      <c r="F132" s="16">
        <f>HYPERLINK("https://vtmf.veevavault.com/ui/#doc_info/30867385/1/0", "42847922MDD3003-ARG-S10-AR10001-IRB/IEC Submission Letter-30 Sep 2024 (v1.0)")</f>
        <v/>
      </c>
      <c r="G132" s="5" t="inlineStr">
        <is>
          <t>IRB/IEC and other Approvals</t>
        </is>
      </c>
      <c r="H132" s="5" t="inlineStr">
        <is>
          <t>IRB/IEC Trial Approval</t>
        </is>
      </c>
      <c r="I132" s="5" t="inlineStr">
        <is>
          <t>IRB/IEC Submission Letter</t>
        </is>
      </c>
      <c r="J132" s="5" t="inlineStr">
        <is>
          <t>EC_Requeriments ICFs v2.1 CA2</t>
        </is>
      </c>
      <c r="K132" s="6" t="n">
        <v>485</v>
      </c>
      <c r="L132" s="7" t="n">
        <v>45565</v>
      </c>
      <c r="M132" s="11" t="n">
        <v>46050</v>
      </c>
      <c r="N132" s="5" t="inlineStr">
        <is>
          <t>Approved</t>
        </is>
      </c>
      <c r="O132" s="5" t="inlineStr">
        <is>
          <t>Site</t>
        </is>
      </c>
      <c r="P132" s="5" t="inlineStr">
        <is>
          <t>Argentina</t>
        </is>
      </c>
      <c r="Q132" s="13" t="inlineStr">
        <is>
          <t>S10-AR10001</t>
        </is>
      </c>
      <c r="R132" s="5" t="inlineStr">
        <is>
          <t>Cintia Rodriguez</t>
        </is>
      </c>
      <c r="S132" s="8" t="n">
        <v>46050.77238425926</v>
      </c>
    </row>
    <row r="133" hidden="1" ht="29" customHeight="1">
      <c r="A133" s="15">
        <f>HYPERLINK("https://vtmf.veevavault.com/ui/#doc_info/30872898/1/0", "VTMF-24881323")</f>
        <v/>
      </c>
      <c r="B133" s="20" t="inlineStr">
        <is>
          <t>Yes</t>
        </is>
      </c>
      <c r="C133" s="5" t="inlineStr">
        <is>
          <t>1.0</t>
        </is>
      </c>
      <c r="D133" s="5" t="inlineStr">
        <is>
          <t>GCO</t>
        </is>
      </c>
      <c r="E133" s="5" t="inlineStr">
        <is>
          <t>42847922MDD3003</t>
        </is>
      </c>
      <c r="F133" s="16">
        <f>HYPERLINK("https://vtmf.veevavault.com/ui/#doc_info/30872898/1/0", "42847922MDD3003-SVK-S10-SK10001-Acceptance of Investigator Brochure-17 Nov 2025 (v1.0)")</f>
        <v/>
      </c>
      <c r="G133" s="5" t="inlineStr">
        <is>
          <t>Site Management</t>
        </is>
      </c>
      <c r="H133" s="5" t="inlineStr">
        <is>
          <t>Site Set-up Documentation</t>
        </is>
      </c>
      <c r="I133" s="5" t="inlineStr">
        <is>
          <t>Acceptance of Investigator Brochure</t>
        </is>
      </c>
      <c r="J133" s="5" t="inlineStr">
        <is>
          <t>IB AoR_seltorexant_IB Edition #14; 17Nov2025</t>
        </is>
      </c>
      <c r="K133" s="6" t="n">
        <v>73</v>
      </c>
      <c r="L133" s="7" t="n">
        <v>45978</v>
      </c>
      <c r="M133" s="11" t="n">
        <v>46051</v>
      </c>
      <c r="N133" s="5" t="inlineStr">
        <is>
          <t>Approved</t>
        </is>
      </c>
      <c r="O133" s="5" t="inlineStr">
        <is>
          <t>Site</t>
        </is>
      </c>
      <c r="P133" s="5" t="inlineStr">
        <is>
          <t>Slovakia</t>
        </is>
      </c>
      <c r="Q133" s="13" t="inlineStr">
        <is>
          <t>S10-SK10001</t>
        </is>
      </c>
      <c r="R133" s="5" t="inlineStr">
        <is>
          <t>Lenka Bohmerova</t>
        </is>
      </c>
      <c r="S133" s="8" t="n">
        <v>46051.51082175926</v>
      </c>
    </row>
    <row r="134" hidden="1" ht="29" customHeight="1">
      <c r="A134" s="15">
        <f>HYPERLINK("https://vtmf.veevavault.com/ui/#doc_info/30873258/1/0", "VTMF-24881623")</f>
        <v/>
      </c>
      <c r="B134" s="19" t="inlineStr">
        <is>
          <t>No</t>
        </is>
      </c>
      <c r="C134" s="5" t="inlineStr">
        <is>
          <t>1.0</t>
        </is>
      </c>
      <c r="D134" s="5" t="inlineStr">
        <is>
          <t>GCO</t>
        </is>
      </c>
      <c r="E134" s="5" t="inlineStr">
        <is>
          <t>42847922MDD3003</t>
        </is>
      </c>
      <c r="F134" s="16">
        <f>HYPERLINK("https://vtmf.veevavault.com/ui/#doc_info/30873258/1/0", "42847922MDD3003-SVK-S10-SK10001-Non-IP Shipment Documentation-17 Nov 2025 (v1.0)")</f>
        <v/>
      </c>
      <c r="G134" s="5" t="inlineStr">
        <is>
          <t>IP and Trial Supplies</t>
        </is>
      </c>
      <c r="H134" s="5" t="inlineStr">
        <is>
          <t>Non-IP Documentation</t>
        </is>
      </c>
      <c r="I134" s="5" t="inlineStr">
        <is>
          <t>Non-IP Shipment Documentation</t>
        </is>
      </c>
      <c r="J134" s="5" t="inlineStr">
        <is>
          <t>NIPSF_PCI 8.1, PT Card v2, Main ICF V6SVK2.0, approval documents; 17Nov2025</t>
        </is>
      </c>
      <c r="K134" s="6" t="n">
        <v>73</v>
      </c>
      <c r="L134" s="7" t="n">
        <v>45978</v>
      </c>
      <c r="M134" s="11" t="n">
        <v>46051</v>
      </c>
      <c r="N134" s="5" t="inlineStr">
        <is>
          <t>Approved</t>
        </is>
      </c>
      <c r="O134" s="5" t="inlineStr">
        <is>
          <t>Site</t>
        </is>
      </c>
      <c r="P134" s="5" t="inlineStr">
        <is>
          <t>Slovakia</t>
        </is>
      </c>
      <c r="Q134" s="13" t="inlineStr">
        <is>
          <t>S10-SK10001</t>
        </is>
      </c>
      <c r="R134" s="5" t="inlineStr">
        <is>
          <t>Lenka Bohmerova</t>
        </is>
      </c>
      <c r="S134" s="8" t="n">
        <v>46051.54756944445</v>
      </c>
    </row>
    <row r="135" hidden="1" ht="29" customHeight="1">
      <c r="A135" s="15">
        <f>HYPERLINK("https://vtmf.veevavault.com/ui/#doc_info/30874332/1/0", "VTMF-24882392")</f>
        <v/>
      </c>
      <c r="B135" s="19" t="inlineStr">
        <is>
          <t>No</t>
        </is>
      </c>
      <c r="C135" s="5" t="inlineStr">
        <is>
          <t>1.0</t>
        </is>
      </c>
      <c r="D135" s="5" t="inlineStr">
        <is>
          <t>GCO</t>
        </is>
      </c>
      <c r="E135" s="5" t="inlineStr">
        <is>
          <t>42847922MDD3003</t>
        </is>
      </c>
      <c r="F135" s="16">
        <f>HYPERLINK("https://vtmf.veevavault.com/ui/#doc_info/30874332/1/0", "42847922MDD3003-SVK-S10-SK10001-IP Shipment Documentation-18 Nov 2025 (v1.0)")</f>
        <v/>
      </c>
      <c r="G135" s="5" t="inlineStr">
        <is>
          <t>IP and Trial Supplies</t>
        </is>
      </c>
      <c r="H135" s="5" t="inlineStr">
        <is>
          <t>IP Documentation</t>
        </is>
      </c>
      <c r="I135" s="5" t="inlineStr">
        <is>
          <t>IP Shipment Documentation</t>
        </is>
      </c>
      <c r="J135" s="5" t="inlineStr">
        <is>
          <t>Packing List_consignment #101540; 18Nov2025</t>
        </is>
      </c>
      <c r="K135" s="6" t="n">
        <v>72</v>
      </c>
      <c r="L135" s="7" t="n">
        <v>45979</v>
      </c>
      <c r="M135" s="11" t="n">
        <v>46051</v>
      </c>
      <c r="N135" s="5" t="inlineStr">
        <is>
          <t>Approved</t>
        </is>
      </c>
      <c r="O135" s="5" t="inlineStr">
        <is>
          <t>Site</t>
        </is>
      </c>
      <c r="P135" s="5" t="inlineStr">
        <is>
          <t>Slovakia</t>
        </is>
      </c>
      <c r="Q135" s="13" t="inlineStr">
        <is>
          <t>S10-SK10001</t>
        </is>
      </c>
      <c r="R135" s="5" t="inlineStr">
        <is>
          <t>Lenka Bohmerova</t>
        </is>
      </c>
      <c r="S135" s="8" t="n">
        <v>46051.63956018518</v>
      </c>
    </row>
    <row r="136" hidden="1" ht="29" customHeight="1">
      <c r="A136" s="15">
        <f>HYPERLINK("https://vtmf.veevavault.com/ui/#doc_info/30874349/1/0", "VTMF-24882420")</f>
        <v/>
      </c>
      <c r="B136" s="19" t="inlineStr">
        <is>
          <t>No</t>
        </is>
      </c>
      <c r="C136" s="5" t="inlineStr">
        <is>
          <t>1.0</t>
        </is>
      </c>
      <c r="D136" s="5" t="inlineStr">
        <is>
          <t>GCO</t>
        </is>
      </c>
      <c r="E136" s="5" t="inlineStr">
        <is>
          <t>42847922MDD3003</t>
        </is>
      </c>
      <c r="F136" s="16">
        <f>HYPERLINK("https://vtmf.veevavault.com/ui/#doc_info/30874349/1/0", "42847922MDD3003-SVK-S10-SK10001-IP Shipment Documentation-24 Nov 2025 (v1.0)")</f>
        <v/>
      </c>
      <c r="G136" s="5" t="inlineStr">
        <is>
          <t>IP and Trial Supplies</t>
        </is>
      </c>
      <c r="H136" s="5" t="inlineStr">
        <is>
          <t>IP Documentation</t>
        </is>
      </c>
      <c r="I136" s="5" t="inlineStr">
        <is>
          <t>IP Shipment Documentation</t>
        </is>
      </c>
      <c r="J136" s="5" t="inlineStr">
        <is>
          <t>Packing List_Shipment #101607; 24Nov2025</t>
        </is>
      </c>
      <c r="K136" s="6" t="n">
        <v>66</v>
      </c>
      <c r="L136" s="7" t="n">
        <v>45985</v>
      </c>
      <c r="M136" s="11" t="n">
        <v>46051</v>
      </c>
      <c r="N136" s="5" t="inlineStr">
        <is>
          <t>Approved</t>
        </is>
      </c>
      <c r="O136" s="5" t="inlineStr">
        <is>
          <t>Site</t>
        </is>
      </c>
      <c r="P136" s="5" t="inlineStr">
        <is>
          <t>Slovakia</t>
        </is>
      </c>
      <c r="Q136" s="13" t="inlineStr">
        <is>
          <t>S10-SK10001</t>
        </is>
      </c>
      <c r="R136" s="5" t="inlineStr">
        <is>
          <t>Lenka Bohmerova</t>
        </is>
      </c>
      <c r="S136" s="8" t="n">
        <v>46051.64153935185</v>
      </c>
    </row>
    <row r="137" hidden="1" ht="29" customHeight="1">
      <c r="A137" s="15">
        <f>HYPERLINK("https://vtmf.veevavault.com/ui/#doc_info/30886676/1/0", "VTMF-24893535")</f>
        <v/>
      </c>
      <c r="B137" s="20" t="inlineStr">
        <is>
          <t>Yes</t>
        </is>
      </c>
      <c r="C137" s="5" t="inlineStr">
        <is>
          <t>1.0</t>
        </is>
      </c>
      <c r="D137" s="5" t="inlineStr">
        <is>
          <t>GCO</t>
        </is>
      </c>
      <c r="E137" s="5" t="inlineStr">
        <is>
          <t>42847922MDD3003</t>
        </is>
      </c>
      <c r="F137" s="16">
        <f>HYPERLINK("https://vtmf.veevavault.com/ui/#doc_info/30886676/1/0", "42847922MDD3003-ARG-S10-AR10001-Investigator Regulatory Agreement-01 Dec 2025 (v1.0)")</f>
        <v/>
      </c>
      <c r="G137" s="5" t="inlineStr">
        <is>
          <t>Site Management</t>
        </is>
      </c>
      <c r="H137" s="5" t="inlineStr">
        <is>
          <t>Site Set-up Documentation</t>
        </is>
      </c>
      <c r="I137" s="5" t="inlineStr">
        <is>
          <t>Investigator Regulatory Agreement</t>
        </is>
      </c>
      <c r="J137" s="5" t="inlineStr">
        <is>
          <t>ANMAT Sworn Declaration_DI 7516- 2025_Dr. Lamaison</t>
        </is>
      </c>
      <c r="K137" s="6" t="n">
        <v>60</v>
      </c>
      <c r="L137" s="7" t="n">
        <v>45992</v>
      </c>
      <c r="M137" s="11" t="n">
        <v>46052</v>
      </c>
      <c r="N137" s="5" t="inlineStr">
        <is>
          <t>Superseded</t>
        </is>
      </c>
      <c r="O137" s="5" t="inlineStr">
        <is>
          <t>Site</t>
        </is>
      </c>
      <c r="P137" s="5" t="inlineStr">
        <is>
          <t>Argentina</t>
        </is>
      </c>
      <c r="Q137" s="13" t="inlineStr">
        <is>
          <t>S10-AR10001</t>
        </is>
      </c>
      <c r="R137" s="5" t="inlineStr">
        <is>
          <t>Cintia Rodriguez</t>
        </is>
      </c>
      <c r="S137" s="8" t="n">
        <v>46052.54956018519</v>
      </c>
    </row>
    <row r="138" hidden="1" ht="29" customHeight="1">
      <c r="A138" s="15">
        <f>HYPERLINK("https://vtmf.veevavault.com/ui/#doc_info/30886676/2/0", "VTMF-24893535")</f>
        <v/>
      </c>
      <c r="B138" s="20" t="inlineStr">
        <is>
          <t>Yes</t>
        </is>
      </c>
      <c r="C138" s="5" t="inlineStr">
        <is>
          <t>2.0</t>
        </is>
      </c>
      <c r="D138" s="5" t="inlineStr">
        <is>
          <t>GCO</t>
        </is>
      </c>
      <c r="E138" s="5" t="inlineStr">
        <is>
          <t>42847922MDD3003</t>
        </is>
      </c>
      <c r="F138" s="16">
        <f>HYPERLINK("https://vtmf.veevavault.com/ui/#doc_info/30886676/2/0", "42847922MDD3003-ARG-S10-AR10001-Investigator Regulatory Agreement-01 Dec 2025 (v2.0)")</f>
        <v/>
      </c>
      <c r="G138" s="5" t="inlineStr">
        <is>
          <t>Site Management</t>
        </is>
      </c>
      <c r="H138" s="5" t="inlineStr">
        <is>
          <t>Site Set-up Documentation</t>
        </is>
      </c>
      <c r="I138" s="5" t="inlineStr">
        <is>
          <t>Investigator Regulatory Agreement</t>
        </is>
      </c>
      <c r="J138" s="5" t="inlineStr">
        <is>
          <t>ANMAT Sworn Declaration_DI 7516- 2025_Dr. Lamaison</t>
        </is>
      </c>
      <c r="K138" s="6" t="n">
        <v>63</v>
      </c>
      <c r="L138" s="7" t="n">
        <v>45992</v>
      </c>
      <c r="M138" s="11" t="n">
        <v>46055</v>
      </c>
      <c r="N138" s="5" t="inlineStr">
        <is>
          <t>Approved</t>
        </is>
      </c>
      <c r="O138" s="5" t="inlineStr">
        <is>
          <t>Site</t>
        </is>
      </c>
      <c r="P138" s="5" t="inlineStr">
        <is>
          <t>Argentina</t>
        </is>
      </c>
      <c r="Q138" s="13" t="inlineStr">
        <is>
          <t>S10-AR10001</t>
        </is>
      </c>
      <c r="R138" s="5" t="inlineStr">
        <is>
          <t>Cintia Rodriguez</t>
        </is>
      </c>
      <c r="S138" s="8" t="n">
        <v>46055.55905092593</v>
      </c>
    </row>
    <row r="139" hidden="1" ht="29" customHeight="1">
      <c r="A139" s="15">
        <f>HYPERLINK("https://vtmf.veevavault.com/ui/#doc_info/30886918/1/0", "VTMF-24893619")</f>
        <v/>
      </c>
      <c r="B139" s="20" t="inlineStr">
        <is>
          <t>Yes</t>
        </is>
      </c>
      <c r="C139" s="5" t="inlineStr">
        <is>
          <t>1.0</t>
        </is>
      </c>
      <c r="D139" s="5" t="inlineStr">
        <is>
          <t>GCO</t>
        </is>
      </c>
      <c r="E139" s="5" t="inlineStr">
        <is>
          <t>42847922MDD3003</t>
        </is>
      </c>
      <c r="F139" s="16">
        <f>HYPERLINK("https://vtmf.veevavault.com/ui/#doc_info/30886918/1/0", "42847922MDD3003-ARG-S10-AR10001-Notification to IRB/IEC of Safety Information-17 Dec 2025 (v1.0)")</f>
        <v/>
      </c>
      <c r="G139" s="5" t="inlineStr">
        <is>
          <t>IRB/IEC and other Approvals</t>
        </is>
      </c>
      <c r="H139" s="5" t="inlineStr">
        <is>
          <t>Trial Status Reporting</t>
        </is>
      </c>
      <c r="I139" s="5" t="inlineStr">
        <is>
          <t>Notification to IRB/IEC of Safety Information</t>
        </is>
      </c>
      <c r="J139" s="5" t="inlineStr">
        <is>
          <t>AOR EC_LL 05May2025-04Nov2025</t>
        </is>
      </c>
      <c r="K139" s="6" t="n">
        <v>44</v>
      </c>
      <c r="L139" s="7" t="n">
        <v>46008</v>
      </c>
      <c r="M139" s="11" t="n">
        <v>46052</v>
      </c>
      <c r="N139" s="5" t="inlineStr">
        <is>
          <t>Approved</t>
        </is>
      </c>
      <c r="O139" s="5" t="inlineStr">
        <is>
          <t>Site</t>
        </is>
      </c>
      <c r="P139" s="5" t="inlineStr">
        <is>
          <t>Argentina</t>
        </is>
      </c>
      <c r="Q139" s="13" t="inlineStr">
        <is>
          <t>S10-AR10001</t>
        </is>
      </c>
      <c r="R139" s="5" t="inlineStr">
        <is>
          <t>Cintia Rodriguez</t>
        </is>
      </c>
      <c r="S139" s="8" t="n">
        <v>46052.55871527778</v>
      </c>
    </row>
    <row r="140" hidden="1" ht="29" customHeight="1">
      <c r="A140" s="15">
        <f>HYPERLINK("https://vtmf.veevavault.com/ui/#doc_info/30886928/1/0", "VTMF-24893632")</f>
        <v/>
      </c>
      <c r="B140" s="19" t="inlineStr">
        <is>
          <t>No</t>
        </is>
      </c>
      <c r="C140" s="5" t="inlineStr">
        <is>
          <t>1.0</t>
        </is>
      </c>
      <c r="D140" s="5" t="inlineStr">
        <is>
          <t>GCO</t>
        </is>
      </c>
      <c r="E140" s="5" t="inlineStr">
        <is>
          <t>42847922MDD3003</t>
        </is>
      </c>
      <c r="F140" s="16">
        <f>HYPERLINK("https://vtmf.veevavault.com/ui/#doc_info/30886928/1/0", "42847922MDD3003-ARG-S10-AR10001-Non-IP Shipment Documentation-10 Jul 2025 (v1.0)")</f>
        <v/>
      </c>
      <c r="G140" s="5" t="inlineStr">
        <is>
          <t>IP and Trial Supplies</t>
        </is>
      </c>
      <c r="H140" s="5" t="inlineStr">
        <is>
          <t>Non-IP Documentation</t>
        </is>
      </c>
      <c r="I140" s="5" t="inlineStr">
        <is>
          <t>Non-IP Shipment Documentation</t>
        </is>
      </c>
      <c r="J140" s="5" t="inlineStr">
        <is>
          <t>Non IP Shipment_DREEM devices</t>
        </is>
      </c>
      <c r="K140" s="6" t="n">
        <v>204</v>
      </c>
      <c r="L140" s="7" t="n">
        <v>45848</v>
      </c>
      <c r="M140" s="11" t="n">
        <v>46052</v>
      </c>
      <c r="N140" s="5" t="inlineStr">
        <is>
          <t>Approved</t>
        </is>
      </c>
      <c r="O140" s="5" t="inlineStr">
        <is>
          <t>Site</t>
        </is>
      </c>
      <c r="P140" s="5" t="inlineStr">
        <is>
          <t>Argentina</t>
        </is>
      </c>
      <c r="Q140" s="13" t="inlineStr">
        <is>
          <t>S10-AR10001</t>
        </is>
      </c>
      <c r="R140" s="5" t="inlineStr">
        <is>
          <t>Cintia Rodriguez</t>
        </is>
      </c>
      <c r="S140" s="8" t="n">
        <v>46052.56069444444</v>
      </c>
    </row>
    <row r="141" hidden="1" ht="29" customHeight="1">
      <c r="A141" s="15">
        <f>HYPERLINK("https://vtmf.veevavault.com/ui/#doc_info/30893797/1/0", "VTMF-24899923")</f>
        <v/>
      </c>
      <c r="B141" s="20" t="inlineStr">
        <is>
          <t>Yes</t>
        </is>
      </c>
      <c r="C141" s="5" t="inlineStr">
        <is>
          <t>1.0</t>
        </is>
      </c>
      <c r="D141" s="5" t="inlineStr">
        <is>
          <t>GCO</t>
        </is>
      </c>
      <c r="E141" s="5" t="inlineStr">
        <is>
          <t>42847922MDD3003</t>
        </is>
      </c>
      <c r="F141" s="16">
        <f>HYPERLINK("https://vtmf.veevavault.com/ui/#doc_info/30893797/1/0", "42847922MDD3003-BRA-S10-BR10021-IRB/IEC Progress Report-27 May 2025 (v1.0)")</f>
        <v/>
      </c>
      <c r="G141" s="5" t="inlineStr">
        <is>
          <t>IRB/IEC and other Approvals</t>
        </is>
      </c>
      <c r="H141" s="5" t="inlineStr">
        <is>
          <t>Trial Status Reporting</t>
        </is>
      </c>
      <c r="I141" s="5" t="inlineStr">
        <is>
          <t>IRB/IEC Progress Report</t>
        </is>
      </c>
      <c r="J141" s="5" t="inlineStr">
        <is>
          <t>Submission_1st Partial Report to local EC; 27may2025</t>
        </is>
      </c>
      <c r="K141" s="6" t="n">
        <v>250</v>
      </c>
      <c r="L141" s="7" t="n">
        <v>45804</v>
      </c>
      <c r="M141" s="11" t="n">
        <v>46054</v>
      </c>
      <c r="N141" s="5" t="inlineStr">
        <is>
          <t>Approved</t>
        </is>
      </c>
      <c r="O141" s="5" t="inlineStr">
        <is>
          <t>Site</t>
        </is>
      </c>
      <c r="P141" s="5" t="inlineStr">
        <is>
          <t>Brazil</t>
        </is>
      </c>
      <c r="Q141" s="13" t="inlineStr">
        <is>
          <t>S10-BR10021</t>
        </is>
      </c>
      <c r="R141" s="5" t="inlineStr">
        <is>
          <t>Maria Gabriela Mouallem Brandão</t>
        </is>
      </c>
      <c r="S141" s="8" t="n">
        <v>46054.70013888889</v>
      </c>
    </row>
    <row r="142" hidden="1" ht="29" customHeight="1">
      <c r="A142" s="15">
        <f>HYPERLINK("https://vtmf.veevavault.com/ui/#doc_info/30893798/1/0", "VTMF-24899925")</f>
        <v/>
      </c>
      <c r="B142" s="20" t="inlineStr">
        <is>
          <t>Yes</t>
        </is>
      </c>
      <c r="C142" s="5" t="inlineStr">
        <is>
          <t>1.0</t>
        </is>
      </c>
      <c r="D142" s="5" t="inlineStr">
        <is>
          <t>GCO</t>
        </is>
      </c>
      <c r="E142" s="5" t="inlineStr">
        <is>
          <t>42847922MDD3003</t>
        </is>
      </c>
      <c r="F142" s="16">
        <f>HYPERLINK("https://vtmf.veevavault.com/ui/#doc_info/30893798/1/0", "42847922MDD3003-BRA-S10-BR10021-IRB/IEC Progress Report-08 Oct 2025 (v1.0)")</f>
        <v/>
      </c>
      <c r="G142" s="5" t="inlineStr">
        <is>
          <t>IRB/IEC and other Approvals</t>
        </is>
      </c>
      <c r="H142" s="5" t="inlineStr">
        <is>
          <t>Trial Status Reporting</t>
        </is>
      </c>
      <c r="I142" s="5" t="inlineStr">
        <is>
          <t>IRB/IEC Progress Report</t>
        </is>
      </c>
      <c r="J142" s="5" t="inlineStr">
        <is>
          <t>Submission_2th Partial Report to local EC_08oct2025</t>
        </is>
      </c>
      <c r="K142" s="6" t="n">
        <v>116</v>
      </c>
      <c r="L142" s="7" t="n">
        <v>45938</v>
      </c>
      <c r="M142" s="11" t="n">
        <v>46054</v>
      </c>
      <c r="N142" s="5" t="inlineStr">
        <is>
          <t>Approved</t>
        </is>
      </c>
      <c r="O142" s="5" t="inlineStr">
        <is>
          <t>Site</t>
        </is>
      </c>
      <c r="P142" s="5" t="inlineStr">
        <is>
          <t>Brazil</t>
        </is>
      </c>
      <c r="Q142" s="13" t="inlineStr">
        <is>
          <t>S10-BR10021</t>
        </is>
      </c>
      <c r="R142" s="5" t="inlineStr">
        <is>
          <t>Maria Gabriela Mouallem Brandão</t>
        </is>
      </c>
      <c r="S142" s="8" t="n">
        <v>46054.70295138889</v>
      </c>
    </row>
    <row r="143" hidden="1" ht="29" customHeight="1">
      <c r="A143" s="15">
        <f>HYPERLINK("https://vtmf.veevavault.com/ui/#doc_info/30894056/1/0", "VTMF-24900063")</f>
        <v/>
      </c>
      <c r="B143" s="20" t="inlineStr">
        <is>
          <t>Yes</t>
        </is>
      </c>
      <c r="C143" s="5" t="inlineStr">
        <is>
          <t>1.0</t>
        </is>
      </c>
      <c r="D143" s="5" t="inlineStr">
        <is>
          <t>GCO</t>
        </is>
      </c>
      <c r="E143" s="5" t="inlineStr">
        <is>
          <t>42847922MDD3003</t>
        </is>
      </c>
      <c r="F143" s="16">
        <f>HYPERLINK("https://vtmf.veevavault.com/ui/#doc_info/30894056/1/0", "42847922MDD3003-BRA-S10-BR10010-IRB/IEC Progress Report-24 Apr 2025 (v1.0)")</f>
        <v/>
      </c>
      <c r="G143" s="5" t="inlineStr">
        <is>
          <t>IRB/IEC and other Approvals</t>
        </is>
      </c>
      <c r="H143" s="5" t="inlineStr">
        <is>
          <t>Trial Status Reporting</t>
        </is>
      </c>
      <c r="I143" s="5" t="inlineStr">
        <is>
          <t>IRB/IEC Progress Report</t>
        </is>
      </c>
      <c r="J143" s="5" t="inlineStr">
        <is>
          <t>Submission_1th Partial Report to local EC_2025; 24Apr2025</t>
        </is>
      </c>
      <c r="K143" s="6" t="n">
        <v>283</v>
      </c>
      <c r="L143" s="7" t="n">
        <v>45771</v>
      </c>
      <c r="M143" s="11" t="n">
        <v>46054</v>
      </c>
      <c r="N143" s="5" t="inlineStr">
        <is>
          <t>Approved</t>
        </is>
      </c>
      <c r="O143" s="5" t="inlineStr">
        <is>
          <t>Site</t>
        </is>
      </c>
      <c r="P143" s="5" t="inlineStr">
        <is>
          <t>Brazil</t>
        </is>
      </c>
      <c r="Q143" s="13" t="inlineStr">
        <is>
          <t>S10-BR10010</t>
        </is>
      </c>
      <c r="R143" s="5" t="inlineStr">
        <is>
          <t>Maria Gabriela Mouallem Brandão</t>
        </is>
      </c>
      <c r="S143" s="8" t="n">
        <v>46054.91020833333</v>
      </c>
    </row>
    <row r="144" hidden="1" ht="29" customHeight="1">
      <c r="A144" s="15">
        <f>HYPERLINK("https://vtmf.veevavault.com/ui/#doc_info/30894065/1/0", "VTMF-24900075")</f>
        <v/>
      </c>
      <c r="B144" s="20" t="inlineStr">
        <is>
          <t>Yes</t>
        </is>
      </c>
      <c r="C144" s="5" t="inlineStr">
        <is>
          <t>1.0</t>
        </is>
      </c>
      <c r="D144" s="5" t="inlineStr">
        <is>
          <t>GCO</t>
        </is>
      </c>
      <c r="E144" s="5" t="inlineStr">
        <is>
          <t>42847922MDD3003</t>
        </is>
      </c>
      <c r="F144" s="16">
        <f>HYPERLINK("https://vtmf.veevavault.com/ui/#doc_info/30894065/1/0", "42847922MDD3003-BRA-S10-BR10010-IRB/IEC Approval-26 May 2025 (v1.0)")</f>
        <v/>
      </c>
      <c r="G144" s="5" t="inlineStr">
        <is>
          <t>IRB/IEC and other Approvals</t>
        </is>
      </c>
      <c r="H144" s="5" t="inlineStr">
        <is>
          <t>IRB/IEC Trial Approval</t>
        </is>
      </c>
      <c r="I144" s="5" t="inlineStr">
        <is>
          <t>IRB/IEC Approval</t>
        </is>
      </c>
      <c r="J144" s="5" t="inlineStr">
        <is>
          <t>IEC_Local Approval_1st Progress Report; 26May2025</t>
        </is>
      </c>
      <c r="K144" s="6" t="n">
        <v>251</v>
      </c>
      <c r="L144" s="7" t="n">
        <v>45803</v>
      </c>
      <c r="M144" s="11" t="n">
        <v>46054</v>
      </c>
      <c r="N144" s="5" t="inlineStr">
        <is>
          <t>Approved</t>
        </is>
      </c>
      <c r="O144" s="5" t="inlineStr">
        <is>
          <t>Site</t>
        </is>
      </c>
      <c r="P144" s="5" t="inlineStr">
        <is>
          <t>Brazil</t>
        </is>
      </c>
      <c r="Q144" s="13" t="inlineStr">
        <is>
          <t>S10-BR10010</t>
        </is>
      </c>
      <c r="R144" s="5" t="inlineStr">
        <is>
          <t>Maria Gabriela Mouallem Brandão</t>
        </is>
      </c>
      <c r="S144" s="8" t="n">
        <v>46054.92390046296</v>
      </c>
    </row>
    <row r="145" hidden="1" ht="29" customHeight="1">
      <c r="A145" s="15">
        <f>HYPERLINK("https://vtmf.veevavault.com/ui/#doc_info/30894070/1/0", "VTMF-24900080")</f>
        <v/>
      </c>
      <c r="B145" s="20" t="inlineStr">
        <is>
          <t>Yes</t>
        </is>
      </c>
      <c r="C145" s="5" t="inlineStr">
        <is>
          <t>1.0</t>
        </is>
      </c>
      <c r="D145" s="5" t="inlineStr">
        <is>
          <t>GCO</t>
        </is>
      </c>
      <c r="E145" s="5" t="inlineStr">
        <is>
          <t>42847922MDD3003</t>
        </is>
      </c>
      <c r="F145" s="16">
        <f>HYPERLINK("https://vtmf.veevavault.com/ui/#doc_info/30894070/1/0", "42847922MDD3003-BRA-S10-BR10013-IRB/IEC Progress Report-19 Dec 2025 (v1.0)")</f>
        <v/>
      </c>
      <c r="G145" s="5" t="inlineStr">
        <is>
          <t>IRB/IEC and other Approvals</t>
        </is>
      </c>
      <c r="H145" s="5" t="inlineStr">
        <is>
          <t>Trial Status Reporting</t>
        </is>
      </c>
      <c r="I145" s="5" t="inlineStr">
        <is>
          <t>IRB/IEC Progress Report</t>
        </is>
      </c>
      <c r="J145" s="5" t="inlineStr">
        <is>
          <t>Submission_1st Partial Report to local EC; 19Dec2025</t>
        </is>
      </c>
      <c r="K145" s="6" t="n">
        <v>44</v>
      </c>
      <c r="L145" s="7" t="n">
        <v>46010</v>
      </c>
      <c r="M145" s="11" t="n">
        <v>46054</v>
      </c>
      <c r="N145" s="5" t="inlineStr">
        <is>
          <t>Approved</t>
        </is>
      </c>
      <c r="O145" s="5" t="inlineStr">
        <is>
          <t>Site</t>
        </is>
      </c>
      <c r="P145" s="5" t="inlineStr">
        <is>
          <t>Brazil</t>
        </is>
      </c>
      <c r="Q145" s="13" t="inlineStr">
        <is>
          <t>S10-BR10013</t>
        </is>
      </c>
      <c r="R145" s="5" t="inlineStr">
        <is>
          <t>Maria Gabriela Mouallem Brandão</t>
        </is>
      </c>
      <c r="S145" s="8" t="n">
        <v>46054.94952546297</v>
      </c>
    </row>
    <row r="146" hidden="1" ht="29" customHeight="1">
      <c r="A146" s="15">
        <f>HYPERLINK("https://vtmf.veevavault.com/ui/#doc_info/30896048/1/0", "VTMF-24901650")</f>
        <v/>
      </c>
      <c r="B146" s="20" t="inlineStr">
        <is>
          <t>Yes</t>
        </is>
      </c>
      <c r="C146" s="5" t="inlineStr">
        <is>
          <t>1.0</t>
        </is>
      </c>
      <c r="D146" s="5" t="inlineStr">
        <is>
          <t>GCO</t>
        </is>
      </c>
      <c r="E146" s="5" t="inlineStr">
        <is>
          <t>42847922MDD3003</t>
        </is>
      </c>
      <c r="F146" s="16">
        <f>HYPERLINK("https://vtmf.veevavault.com/ui/#doc_info/30896048/1/0", "42847922MDD3003-TUR-S10-TR10010-Relevant Communications-26 Sep 2025 (v1.0)")</f>
        <v/>
      </c>
      <c r="G146" s="5" t="inlineStr">
        <is>
          <t>Site Management</t>
        </is>
      </c>
      <c r="H146" s="5" t="inlineStr">
        <is>
          <t>General</t>
        </is>
      </c>
      <c r="I146" s="5" t="inlineStr">
        <is>
          <t>Relevant Communications</t>
        </is>
      </c>
      <c r="J146" s="5" t="inlineStr">
        <is>
          <t>Relevant Communications_TCR_all_</t>
        </is>
      </c>
      <c r="K146" s="6" t="n">
        <v>129</v>
      </c>
      <c r="L146" s="7" t="n">
        <v>45926</v>
      </c>
      <c r="M146" s="11" t="n">
        <v>46055</v>
      </c>
      <c r="N146" s="5" t="inlineStr">
        <is>
          <t>Approved</t>
        </is>
      </c>
      <c r="O146" s="5" t="inlineStr">
        <is>
          <t>Site</t>
        </is>
      </c>
      <c r="P146" s="5" t="inlineStr">
        <is>
          <t>Türkiye</t>
        </is>
      </c>
      <c r="Q146" s="13" t="inlineStr">
        <is>
          <t>S10-TR10010</t>
        </is>
      </c>
      <c r="R146" s="5" t="inlineStr">
        <is>
          <t>Gulsah Yalcinkaya</t>
        </is>
      </c>
      <c r="S146" s="8" t="n">
        <v>46055.42079861111</v>
      </c>
    </row>
    <row r="147" hidden="1" ht="29" customHeight="1">
      <c r="A147" s="15">
        <f>HYPERLINK("https://vtmf.veevavault.com/ui/#doc_info/30897604/1/0", "VTMF-24902822")</f>
        <v/>
      </c>
      <c r="B147" s="20" t="inlineStr">
        <is>
          <t>Yes</t>
        </is>
      </c>
      <c r="C147" s="5" t="inlineStr">
        <is>
          <t>1.0</t>
        </is>
      </c>
      <c r="D147" s="5" t="inlineStr">
        <is>
          <t>GCO</t>
        </is>
      </c>
      <c r="E147" s="5" t="inlineStr">
        <is>
          <t>42847922MDD3003</t>
        </is>
      </c>
      <c r="F147" s="16">
        <f>HYPERLINK("https://vtmf.veevavault.com/ui/#doc_info/30897604/1/0", "42847922MDD3003-ARG-S10-AR10001-Financial Disclosure Form-30 Jan 2026 (v1.0)")</f>
        <v/>
      </c>
      <c r="G147" s="5" t="inlineStr">
        <is>
          <t>Site Management</t>
        </is>
      </c>
      <c r="H147" s="5" t="inlineStr">
        <is>
          <t>Site Set-up Documentation</t>
        </is>
      </c>
      <c r="I147" s="5" t="inlineStr">
        <is>
          <t>Financial Disclosure Form</t>
        </is>
      </c>
      <c r="J147" s="5" t="inlineStr">
        <is>
          <t>IFDF_Gesell, ME_interim</t>
        </is>
      </c>
      <c r="K147" s="6" t="n">
        <v>39</v>
      </c>
      <c r="L147" s="7" t="n">
        <v>46052</v>
      </c>
      <c r="M147" s="11" t="n">
        <v>46091</v>
      </c>
      <c r="N147" s="5" t="inlineStr">
        <is>
          <t>Approved</t>
        </is>
      </c>
      <c r="O147" s="5" t="inlineStr">
        <is>
          <t>Site</t>
        </is>
      </c>
      <c r="P147" s="5" t="inlineStr">
        <is>
          <t>Argentina</t>
        </is>
      </c>
      <c r="Q147" s="13" t="inlineStr">
        <is>
          <t>S10-AR10001</t>
        </is>
      </c>
      <c r="R147" s="5" t="inlineStr">
        <is>
          <t>Cintia Rodriguez</t>
        </is>
      </c>
      <c r="S147" s="8" t="n">
        <v>46055.57387731481</v>
      </c>
    </row>
    <row r="148" hidden="1" ht="29" customHeight="1">
      <c r="A148" s="15">
        <f>HYPERLINK("https://vtmf.veevavault.com/ui/#doc_info/30897647/1/0", "VTMF-24902879")</f>
        <v/>
      </c>
      <c r="B148" s="20" t="inlineStr">
        <is>
          <t>Yes</t>
        </is>
      </c>
      <c r="C148" s="5" t="inlineStr">
        <is>
          <t>1.0</t>
        </is>
      </c>
      <c r="D148" s="5" t="inlineStr">
        <is>
          <t>GCO</t>
        </is>
      </c>
      <c r="E148" s="5" t="inlineStr">
        <is>
          <t>42847922MDD3003</t>
        </is>
      </c>
      <c r="F148" s="16">
        <f>HYPERLINK("https://vtmf.veevavault.com/ui/#doc_info/30897647/1/0", "42847922MDD3003-BRA-S10-BR10003-Notification to IRB/IEC of Safety Information-09 Dec 2025 (v1.0)")</f>
        <v/>
      </c>
      <c r="G148" s="5" t="inlineStr">
        <is>
          <t>IRB/IEC and other Approvals</t>
        </is>
      </c>
      <c r="H148" s="5" t="inlineStr">
        <is>
          <t>Trial Status Reporting</t>
        </is>
      </c>
      <c r="I148" s="5" t="inlineStr">
        <is>
          <t>Notification to IRB/IEC of Safety Information</t>
        </is>
      </c>
      <c r="J148" s="5" t="inlineStr">
        <is>
          <t>Submission_2th Partial Report to local EC_09Dec2025</t>
        </is>
      </c>
      <c r="K148" s="6" t="n">
        <v>55</v>
      </c>
      <c r="L148" s="7" t="n">
        <v>46000</v>
      </c>
      <c r="M148" s="11" t="n">
        <v>46055</v>
      </c>
      <c r="N148" s="5" t="inlineStr">
        <is>
          <t>Approved</t>
        </is>
      </c>
      <c r="O148" s="5" t="inlineStr">
        <is>
          <t>Site</t>
        </is>
      </c>
      <c r="P148" s="5" t="inlineStr">
        <is>
          <t>Brazil</t>
        </is>
      </c>
      <c r="Q148" s="13" t="inlineStr">
        <is>
          <t>S10-BR10003</t>
        </is>
      </c>
      <c r="R148" s="5" t="inlineStr">
        <is>
          <t>Maria Gabriela Mouallem Brandão</t>
        </is>
      </c>
      <c r="S148" s="8" t="n">
        <v>46055.58569444445</v>
      </c>
    </row>
    <row r="149" hidden="1" ht="29" customHeight="1">
      <c r="A149" s="15">
        <f>HYPERLINK("https://vtmf.veevavault.com/ui/#doc_info/30897808/1/0", "VTMF-24902987")</f>
        <v/>
      </c>
      <c r="B149" s="19" t="inlineStr">
        <is>
          <t>No</t>
        </is>
      </c>
      <c r="C149" s="5" t="inlineStr">
        <is>
          <t>1.0</t>
        </is>
      </c>
      <c r="D149" s="5" t="inlineStr">
        <is>
          <t>GCO</t>
        </is>
      </c>
      <c r="E149" s="5" t="inlineStr">
        <is>
          <t>42847922MDD3003</t>
        </is>
      </c>
      <c r="F149" s="16">
        <f>HYPERLINK("https://vtmf.veevavault.com/ui/#doc_info/30897808/1/0", "42847922MDD3003-COL-S10-CO10001-IRB/IEC Composition-18 Dec 2025 (v1.0)")</f>
        <v/>
      </c>
      <c r="G149" s="5" t="inlineStr">
        <is>
          <t>IRB/IEC and other Approvals</t>
        </is>
      </c>
      <c r="H149" s="5" t="inlineStr">
        <is>
          <t>IRB/IEC Trial Approval</t>
        </is>
      </c>
      <c r="I149" s="5" t="inlineStr">
        <is>
          <t>IRB/IEC Composition</t>
        </is>
      </c>
      <c r="J149" s="5" t="inlineStr">
        <is>
          <t>EC Membership list 2026_18 Dec 2025</t>
        </is>
      </c>
      <c r="K149" s="6" t="n">
        <v>46</v>
      </c>
      <c r="L149" s="7" t="n">
        <v>46009</v>
      </c>
      <c r="M149" s="11" t="n">
        <v>46055</v>
      </c>
      <c r="N149" s="5" t="inlineStr">
        <is>
          <t>Approved</t>
        </is>
      </c>
      <c r="O149" s="5" t="inlineStr">
        <is>
          <t>Site</t>
        </is>
      </c>
      <c r="P149" s="5" t="inlineStr">
        <is>
          <t>Colombia</t>
        </is>
      </c>
      <c r="Q149" s="13" t="inlineStr">
        <is>
          <t>S10-CO10001</t>
        </is>
      </c>
      <c r="R149" s="5" t="inlineStr">
        <is>
          <t>Monica Romero</t>
        </is>
      </c>
      <c r="S149" s="8" t="n">
        <v>46055.59825231481</v>
      </c>
    </row>
    <row r="150" hidden="1" ht="29" customHeight="1">
      <c r="A150" s="15">
        <f>HYPERLINK("https://vtmf.veevavault.com/ui/#doc_info/30897827/1/0", "VTMF-24903018")</f>
        <v/>
      </c>
      <c r="B150" s="19" t="inlineStr">
        <is>
          <t>No</t>
        </is>
      </c>
      <c r="C150" s="5" t="inlineStr">
        <is>
          <t>1.0</t>
        </is>
      </c>
      <c r="D150" s="5" t="inlineStr">
        <is>
          <t>GCO</t>
        </is>
      </c>
      <c r="E150" s="5" t="inlineStr">
        <is>
          <t>42847922MDD3003</t>
        </is>
      </c>
      <c r="F150" s="16">
        <f>HYPERLINK("https://vtmf.veevavault.com/ui/#doc_info/30897827/1/0", "42847922MDD3003-COL-S10-CO10001-IRB/IEC GCP Compliance Statement-18 Dec 2025 (v1.0)")</f>
        <v/>
      </c>
      <c r="G150" s="5" t="inlineStr">
        <is>
          <t>IRB/IEC and other Approvals</t>
        </is>
      </c>
      <c r="H150" s="5" t="inlineStr">
        <is>
          <t>IRB/IEC Trial Approval</t>
        </is>
      </c>
      <c r="I150" s="5" t="inlineStr">
        <is>
          <t>IRB/IEC GCP Compliance Statement</t>
        </is>
      </c>
      <c r="J150" s="5" t="inlineStr">
        <is>
          <t>EC Meeting schedule 2026_18 Dec 2025</t>
        </is>
      </c>
      <c r="K150" s="6" t="n">
        <v>46</v>
      </c>
      <c r="L150" s="7" t="n">
        <v>46009</v>
      </c>
      <c r="M150" s="11" t="n">
        <v>46055</v>
      </c>
      <c r="N150" s="5" t="inlineStr">
        <is>
          <t>Approved</t>
        </is>
      </c>
      <c r="O150" s="5" t="inlineStr">
        <is>
          <t>Site</t>
        </is>
      </c>
      <c r="P150" s="5" t="inlineStr">
        <is>
          <t>Colombia</t>
        </is>
      </c>
      <c r="Q150" s="13" t="inlineStr">
        <is>
          <t>S10-CO10001</t>
        </is>
      </c>
      <c r="R150" s="5" t="inlineStr">
        <is>
          <t>Monica Romero</t>
        </is>
      </c>
      <c r="S150" s="8" t="n">
        <v>46055.60084490741</v>
      </c>
    </row>
    <row r="151" hidden="1" ht="29" customHeight="1">
      <c r="A151" s="15">
        <f>HYPERLINK("https://vtmf.veevavault.com/ui/#doc_info/30898048/1/0", "VTMF-24903202")</f>
        <v/>
      </c>
      <c r="B151" s="20" t="inlineStr">
        <is>
          <t>Yes</t>
        </is>
      </c>
      <c r="C151" s="5" t="inlineStr">
        <is>
          <t>1.0</t>
        </is>
      </c>
      <c r="D151" s="5" t="inlineStr">
        <is>
          <t>GCO</t>
        </is>
      </c>
      <c r="E151" s="5" t="inlineStr">
        <is>
          <t>42847922MDD3003</t>
        </is>
      </c>
      <c r="F151" s="16">
        <f>HYPERLINK("https://vtmf.veevavault.com/ui/#doc_info/30898048/1/0", "42847922MDD3003-ROU-S10-RO10010-IRT User Account Management-25 Nov 2025 (v1.0)")</f>
        <v/>
      </c>
      <c r="G151" s="5" t="inlineStr">
        <is>
          <t>IP and Trial Supplies</t>
        </is>
      </c>
      <c r="H151" s="5" t="inlineStr">
        <is>
          <t>Interactive Response Technology</t>
        </is>
      </c>
      <c r="I151" s="5" t="inlineStr">
        <is>
          <t>IRT User Account Management</t>
        </is>
      </c>
      <c r="J151" s="5" t="inlineStr">
        <is>
          <t>Email_Site deactivation alert</t>
        </is>
      </c>
      <c r="K151" s="6" t="n">
        <v>69</v>
      </c>
      <c r="L151" s="7" t="n">
        <v>45986</v>
      </c>
      <c r="M151" s="11" t="n">
        <v>46055</v>
      </c>
      <c r="N151" s="5" t="inlineStr">
        <is>
          <t>Approved</t>
        </is>
      </c>
      <c r="O151" s="5" t="inlineStr">
        <is>
          <t>Site</t>
        </is>
      </c>
      <c r="P151" s="5" t="inlineStr">
        <is>
          <t>Romania</t>
        </is>
      </c>
      <c r="Q151" s="13" t="inlineStr">
        <is>
          <t>S10-RO10010</t>
        </is>
      </c>
      <c r="R151" s="5" t="inlineStr">
        <is>
          <t>Alexandra Matache</t>
        </is>
      </c>
      <c r="S151" s="8" t="n">
        <v>46055.61444444444</v>
      </c>
    </row>
    <row r="152" hidden="1" ht="29" customHeight="1">
      <c r="A152" s="15">
        <f>HYPERLINK("https://vtmf.veevavault.com/ui/#doc_info/30898472/1/0", "VTMF-24903589")</f>
        <v/>
      </c>
      <c r="B152" s="20" t="inlineStr">
        <is>
          <t>Yes</t>
        </is>
      </c>
      <c r="C152" s="5" t="inlineStr">
        <is>
          <t>1.0</t>
        </is>
      </c>
      <c r="D152" s="5" t="inlineStr">
        <is>
          <t>GCO</t>
        </is>
      </c>
      <c r="E152" s="5" t="inlineStr">
        <is>
          <t>42847922MDD3003</t>
        </is>
      </c>
      <c r="F152" s="16">
        <f>HYPERLINK("https://vtmf.veevavault.com/ui/#doc_info/30898472/1/0", "42847922MDD3003-ARG--Approval-04 Aug 2025 (v1.0)")</f>
        <v/>
      </c>
      <c r="G152" s="5" t="inlineStr">
        <is>
          <t>Regulatory</t>
        </is>
      </c>
      <c r="H152" s="5" t="inlineStr">
        <is>
          <t>Trial Approval</t>
        </is>
      </c>
      <c r="I152" s="5" t="inlineStr">
        <is>
          <t>Approval</t>
        </is>
      </c>
      <c r="J152" s="5" t="inlineStr">
        <is>
          <t>ANMAT approval_Progress report period 01jan2025 al 30jun2025</t>
        </is>
      </c>
      <c r="K152" s="6" t="n">
        <v>182</v>
      </c>
      <c r="L152" s="7" t="n">
        <v>45873</v>
      </c>
      <c r="M152" s="11" t="n">
        <v>46055</v>
      </c>
      <c r="N152" s="5" t="inlineStr">
        <is>
          <t>Approved</t>
        </is>
      </c>
      <c r="O152" s="5" t="inlineStr">
        <is>
          <t>Country</t>
        </is>
      </c>
      <c r="P152" s="5" t="inlineStr">
        <is>
          <t>Argentina</t>
        </is>
      </c>
      <c r="Q152" s="13" t="inlineStr"/>
      <c r="R152" s="5" t="inlineStr">
        <is>
          <t>Agustina Ariela Murro</t>
        </is>
      </c>
      <c r="S152" s="8" t="n">
        <v>46055.6515625</v>
      </c>
    </row>
    <row r="153" hidden="1" ht="29" customHeight="1">
      <c r="A153" s="15">
        <f>HYPERLINK("https://vtmf.veevavault.com/ui/#doc_info/30900614/1/0", "VTMF-24905285")</f>
        <v/>
      </c>
      <c r="B153" s="19" t="inlineStr">
        <is>
          <t>No</t>
        </is>
      </c>
      <c r="C153" s="5" t="inlineStr">
        <is>
          <t>1.0</t>
        </is>
      </c>
      <c r="D153" s="5" t="inlineStr">
        <is>
          <t>GCO</t>
        </is>
      </c>
      <c r="E153" s="5" t="inlineStr">
        <is>
          <t>42847922MDD3003</t>
        </is>
      </c>
      <c r="F153" s="16">
        <f>HYPERLINK("https://vtmf.veevavault.com/ui/#doc_info/30900614/1/0", "42847922MDD3003-SVK-S10-SK10004-IP Shipment Documentation-19 Jun 2025 (v1.0)")</f>
        <v/>
      </c>
      <c r="G153" s="5" t="inlineStr">
        <is>
          <t>IP and Trial Supplies</t>
        </is>
      </c>
      <c r="H153" s="5" t="inlineStr">
        <is>
          <t>IP Documentation</t>
        </is>
      </c>
      <c r="I153" s="5" t="inlineStr">
        <is>
          <t>IP Shipment Documentation</t>
        </is>
      </c>
      <c r="J153" s="5" t="inlineStr">
        <is>
          <t>Packing list_Consignment #100876; 19Jun2025</t>
        </is>
      </c>
      <c r="K153" s="6" t="n">
        <v>228</v>
      </c>
      <c r="L153" s="7" t="n">
        <v>45827</v>
      </c>
      <c r="M153" s="11" t="n">
        <v>46055</v>
      </c>
      <c r="N153" s="5" t="inlineStr">
        <is>
          <t>Approved</t>
        </is>
      </c>
      <c r="O153" s="5" t="inlineStr">
        <is>
          <t>Site</t>
        </is>
      </c>
      <c r="P153" s="5" t="inlineStr">
        <is>
          <t>Slovakia</t>
        </is>
      </c>
      <c r="Q153" s="13" t="inlineStr">
        <is>
          <t>S10-SK10004</t>
        </is>
      </c>
      <c r="R153" s="5" t="inlineStr">
        <is>
          <t>Lenka Bohmerova</t>
        </is>
      </c>
      <c r="S153" s="8" t="n">
        <v>46055.86224537037</v>
      </c>
    </row>
    <row r="154" hidden="1" ht="29" customHeight="1">
      <c r="A154" s="15">
        <f>HYPERLINK("https://vtmf.veevavault.com/ui/#doc_info/30900621/1/0", "VTMF-24905308")</f>
        <v/>
      </c>
      <c r="B154" s="19" t="inlineStr">
        <is>
          <t>No</t>
        </is>
      </c>
      <c r="C154" s="5" t="inlineStr">
        <is>
          <t>1.0</t>
        </is>
      </c>
      <c r="D154" s="5" t="inlineStr">
        <is>
          <t>GCO</t>
        </is>
      </c>
      <c r="E154" s="5" t="inlineStr">
        <is>
          <t>42847922MDD3003</t>
        </is>
      </c>
      <c r="F154" s="16">
        <f>HYPERLINK("https://vtmf.veevavault.com/ui/#doc_info/30900621/1/0", "42847922MDD3003-SVK-S10-SK10004-IP Shipment Documentation-01 Sep 2025 (v1.0)")</f>
        <v/>
      </c>
      <c r="G154" s="5" t="inlineStr">
        <is>
          <t>IP and Trial Supplies</t>
        </is>
      </c>
      <c r="H154" s="5" t="inlineStr">
        <is>
          <t>IP Documentation</t>
        </is>
      </c>
      <c r="I154" s="5" t="inlineStr">
        <is>
          <t>IP Shipment Documentation</t>
        </is>
      </c>
      <c r="J154" s="5" t="inlineStr">
        <is>
          <t>Packing List_consignment #101203; 01Sep2025</t>
        </is>
      </c>
      <c r="K154" s="6" t="n">
        <v>154</v>
      </c>
      <c r="L154" s="7" t="n">
        <v>45901</v>
      </c>
      <c r="M154" s="11" t="n">
        <v>46055</v>
      </c>
      <c r="N154" s="5" t="inlineStr">
        <is>
          <t>Approved</t>
        </is>
      </c>
      <c r="O154" s="5" t="inlineStr">
        <is>
          <t>Site</t>
        </is>
      </c>
      <c r="P154" s="5" t="inlineStr">
        <is>
          <t>Slovakia</t>
        </is>
      </c>
      <c r="Q154" s="13" t="inlineStr">
        <is>
          <t>S10-SK10004</t>
        </is>
      </c>
      <c r="R154" s="5" t="inlineStr">
        <is>
          <t>Lenka Bohmerova</t>
        </is>
      </c>
      <c r="S154" s="8" t="n">
        <v>46055.86498842593</v>
      </c>
    </row>
    <row r="155" hidden="1" ht="29" customHeight="1">
      <c r="A155" s="15">
        <f>HYPERLINK("https://vtmf.veevavault.com/ui/#doc_info/30904762/1/0", "VTMF-24909027")</f>
        <v/>
      </c>
      <c r="B155" s="20" t="inlineStr">
        <is>
          <t>Yes</t>
        </is>
      </c>
      <c r="C155" s="5" t="inlineStr">
        <is>
          <t>1.0</t>
        </is>
      </c>
      <c r="D155" s="5" t="inlineStr">
        <is>
          <t>GCO</t>
        </is>
      </c>
      <c r="E155" s="5" t="inlineStr">
        <is>
          <t>42847922MDD3003</t>
        </is>
      </c>
      <c r="F155" s="16">
        <f>HYPERLINK("https://vtmf.veevavault.com/ui/#doc_info/30904762/1/0", "42847922MDD3003-ESP-S10-ES10001-Relevant Communications-12 Dec 2025 (v1.0)")</f>
        <v/>
      </c>
      <c r="G155" s="5" t="inlineStr">
        <is>
          <t>Trial Management</t>
        </is>
      </c>
      <c r="H155" s="5" t="inlineStr">
        <is>
          <t>General</t>
        </is>
      </c>
      <c r="I155" s="5" t="inlineStr">
        <is>
          <t>Relevant Communications</t>
        </is>
      </c>
      <c r="J155" s="5" t="inlineStr">
        <is>
          <t>Email_ES100010001_Missed Doses</t>
        </is>
      </c>
      <c r="K155" s="6" t="n">
        <v>53</v>
      </c>
      <c r="L155" s="7" t="n">
        <v>46003</v>
      </c>
      <c r="M155" s="11" t="n">
        <v>46056</v>
      </c>
      <c r="N155" s="5" t="inlineStr">
        <is>
          <t>Approved</t>
        </is>
      </c>
      <c r="O155" s="5" t="inlineStr">
        <is>
          <t>Site</t>
        </is>
      </c>
      <c r="P155" s="5" t="inlineStr">
        <is>
          <t>Spain</t>
        </is>
      </c>
      <c r="Q155" s="13" t="inlineStr">
        <is>
          <t>S10-ES10001</t>
        </is>
      </c>
      <c r="R155" s="5" t="inlineStr">
        <is>
          <t>Ruben Ayora</t>
        </is>
      </c>
      <c r="S155" s="8" t="n">
        <v>46056.36135416666</v>
      </c>
    </row>
    <row r="156" hidden="1" ht="29" customHeight="1">
      <c r="A156" s="15">
        <f>HYPERLINK("https://vtmf.veevavault.com/ui/#doc_info/30905072/1/0", "VTMF-24909219")</f>
        <v/>
      </c>
      <c r="B156" s="20" t="inlineStr">
        <is>
          <t>Yes</t>
        </is>
      </c>
      <c r="C156" s="5" t="inlineStr">
        <is>
          <t>1.0</t>
        </is>
      </c>
      <c r="D156" s="5" t="inlineStr">
        <is>
          <t>GCO</t>
        </is>
      </c>
      <c r="E156" s="5" t="inlineStr">
        <is>
          <t>42847922MDD3003</t>
        </is>
      </c>
      <c r="F156" s="16">
        <f>HYPERLINK("https://vtmf.veevavault.com/ui/#doc_info/30905072/1/0", "42847922MDD3003-ESP-S10-ES10022-Relevant Communications-02 Jan 2026 (v1.0)")</f>
        <v/>
      </c>
      <c r="G156" s="5" t="inlineStr">
        <is>
          <t>Site Management</t>
        </is>
      </c>
      <c r="H156" s="5" t="inlineStr">
        <is>
          <t>General</t>
        </is>
      </c>
      <c r="I156" s="5" t="inlineStr">
        <is>
          <t>Relevant Communications</t>
        </is>
      </c>
      <c r="J156" s="5" t="inlineStr">
        <is>
          <t>Email_AoR Pharmacy Documents Updated</t>
        </is>
      </c>
      <c r="K156" s="6" t="n">
        <v>32</v>
      </c>
      <c r="L156" s="7" t="n">
        <v>46024</v>
      </c>
      <c r="M156" s="11" t="n">
        <v>46056</v>
      </c>
      <c r="N156" s="5" t="inlineStr">
        <is>
          <t>Approved</t>
        </is>
      </c>
      <c r="O156" s="5" t="inlineStr">
        <is>
          <t>Site</t>
        </is>
      </c>
      <c r="P156" s="5" t="inlineStr">
        <is>
          <t>Spain</t>
        </is>
      </c>
      <c r="Q156" s="13" t="inlineStr">
        <is>
          <t>S10-ES10022</t>
        </is>
      </c>
      <c r="R156" s="5" t="inlineStr">
        <is>
          <t>Ruben Ayora</t>
        </is>
      </c>
      <c r="S156" s="8" t="n">
        <v>46056.38995370371</v>
      </c>
    </row>
    <row r="157" hidden="1" ht="29" customHeight="1">
      <c r="A157" s="15">
        <f>HYPERLINK("https://vtmf.veevavault.com/ui/#doc_info/30906467/1/0", "VTMF-24910471")</f>
        <v/>
      </c>
      <c r="B157" s="19" t="inlineStr">
        <is>
          <t>No</t>
        </is>
      </c>
      <c r="C157" s="5" t="inlineStr">
        <is>
          <t>1.0</t>
        </is>
      </c>
      <c r="D157" s="5" t="inlineStr">
        <is>
          <t>GCO</t>
        </is>
      </c>
      <c r="E157" s="5" t="inlineStr">
        <is>
          <t>42847922MDD3003</t>
        </is>
      </c>
      <c r="F157" s="16">
        <f>HYPERLINK("https://vtmf.veevavault.com/ui/#doc_info/30906467/1/0", "42847922MDD3003-ITA-S10-IT10005-Site Signature Sheet-10 Sep 2025 (v1.0)")</f>
        <v/>
      </c>
      <c r="G157" s="5" t="inlineStr">
        <is>
          <t>Site Management</t>
        </is>
      </c>
      <c r="H157" s="5" t="inlineStr">
        <is>
          <t>Site Set-up Documentation</t>
        </is>
      </c>
      <c r="I157" s="5" t="inlineStr">
        <is>
          <t>Site Signature Sheet</t>
        </is>
      </c>
      <c r="J157" s="5" t="inlineStr">
        <is>
          <t>Delegation Log_10Sep2025</t>
        </is>
      </c>
      <c r="K157" s="6" t="n">
        <v>146</v>
      </c>
      <c r="L157" s="7" t="n">
        <v>45910</v>
      </c>
      <c r="M157" s="11" t="n">
        <v>46056</v>
      </c>
      <c r="N157" s="5" t="inlineStr">
        <is>
          <t>Approved</t>
        </is>
      </c>
      <c r="O157" s="5" t="inlineStr">
        <is>
          <t>Site</t>
        </is>
      </c>
      <c r="P157" s="5" t="inlineStr">
        <is>
          <t>Italy</t>
        </is>
      </c>
      <c r="Q157" s="13" t="inlineStr">
        <is>
          <t>S10-IT10005</t>
        </is>
      </c>
      <c r="R157" s="5" t="inlineStr">
        <is>
          <t>Alessia Campagnano</t>
        </is>
      </c>
      <c r="S157" s="8" t="n">
        <v>46056.53263888889</v>
      </c>
    </row>
    <row r="158" hidden="1" ht="29" customHeight="1">
      <c r="A158" s="15">
        <f>HYPERLINK("https://vtmf.veevavault.com/ui/#doc_info/30906709/1/0", "VTMF-24910558")</f>
        <v/>
      </c>
      <c r="B158" s="19" t="inlineStr">
        <is>
          <t>No</t>
        </is>
      </c>
      <c r="C158" s="5" t="inlineStr">
        <is>
          <t>1.0</t>
        </is>
      </c>
      <c r="D158" s="5" t="inlineStr">
        <is>
          <t>GCO</t>
        </is>
      </c>
      <c r="E158" s="5" t="inlineStr">
        <is>
          <t>42847922MDD3003</t>
        </is>
      </c>
      <c r="F158" s="16">
        <f>HYPERLINK("https://vtmf.veevavault.com/ui/#doc_info/30906709/1/0", "42847922MDD3003-ITA-S10-IT10005-Non-IP Shipment Documentation-16 Jun 2025 (v1.0)")</f>
        <v/>
      </c>
      <c r="G158" s="5" t="inlineStr">
        <is>
          <t>IP and Trial Supplies</t>
        </is>
      </c>
      <c r="H158" s="5" t="inlineStr">
        <is>
          <t>Non-IP Documentation</t>
        </is>
      </c>
      <c r="I158" s="5" t="inlineStr">
        <is>
          <t>Non-IP Shipment Documentation</t>
        </is>
      </c>
      <c r="J158" s="5" t="inlineStr">
        <is>
          <t>NIPSF_SM1Documents_16Jun2025_Fagiolini</t>
        </is>
      </c>
      <c r="K158" s="6" t="n">
        <v>232</v>
      </c>
      <c r="L158" s="7" t="n">
        <v>45824</v>
      </c>
      <c r="M158" s="11" t="n">
        <v>46056</v>
      </c>
      <c r="N158" s="5" t="inlineStr">
        <is>
          <t>Approved</t>
        </is>
      </c>
      <c r="O158" s="5" t="inlineStr">
        <is>
          <t>Site</t>
        </is>
      </c>
      <c r="P158" s="5" t="inlineStr">
        <is>
          <t>Italy</t>
        </is>
      </c>
      <c r="Q158" s="13" t="inlineStr">
        <is>
          <t>S10-IT10005</t>
        </is>
      </c>
      <c r="R158" s="5" t="inlineStr">
        <is>
          <t>Alessia Campagnano</t>
        </is>
      </c>
      <c r="S158" s="8" t="n">
        <v>46056.54728009259</v>
      </c>
    </row>
    <row r="159" hidden="1" ht="29" customHeight="1">
      <c r="A159" s="15">
        <f>HYPERLINK("https://vtmf.veevavault.com/ui/#doc_info/30906710/1/0", "VTMF-24910559")</f>
        <v/>
      </c>
      <c r="B159" s="19" t="inlineStr">
        <is>
          <t>No</t>
        </is>
      </c>
      <c r="C159" s="5" t="inlineStr">
        <is>
          <t>1.0</t>
        </is>
      </c>
      <c r="D159" s="5" t="inlineStr">
        <is>
          <t>GCO</t>
        </is>
      </c>
      <c r="E159" s="5" t="inlineStr">
        <is>
          <t>42847922MDD3003</t>
        </is>
      </c>
      <c r="F159" s="16">
        <f>HYPERLINK("https://vtmf.veevavault.com/ui/#doc_info/30906710/1/0", "42847922MDD3003-ITA-S10-IT10005-Non-IP Shipment Documentation-10 Nov 2025 (v1.0)")</f>
        <v/>
      </c>
      <c r="G159" s="5" t="inlineStr">
        <is>
          <t>IP and Trial Supplies</t>
        </is>
      </c>
      <c r="H159" s="5" t="inlineStr">
        <is>
          <t>Non-IP Documentation</t>
        </is>
      </c>
      <c r="I159" s="5" t="inlineStr">
        <is>
          <t>Non-IP Shipment Documentation</t>
        </is>
      </c>
      <c r="J159" s="5" t="inlineStr">
        <is>
          <t>NIPSF_SM2 documents_10Nov2025_Fagiolini</t>
        </is>
      </c>
      <c r="K159" s="6" t="n">
        <v>85</v>
      </c>
      <c r="L159" s="7" t="n">
        <v>45971</v>
      </c>
      <c r="M159" s="11" t="n">
        <v>46056</v>
      </c>
      <c r="N159" s="5" t="inlineStr">
        <is>
          <t>Approved</t>
        </is>
      </c>
      <c r="O159" s="5" t="inlineStr">
        <is>
          <t>Site</t>
        </is>
      </c>
      <c r="P159" s="5" t="inlineStr">
        <is>
          <t>Italy</t>
        </is>
      </c>
      <c r="Q159" s="13" t="inlineStr">
        <is>
          <t>S10-IT10005</t>
        </is>
      </c>
      <c r="R159" s="5" t="inlineStr">
        <is>
          <t>Alessia Campagnano</t>
        </is>
      </c>
      <c r="S159" s="8" t="n">
        <v>46056.54728009259</v>
      </c>
    </row>
    <row r="160" hidden="1" ht="29" customHeight="1">
      <c r="A160" s="15">
        <f>HYPERLINK("https://vtmf.veevavault.com/ui/#doc_info/30922992/1/0", "VTMF-24924144")</f>
        <v/>
      </c>
      <c r="B160" s="20" t="inlineStr">
        <is>
          <t>Yes</t>
        </is>
      </c>
      <c r="C160" s="5" t="inlineStr">
        <is>
          <t>1.0</t>
        </is>
      </c>
      <c r="D160" s="5" t="inlineStr">
        <is>
          <t>GCO</t>
        </is>
      </c>
      <c r="E160" s="5" t="inlineStr">
        <is>
          <t>42847922MDD3003</t>
        </is>
      </c>
      <c r="F160" s="16">
        <f>HYPERLINK("https://vtmf.veevavault.com/ui/#doc_info/30922992/1/0", "42847922MDD3003-MEX-S10-MX10004-Relevant Communications-29 Dec 2025 (v1.0)")</f>
        <v/>
      </c>
      <c r="G160" s="5" t="inlineStr">
        <is>
          <t>IRB/IEC and other Approvals</t>
        </is>
      </c>
      <c r="H160" s="5" t="inlineStr">
        <is>
          <t>General</t>
        </is>
      </c>
      <c r="I160" s="5" t="inlineStr">
        <is>
          <t>Relevant Communications</t>
        </is>
      </c>
      <c r="J160" s="5" t="inlineStr">
        <is>
          <t>EC_Response_Protocol deviation_Subject MX10004003_29 Dec2025</t>
        </is>
      </c>
      <c r="K160" s="6" t="n">
        <v>37</v>
      </c>
      <c r="L160" s="7" t="n">
        <v>46020</v>
      </c>
      <c r="M160" s="11" t="n">
        <v>46057</v>
      </c>
      <c r="N160" s="5" t="inlineStr">
        <is>
          <t>Approved</t>
        </is>
      </c>
      <c r="O160" s="5" t="inlineStr">
        <is>
          <t>Site</t>
        </is>
      </c>
      <c r="P160" s="5" t="inlineStr">
        <is>
          <t>Mexico</t>
        </is>
      </c>
      <c r="Q160" s="13" t="inlineStr">
        <is>
          <t>S10-MX10004</t>
        </is>
      </c>
      <c r="R160" s="5" t="inlineStr">
        <is>
          <t>Karla Melisa Rodríguez Bautista</t>
        </is>
      </c>
      <c r="S160" s="8" t="n">
        <v>46058.03905092592</v>
      </c>
    </row>
    <row r="161" hidden="1" ht="29" customHeight="1">
      <c r="A161" s="15">
        <f>HYPERLINK("https://vtmf.veevavault.com/ui/#doc_info/30922994/1/0", "VTMF-24924149")</f>
        <v/>
      </c>
      <c r="B161" s="20" t="inlineStr">
        <is>
          <t>Yes</t>
        </is>
      </c>
      <c r="C161" s="5" t="inlineStr">
        <is>
          <t>1.0</t>
        </is>
      </c>
      <c r="D161" s="5" t="inlineStr">
        <is>
          <t>GCO</t>
        </is>
      </c>
      <c r="E161" s="5" t="inlineStr">
        <is>
          <t>42847922MDD3003</t>
        </is>
      </c>
      <c r="F161" s="16">
        <f>HYPERLINK("https://vtmf.veevavault.com/ui/#doc_info/30922994/1/0", "42847922MDD3003-MEX-S10-MX10004-Relevant Communications-29 Dec 2025 (v1.0)")</f>
        <v/>
      </c>
      <c r="G161" s="5" t="inlineStr">
        <is>
          <t>IRB/IEC and other Approvals</t>
        </is>
      </c>
      <c r="H161" s="5" t="inlineStr">
        <is>
          <t>General</t>
        </is>
      </c>
      <c r="I161" s="5" t="inlineStr">
        <is>
          <t>Relevant Communications</t>
        </is>
      </c>
      <c r="J161" s="5" t="inlineStr">
        <is>
          <t>RC_Response_Protocol deviation_Subject MX10004003_29Dec2025</t>
        </is>
      </c>
      <c r="K161" s="6" t="n">
        <v>37</v>
      </c>
      <c r="L161" s="7" t="n">
        <v>46020</v>
      </c>
      <c r="M161" s="11" t="n">
        <v>46057</v>
      </c>
      <c r="N161" s="5" t="inlineStr">
        <is>
          <t>Approved</t>
        </is>
      </c>
      <c r="O161" s="5" t="inlineStr">
        <is>
          <t>Site</t>
        </is>
      </c>
      <c r="P161" s="5" t="inlineStr">
        <is>
          <t>Mexico</t>
        </is>
      </c>
      <c r="Q161" s="13" t="inlineStr">
        <is>
          <t>S10-MX10004</t>
        </is>
      </c>
      <c r="R161" s="5" t="inlineStr">
        <is>
          <t>Karla Melisa Rodríguez Bautista</t>
        </is>
      </c>
      <c r="S161" s="8" t="n">
        <v>46058.04041666666</v>
      </c>
    </row>
    <row r="162" hidden="1" ht="29" customHeight="1">
      <c r="A162" s="15">
        <f>HYPERLINK("https://vtmf.veevavault.com/ui/#doc_info/30927326/1/0", "VTMF-24927855")</f>
        <v/>
      </c>
      <c r="B162" s="20" t="inlineStr">
        <is>
          <t>Yes</t>
        </is>
      </c>
      <c r="C162" s="5" t="inlineStr">
        <is>
          <t>1.0</t>
        </is>
      </c>
      <c r="D162" s="5" t="inlineStr">
        <is>
          <t>GCO</t>
        </is>
      </c>
      <c r="E162" s="5" t="inlineStr">
        <is>
          <t>42847922MDD3003</t>
        </is>
      </c>
      <c r="F162" s="16">
        <f>HYPERLINK("https://vtmf.veevavault.com/ui/#doc_info/30927326/1/0", "42847922MDD3003-TUR--Translation and Revision Form-04 Aug 2025 (v1.0)")</f>
        <v/>
      </c>
      <c r="G162" s="5" t="inlineStr">
        <is>
          <t>Central Trial Documents</t>
        </is>
      </c>
      <c r="H162" s="5" t="inlineStr">
        <is>
          <t>Trial Documents</t>
        </is>
      </c>
      <c r="I162" s="5" t="inlineStr">
        <is>
          <t>Translation and Revision Form</t>
        </is>
      </c>
      <c r="J162" s="5" t="inlineStr">
        <is>
          <t>Translation and Revision Form for Participant Journey for Part 2-Rollover Participants from Part 1 only</t>
        </is>
      </c>
      <c r="K162" s="6" t="n">
        <v>185</v>
      </c>
      <c r="L162" s="7" t="n">
        <v>45873</v>
      </c>
      <c r="M162" s="11" t="n">
        <v>46058</v>
      </c>
      <c r="N162" s="5" t="inlineStr">
        <is>
          <t>Approved</t>
        </is>
      </c>
      <c r="O162" s="5" t="inlineStr">
        <is>
          <t>Country</t>
        </is>
      </c>
      <c r="P162" s="5" t="inlineStr">
        <is>
          <t>Türkiye</t>
        </is>
      </c>
      <c r="Q162" s="13" t="inlineStr"/>
      <c r="R162" s="5" t="inlineStr">
        <is>
          <t>Eylem Secil Kurada</t>
        </is>
      </c>
      <c r="S162" s="8" t="n">
        <v>46058.41347222222</v>
      </c>
    </row>
    <row r="163" hidden="1" ht="29" customHeight="1">
      <c r="A163" s="15">
        <f>HYPERLINK("https://vtmf.veevavault.com/ui/#doc_info/30927335/1/0", "VTMF-24927880")</f>
        <v/>
      </c>
      <c r="B163" s="20" t="inlineStr">
        <is>
          <t>Yes</t>
        </is>
      </c>
      <c r="C163" s="5" t="inlineStr">
        <is>
          <t>1.0</t>
        </is>
      </c>
      <c r="D163" s="5" t="inlineStr">
        <is>
          <t>GCO</t>
        </is>
      </c>
      <c r="E163" s="5" t="inlineStr">
        <is>
          <t>42847922MDD3003</t>
        </is>
      </c>
      <c r="F163" s="16">
        <f>HYPERLINK("https://vtmf.veevavault.com/ui/#doc_info/30927335/1/0", "42847922MDD3003-TUR--Translation and Revision Form-25 Dec 2025 (v1.0)")</f>
        <v/>
      </c>
      <c r="G163" s="5" t="inlineStr">
        <is>
          <t>Central Trial Documents</t>
        </is>
      </c>
      <c r="H163" s="5" t="inlineStr">
        <is>
          <t>Trial Documents</t>
        </is>
      </c>
      <c r="I163" s="5" t="inlineStr">
        <is>
          <t>Translation and Revision Form</t>
        </is>
      </c>
      <c r="J163" s="5" t="inlineStr">
        <is>
          <t>Translation and Revision Form for Protocol Turkey Local Meeting</t>
        </is>
      </c>
      <c r="K163" s="6" t="n">
        <v>42</v>
      </c>
      <c r="L163" s="7" t="n">
        <v>46016</v>
      </c>
      <c r="M163" s="11" t="n">
        <v>46058</v>
      </c>
      <c r="N163" s="5" t="inlineStr">
        <is>
          <t>Approved</t>
        </is>
      </c>
      <c r="O163" s="5" t="inlineStr">
        <is>
          <t>Country</t>
        </is>
      </c>
      <c r="P163" s="5" t="inlineStr">
        <is>
          <t>Türkiye</t>
        </is>
      </c>
      <c r="Q163" s="13" t="inlineStr"/>
      <c r="R163" s="5" t="inlineStr">
        <is>
          <t>Eylem Secil Kurada</t>
        </is>
      </c>
      <c r="S163" s="8" t="n">
        <v>46058.41547453704</v>
      </c>
    </row>
    <row r="164" hidden="1" ht="29" customHeight="1">
      <c r="A164" s="15">
        <f>HYPERLINK("https://vtmf.veevavault.com/ui/#doc_info/30927589/1/0", "VTMF-24928162")</f>
        <v/>
      </c>
      <c r="B164" s="20" t="inlineStr">
        <is>
          <t>Yes</t>
        </is>
      </c>
      <c r="C164" s="5" t="inlineStr">
        <is>
          <t>1.0</t>
        </is>
      </c>
      <c r="D164" s="5" t="inlineStr">
        <is>
          <t>GCO</t>
        </is>
      </c>
      <c r="E164" s="5" t="inlineStr">
        <is>
          <t>42847922MDD3003</t>
        </is>
      </c>
      <c r="F164" s="16">
        <f>HYPERLINK("https://vtmf.veevavault.com/ui/#doc_info/30927589/1/0", "42847922MDD3003-POL-S10-PL10019-Permanent Relocation of Study Drug-01 Dec 2025 (v1.0)")</f>
        <v/>
      </c>
      <c r="G164" s="5" t="inlineStr">
        <is>
          <t>IP and Trial Supplies</t>
        </is>
      </c>
      <c r="H164" s="5" t="inlineStr">
        <is>
          <t>IP Documentation</t>
        </is>
      </c>
      <c r="I164" s="5" t="inlineStr">
        <is>
          <t>Permanent Relocation of Study Drug</t>
        </is>
      </c>
      <c r="J164" s="5" t="inlineStr">
        <is>
          <t>Permanent Relocation of Study Drug</t>
        </is>
      </c>
      <c r="K164" s="6" t="n">
        <v>66</v>
      </c>
      <c r="L164" s="7" t="n">
        <v>45992</v>
      </c>
      <c r="M164" s="11" t="n">
        <v>46058</v>
      </c>
      <c r="N164" s="5" t="inlineStr">
        <is>
          <t>Approved</t>
        </is>
      </c>
      <c r="O164" s="5" t="inlineStr">
        <is>
          <t>Site</t>
        </is>
      </c>
      <c r="P164" s="5" t="inlineStr">
        <is>
          <t>Poland</t>
        </is>
      </c>
      <c r="Q164" s="13" t="inlineStr">
        <is>
          <t>S10-PL10019</t>
        </is>
      </c>
      <c r="R164" s="5" t="inlineStr">
        <is>
          <t>ANNA SOBOLEWSKA</t>
        </is>
      </c>
      <c r="S164" s="8" t="n">
        <v>46058.44864583333</v>
      </c>
    </row>
    <row r="165" hidden="1" ht="29" customHeight="1">
      <c r="A165" s="15">
        <f>HYPERLINK("https://vtmf.veevavault.com/ui/#doc_info/30928936/1/0", "VTMF-24929172")</f>
        <v/>
      </c>
      <c r="B165" s="19" t="inlineStr">
        <is>
          <t>No</t>
        </is>
      </c>
      <c r="C165" s="5" t="inlineStr">
        <is>
          <t>1.0</t>
        </is>
      </c>
      <c r="D165" s="5" t="inlineStr">
        <is>
          <t>GCO</t>
        </is>
      </c>
      <c r="E165" s="5" t="inlineStr">
        <is>
          <t>42847922MDD3003</t>
        </is>
      </c>
      <c r="F165" s="16">
        <f>HYPERLINK("https://vtmf.veevavault.com/ui/#doc_info/30928936/1/0", "42847922MDD3003-SRB-S10-RS10001-Non-IP Shipment Documentation-04 Dec 2025 (v1.0)")</f>
        <v/>
      </c>
      <c r="G165" s="5" t="inlineStr">
        <is>
          <t>IP and Trial Supplies</t>
        </is>
      </c>
      <c r="H165" s="5" t="inlineStr">
        <is>
          <t>Non-IP Documentation</t>
        </is>
      </c>
      <c r="I165" s="5" t="inlineStr">
        <is>
          <t>Non-IP Shipment Documentation</t>
        </is>
      </c>
      <c r="J165" s="5" t="inlineStr">
        <is>
          <t>Non-IP_ASV delivery note_Box containing vials_type 2i and 3i_04Dec2025 ; 04Dec2025</t>
        </is>
      </c>
      <c r="K165" s="6" t="n">
        <v>63</v>
      </c>
      <c r="L165" s="7" t="n">
        <v>45995</v>
      </c>
      <c r="M165" s="11" t="n">
        <v>46058</v>
      </c>
      <c r="N165" s="5" t="inlineStr">
        <is>
          <t>Approved</t>
        </is>
      </c>
      <c r="O165" s="5" t="inlineStr">
        <is>
          <t>Site</t>
        </is>
      </c>
      <c r="P165" s="5" t="inlineStr">
        <is>
          <t>Serbia</t>
        </is>
      </c>
      <c r="Q165" s="13" t="inlineStr">
        <is>
          <t>S10-RS10001</t>
        </is>
      </c>
      <c r="R165" s="5" t="inlineStr">
        <is>
          <t>Marija Nikolic</t>
        </is>
      </c>
      <c r="S165" s="8" t="n">
        <v>46058.58597222222</v>
      </c>
    </row>
    <row r="166" hidden="1" ht="29" customHeight="1">
      <c r="A166" s="15">
        <f>HYPERLINK("https://vtmf.veevavault.com/ui/#doc_info/30929108/1/0", "VTMF-24929266")</f>
        <v/>
      </c>
      <c r="B166" s="19" t="inlineStr">
        <is>
          <t>No</t>
        </is>
      </c>
      <c r="C166" s="5" t="inlineStr">
        <is>
          <t>1.0</t>
        </is>
      </c>
      <c r="D166" s="5" t="inlineStr">
        <is>
          <t>GCO</t>
        </is>
      </c>
      <c r="E166" s="5" t="inlineStr">
        <is>
          <t>42847922MDD3003</t>
        </is>
      </c>
      <c r="F166" s="16">
        <f>HYPERLINK("https://vtmf.veevavault.com/ui/#doc_info/30929108/1/0", "42847922MDD3003-SRB-S10-RS10004-IP Shipment Documentation-09 Dec 2025 (v1.0)")</f>
        <v/>
      </c>
      <c r="G166" s="5" t="inlineStr">
        <is>
          <t>IP and Trial Supplies</t>
        </is>
      </c>
      <c r="H166" s="5" t="inlineStr">
        <is>
          <t>IP Documentation</t>
        </is>
      </c>
      <c r="I166" s="5" t="inlineStr">
        <is>
          <t>IP Shipment Documentation</t>
        </is>
      </c>
      <c r="J166" s="5" t="inlineStr">
        <is>
          <t>IP Shipment_ASV_3927/2025 ; 09Dec2025</t>
        </is>
      </c>
      <c r="K166" s="6" t="n">
        <v>58</v>
      </c>
      <c r="L166" s="7" t="n">
        <v>46000</v>
      </c>
      <c r="M166" s="11" t="n">
        <v>46058</v>
      </c>
      <c r="N166" s="5" t="inlineStr">
        <is>
          <t>Approved</t>
        </is>
      </c>
      <c r="O166" s="5" t="inlineStr">
        <is>
          <t>Site</t>
        </is>
      </c>
      <c r="P166" s="5" t="inlineStr">
        <is>
          <t>Serbia</t>
        </is>
      </c>
      <c r="Q166" s="13" t="inlineStr">
        <is>
          <t>S10-RS10004</t>
        </is>
      </c>
      <c r="R166" s="5" t="inlineStr">
        <is>
          <t>Marija Nikolic</t>
        </is>
      </c>
      <c r="S166" s="8" t="n">
        <v>46058.59601851852</v>
      </c>
    </row>
    <row r="167" hidden="1" ht="29" customHeight="1">
      <c r="A167" s="15">
        <f>HYPERLINK("https://vtmf.veevavault.com/ui/#doc_info/30938784/1/0", "VTMF-24937608")</f>
        <v/>
      </c>
      <c r="B167" s="20" t="inlineStr">
        <is>
          <t>Yes</t>
        </is>
      </c>
      <c r="C167" s="5" t="inlineStr">
        <is>
          <t>1.0</t>
        </is>
      </c>
      <c r="D167" s="5" t="inlineStr">
        <is>
          <t>GCO</t>
        </is>
      </c>
      <c r="E167" s="5" t="inlineStr">
        <is>
          <t>42847922MDD3003</t>
        </is>
      </c>
      <c r="F167" s="16">
        <f>HYPERLINK("https://vtmf.veevavault.com/ui/#doc_info/30938784/1/0", "42847922MDD3003-BRA-S10-BR10004-Relevant Communications-08 Jan 2026 (v1.0)")</f>
        <v/>
      </c>
      <c r="G167" s="5" t="inlineStr">
        <is>
          <t>Site Management</t>
        </is>
      </c>
      <c r="H167" s="5" t="inlineStr">
        <is>
          <t>General</t>
        </is>
      </c>
      <c r="I167" s="5" t="inlineStr">
        <is>
          <t>Relevant Communications</t>
        </is>
      </c>
      <c r="J167" s="5" t="inlineStr">
        <is>
          <t>S10-BR10013- Email Site Confirmation Letter;  19Jan2026; 08Jan2026</t>
        </is>
      </c>
      <c r="K167" s="6" t="n">
        <v>75</v>
      </c>
      <c r="L167" s="7" t="n">
        <v>46030</v>
      </c>
      <c r="M167" s="11" t="n">
        <v>46105</v>
      </c>
      <c r="N167" s="5" t="inlineStr">
        <is>
          <t>Approved</t>
        </is>
      </c>
      <c r="O167" s="5" t="inlineStr">
        <is>
          <t>Site</t>
        </is>
      </c>
      <c r="P167" s="5" t="inlineStr">
        <is>
          <t>Brazil</t>
        </is>
      </c>
      <c r="Q167" s="13" t="inlineStr">
        <is>
          <t>S10-BR10004</t>
        </is>
      </c>
      <c r="R167" s="5" t="inlineStr">
        <is>
          <t>Samara Pinheiro do Carmo Mendrico</t>
        </is>
      </c>
      <c r="S167" s="8" t="n">
        <v>46059.5990625</v>
      </c>
    </row>
    <row r="168" hidden="1" ht="29" customHeight="1">
      <c r="A168" s="15">
        <f>HYPERLINK("https://vtmf.veevavault.com/ui/#doc_info/30941942/1/0", "VTMF-24939381")</f>
        <v/>
      </c>
      <c r="B168" s="20" t="inlineStr">
        <is>
          <t>Yes</t>
        </is>
      </c>
      <c r="C168" s="5" t="inlineStr">
        <is>
          <t>1.0</t>
        </is>
      </c>
      <c r="D168" s="5" t="inlineStr">
        <is>
          <t>GCO</t>
        </is>
      </c>
      <c r="E168" s="5" t="inlineStr">
        <is>
          <t>42847922MDD3003</t>
        </is>
      </c>
      <c r="F168" s="16">
        <f>HYPERLINK("https://vtmf.veevavault.com/ui/#doc_info/30941942/1/0", "42847922MDD3003-MEX-S10-MX10004-Relevant Communications-29 Dec 2025 (v1.0)")</f>
        <v/>
      </c>
      <c r="G168" s="5" t="inlineStr">
        <is>
          <t>Site Management</t>
        </is>
      </c>
      <c r="H168" s="5" t="inlineStr">
        <is>
          <t>General</t>
        </is>
      </c>
      <c r="I168" s="5" t="inlineStr">
        <is>
          <t>Relevant Communications</t>
        </is>
      </c>
      <c r="J168" s="5" t="inlineStr">
        <is>
          <t>AoR_Implementation letter_ICF Part 2 v6.0 MX-1.0_29Dec2025</t>
        </is>
      </c>
      <c r="K168" s="6" t="n">
        <v>39</v>
      </c>
      <c r="L168" s="7" t="n">
        <v>46020</v>
      </c>
      <c r="M168" s="11" t="n">
        <v>46059</v>
      </c>
      <c r="N168" s="5" t="inlineStr">
        <is>
          <t>Approved</t>
        </is>
      </c>
      <c r="O168" s="5" t="inlineStr">
        <is>
          <t>Site</t>
        </is>
      </c>
      <c r="P168" s="5" t="inlineStr">
        <is>
          <t>Mexico</t>
        </is>
      </c>
      <c r="Q168" s="13" t="inlineStr">
        <is>
          <t>S10-MX10004</t>
        </is>
      </c>
      <c r="R168" s="5" t="inlineStr">
        <is>
          <t>Karla Melisa Rodríguez Bautista</t>
        </is>
      </c>
      <c r="S168" s="8" t="n">
        <v>46059.783125</v>
      </c>
    </row>
    <row r="169" hidden="1" ht="29" customHeight="1">
      <c r="A169" s="15">
        <f>HYPERLINK("https://vtmf.veevavault.com/ui/#doc_info/30949844/1/0", "VTMF-24945970")</f>
        <v/>
      </c>
      <c r="B169" s="19" t="inlineStr">
        <is>
          <t>No</t>
        </is>
      </c>
      <c r="C169" s="5" t="inlineStr">
        <is>
          <t>1.0</t>
        </is>
      </c>
      <c r="D169" s="5" t="inlineStr">
        <is>
          <t>GCO</t>
        </is>
      </c>
      <c r="E169" s="5" t="inlineStr">
        <is>
          <t>42847922MDD3003</t>
        </is>
      </c>
      <c r="F169" s="16">
        <f>HYPERLINK("https://vtmf.veevavault.com/ui/#doc_info/30949844/1/0", "42847922MDD3003-CZE-S10-CZ10011-Temperature Monitor Validation/Calibration Cert.-23 Jan 2025 (v1.0)")</f>
        <v/>
      </c>
      <c r="G169" s="5" t="inlineStr">
        <is>
          <t>IP and Trial Supplies</t>
        </is>
      </c>
      <c r="H169" s="5" t="inlineStr">
        <is>
          <t>Storage</t>
        </is>
      </c>
      <c r="I169" s="5" t="inlineStr">
        <is>
          <t>Temperature Monitor Validation/Calibration Certificates</t>
        </is>
      </c>
      <c r="J169" s="5" t="inlineStr">
        <is>
          <t>Calibration certificate_FREEZER_23Jan2025</t>
        </is>
      </c>
      <c r="K169" s="6" t="n">
        <v>382</v>
      </c>
      <c r="L169" s="7" t="n">
        <v>45680</v>
      </c>
      <c r="M169" s="11" t="n">
        <v>46062</v>
      </c>
      <c r="N169" s="5" t="inlineStr">
        <is>
          <t>Approved</t>
        </is>
      </c>
      <c r="O169" s="5" t="inlineStr">
        <is>
          <t>Site</t>
        </is>
      </c>
      <c r="P169" s="5" t="inlineStr">
        <is>
          <t>Czech Republic</t>
        </is>
      </c>
      <c r="Q169" s="13" t="inlineStr">
        <is>
          <t>S10-CZ10011</t>
        </is>
      </c>
      <c r="R169" s="5" t="inlineStr">
        <is>
          <t>Vera Matousková</t>
        </is>
      </c>
      <c r="S169" s="8" t="n">
        <v>46062.57910879629</v>
      </c>
    </row>
    <row r="170" hidden="1" ht="29" customHeight="1">
      <c r="A170" s="15">
        <f>HYPERLINK("https://vtmf.veevavault.com/ui/#doc_info/30950371/1/0", "VTMF-24946444")</f>
        <v/>
      </c>
      <c r="B170" s="19" t="inlineStr">
        <is>
          <t>No</t>
        </is>
      </c>
      <c r="C170" s="5" t="inlineStr">
        <is>
          <t>1.0</t>
        </is>
      </c>
      <c r="D170" s="5" t="inlineStr">
        <is>
          <t>GCO</t>
        </is>
      </c>
      <c r="E170" s="5" t="inlineStr">
        <is>
          <t>42847922MDD3003</t>
        </is>
      </c>
      <c r="F170" s="16">
        <f>HYPERLINK("https://vtmf.veevavault.com/ui/#doc_info/30950371/1/0", "42847922MDD3003-ROU--Insurance (v1.0)")</f>
        <v/>
      </c>
      <c r="G170" s="5" t="inlineStr">
        <is>
          <t>Central Trial Documents</t>
        </is>
      </c>
      <c r="H170" s="5" t="inlineStr">
        <is>
          <t>Trial Documents</t>
        </is>
      </c>
      <c r="I170" s="5" t="inlineStr">
        <is>
          <t>Insurance</t>
        </is>
      </c>
      <c r="J170" s="5" t="inlineStr">
        <is>
          <t>42847922MDD3003-ROU--Renewal Insurance Valid From 01Mar2026 Until 01Mar2027_issued 31Dec2025</t>
        </is>
      </c>
      <c r="K170" s="6" t="n">
        <v>40</v>
      </c>
      <c r="L170" s="7" t="n">
        <v>46022</v>
      </c>
      <c r="M170" s="11" t="n">
        <v>46062</v>
      </c>
      <c r="N170" s="5" t="inlineStr">
        <is>
          <t>Approved</t>
        </is>
      </c>
      <c r="O170" s="5" t="inlineStr">
        <is>
          <t>Country</t>
        </is>
      </c>
      <c r="P170" s="5" t="inlineStr">
        <is>
          <t>Romania</t>
        </is>
      </c>
      <c r="Q170" s="13" t="inlineStr"/>
      <c r="R170" s="5" t="inlineStr">
        <is>
          <t>PATRICIA CAHALEY</t>
        </is>
      </c>
      <c r="S170" s="8" t="n">
        <v>46062.62133101852</v>
      </c>
    </row>
    <row r="171" hidden="1" ht="29" customHeight="1">
      <c r="A171" s="15">
        <f>HYPERLINK("https://vtmf.veevavault.com/ui/#doc_info/30952066/1/0", "VTMF-24947893")</f>
        <v/>
      </c>
      <c r="B171" s="20" t="inlineStr">
        <is>
          <t>Yes</t>
        </is>
      </c>
      <c r="C171" s="5" t="inlineStr">
        <is>
          <t>1.0</t>
        </is>
      </c>
      <c r="D171" s="5" t="inlineStr">
        <is>
          <t>GCO</t>
        </is>
      </c>
      <c r="E171" s="5" t="inlineStr">
        <is>
          <t>42847922MDD3003</t>
        </is>
      </c>
      <c r="F171" s="16">
        <f>HYPERLINK("https://vtmf.veevavault.com/ui/#doc_info/30952066/1/0", "42847922MDD3003-USA-S10-US10174-Form FDA1572-16 Oct 2025 (v1.0)")</f>
        <v/>
      </c>
      <c r="G171" s="5" t="inlineStr">
        <is>
          <t>Site Management</t>
        </is>
      </c>
      <c r="H171" s="5" t="inlineStr">
        <is>
          <t>Site Set-up Documentation</t>
        </is>
      </c>
      <c r="I171" s="5" t="inlineStr">
        <is>
          <t>Form FDA1572</t>
        </is>
      </c>
      <c r="J171" s="5" t="inlineStr">
        <is>
          <t>1572_Revised</t>
        </is>
      </c>
      <c r="K171" s="6" t="n">
        <v>116</v>
      </c>
      <c r="L171" s="7" t="n">
        <v>45946</v>
      </c>
      <c r="M171" s="11" t="n">
        <v>46062</v>
      </c>
      <c r="N171" s="5" t="inlineStr">
        <is>
          <t>Approved</t>
        </is>
      </c>
      <c r="O171" s="5" t="inlineStr">
        <is>
          <t>Site</t>
        </is>
      </c>
      <c r="P171" s="5" t="inlineStr">
        <is>
          <t>United States</t>
        </is>
      </c>
      <c r="Q171" s="13" t="inlineStr">
        <is>
          <t>S10-US10174</t>
        </is>
      </c>
      <c r="R171" s="5" t="inlineStr">
        <is>
          <t>Daniel Woodland</t>
        </is>
      </c>
      <c r="S171" s="8" t="n">
        <v>46062.76011574074</v>
      </c>
    </row>
    <row r="172" hidden="1" ht="29" customHeight="1">
      <c r="A172" s="15">
        <f>HYPERLINK("https://vtmf.veevavault.com/ui/#doc_info/30952661/1/0", "VTMF-24948358")</f>
        <v/>
      </c>
      <c r="B172" s="20" t="inlineStr">
        <is>
          <t>Yes</t>
        </is>
      </c>
      <c r="C172" s="5" t="inlineStr">
        <is>
          <t>1.0</t>
        </is>
      </c>
      <c r="D172" s="5" t="inlineStr">
        <is>
          <t>GCO</t>
        </is>
      </c>
      <c r="E172" s="5" t="inlineStr">
        <is>
          <t>42847922MDD3003</t>
        </is>
      </c>
      <c r="F172" s="16">
        <f>HYPERLINK("https://vtmf.veevavault.com/ui/#doc_info/30952661/1/0", "42847922MDD3003-BRA-S10-BR10010-Financial Disclosure Form-11 Dec 2025 (v1.0)")</f>
        <v/>
      </c>
      <c r="G172" s="5" t="inlineStr">
        <is>
          <t>Site Management</t>
        </is>
      </c>
      <c r="H172" s="5" t="inlineStr">
        <is>
          <t>Site Set-up Documentation</t>
        </is>
      </c>
      <c r="I172" s="5" t="inlineStr">
        <is>
          <t>Financial Disclosure Form</t>
        </is>
      </c>
      <c r="J172" s="5" t="inlineStr">
        <is>
          <t>IFDF_Asato, L_Initial ; 11Dec2025</t>
        </is>
      </c>
      <c r="K172" s="6" t="n">
        <v>60</v>
      </c>
      <c r="L172" s="7" t="n">
        <v>46002</v>
      </c>
      <c r="M172" s="11" t="n">
        <v>46062</v>
      </c>
      <c r="N172" s="5" t="inlineStr">
        <is>
          <t>Approved</t>
        </is>
      </c>
      <c r="O172" s="5" t="inlineStr">
        <is>
          <t>Site</t>
        </is>
      </c>
      <c r="P172" s="5" t="inlineStr">
        <is>
          <t>Brazil</t>
        </is>
      </c>
      <c r="Q172" s="13" t="inlineStr">
        <is>
          <t>S10-BR10010</t>
        </is>
      </c>
      <c r="R172" s="5" t="inlineStr">
        <is>
          <t>Maria Gabriela Mouallem Brandão</t>
        </is>
      </c>
      <c r="S172" s="8" t="n">
        <v>46062.82107638889</v>
      </c>
    </row>
    <row r="173" hidden="1" ht="29" customHeight="1">
      <c r="A173" s="15">
        <f>HYPERLINK("https://vtmf.veevavault.com/ui/#doc_info/30922310/1/0", "VTMF-24948426")</f>
        <v/>
      </c>
      <c r="B173" s="19" t="inlineStr">
        <is>
          <t>No</t>
        </is>
      </c>
      <c r="C173" s="5" t="inlineStr">
        <is>
          <t>1.0</t>
        </is>
      </c>
      <c r="D173" s="5" t="inlineStr">
        <is>
          <t>GCO</t>
        </is>
      </c>
      <c r="E173" s="5" t="inlineStr">
        <is>
          <t>42847922MDD3003</t>
        </is>
      </c>
      <c r="F173" s="16">
        <f>HYPERLINK("https://vtmf.veevavault.com/ui/#doc_info/30922310/1/0", "42847922MDD3003-USA-S10-US10041-Certificate of Destruction-14 Jan 2026 (v1.0)")</f>
        <v/>
      </c>
      <c r="G173" s="5" t="inlineStr">
        <is>
          <t>IP and Trial Supplies</t>
        </is>
      </c>
      <c r="H173" s="5" t="inlineStr">
        <is>
          <t>IP Documentation</t>
        </is>
      </c>
      <c r="I173" s="5" t="inlineStr">
        <is>
          <t>Certificate of Destruction</t>
        </is>
      </c>
      <c r="J173" s="5" t="inlineStr">
        <is>
          <t>IPDF</t>
        </is>
      </c>
      <c r="K173" s="6" t="n">
        <v>47</v>
      </c>
      <c r="L173" s="7" t="n">
        <v>46036</v>
      </c>
      <c r="M173" s="11" t="n">
        <v>46083</v>
      </c>
      <c r="N173" s="5" t="inlineStr">
        <is>
          <t>Approved</t>
        </is>
      </c>
      <c r="O173" s="5" t="inlineStr">
        <is>
          <t>Site</t>
        </is>
      </c>
      <c r="P173" s="5" t="inlineStr">
        <is>
          <t>United States</t>
        </is>
      </c>
      <c r="Q173" s="13" t="inlineStr">
        <is>
          <t>S10-US10041</t>
        </is>
      </c>
      <c r="R173" s="5" t="inlineStr">
        <is>
          <t>Juliet Leshner</t>
        </is>
      </c>
      <c r="S173" s="8" t="n">
        <v>46057.89722222222</v>
      </c>
    </row>
    <row r="174" hidden="1" ht="29" customHeight="1">
      <c r="A174" s="15">
        <f>HYPERLINK("https://vtmf.veevavault.com/ui/#doc_info/30922315/1/0", "VTMF-24948444")</f>
        <v/>
      </c>
      <c r="B174" s="19" t="inlineStr">
        <is>
          <t>No</t>
        </is>
      </c>
      <c r="C174" s="5" t="inlineStr">
        <is>
          <t>1.0</t>
        </is>
      </c>
      <c r="D174" s="5" t="inlineStr">
        <is>
          <t>GCO</t>
        </is>
      </c>
      <c r="E174" s="5" t="inlineStr">
        <is>
          <t>42847922MDD3003</t>
        </is>
      </c>
      <c r="F174" s="16">
        <f>HYPERLINK("https://vtmf.veevavault.com/ui/#doc_info/30922315/1/0", "42847922MDD3003-USA-S10-US10041-Certificate of Destruction-14 Jan 2026 (v1.0)")</f>
        <v/>
      </c>
      <c r="G174" s="5" t="inlineStr">
        <is>
          <t>IP and Trial Supplies</t>
        </is>
      </c>
      <c r="H174" s="5" t="inlineStr">
        <is>
          <t>IP Documentation</t>
        </is>
      </c>
      <c r="I174" s="5" t="inlineStr">
        <is>
          <t>Certificate of Destruction</t>
        </is>
      </c>
      <c r="J174" s="5" t="inlineStr">
        <is>
          <t>IPDF</t>
        </is>
      </c>
      <c r="K174" s="6" t="n">
        <v>47</v>
      </c>
      <c r="L174" s="7" t="n">
        <v>46036</v>
      </c>
      <c r="M174" s="11" t="n">
        <v>46083</v>
      </c>
      <c r="N174" s="5" t="inlineStr">
        <is>
          <t>Approved</t>
        </is>
      </c>
      <c r="O174" s="5" t="inlineStr">
        <is>
          <t>Site</t>
        </is>
      </c>
      <c r="P174" s="5" t="inlineStr">
        <is>
          <t>United States</t>
        </is>
      </c>
      <c r="Q174" s="13" t="inlineStr">
        <is>
          <t>S10-US10041</t>
        </is>
      </c>
      <c r="R174" s="5" t="inlineStr">
        <is>
          <t>Juliet Leshner</t>
        </is>
      </c>
      <c r="S174" s="8" t="n">
        <v>46057.89724537037</v>
      </c>
    </row>
    <row r="175" hidden="1" ht="29" customHeight="1">
      <c r="A175" s="15">
        <f>HYPERLINK("https://vtmf.veevavault.com/ui/#doc_info/30922318/1/0", "VTMF-24948719")</f>
        <v/>
      </c>
      <c r="B175" s="19" t="inlineStr">
        <is>
          <t>No</t>
        </is>
      </c>
      <c r="C175" s="5" t="inlineStr">
        <is>
          <t>1.0</t>
        </is>
      </c>
      <c r="D175" s="5" t="inlineStr">
        <is>
          <t>GCO</t>
        </is>
      </c>
      <c r="E175" s="5" t="inlineStr">
        <is>
          <t>42847922MDD3003</t>
        </is>
      </c>
      <c r="F175" s="16">
        <f>HYPERLINK("https://vtmf.veevavault.com/ui/#doc_info/30922318/1/0", "42847922MDD3003-USA-S10-US10083-IP Destruction Form-05 Jan 2026 (v1.0)")</f>
        <v/>
      </c>
      <c r="G175" s="5" t="inlineStr">
        <is>
          <t>IP and Trial Supplies</t>
        </is>
      </c>
      <c r="H175" s="5" t="inlineStr">
        <is>
          <t>IP Documentation</t>
        </is>
      </c>
      <c r="I175" s="5" t="inlineStr">
        <is>
          <t>IP Destruction Form</t>
        </is>
      </c>
      <c r="J175" s="5" t="inlineStr">
        <is>
          <t>IPDF</t>
        </is>
      </c>
      <c r="K175" s="6" t="n">
        <v>35</v>
      </c>
      <c r="L175" s="7" t="n">
        <v>46027</v>
      </c>
      <c r="M175" s="11" t="n">
        <v>46062</v>
      </c>
      <c r="N175" s="5" t="inlineStr">
        <is>
          <t>Approved</t>
        </is>
      </c>
      <c r="O175" s="5" t="inlineStr">
        <is>
          <t>Site</t>
        </is>
      </c>
      <c r="P175" s="5" t="inlineStr">
        <is>
          <t>United States</t>
        </is>
      </c>
      <c r="Q175" s="13" t="inlineStr">
        <is>
          <t>S10-US10083</t>
        </is>
      </c>
      <c r="R175" s="5" t="inlineStr">
        <is>
          <t>Juliet Leshner</t>
        </is>
      </c>
      <c r="S175" s="8" t="n">
        <v>46057.89725694444</v>
      </c>
    </row>
    <row r="176" hidden="1" ht="29" customHeight="1">
      <c r="A176" s="15">
        <f>HYPERLINK("https://vtmf.veevavault.com/ui/#doc_info/30922317/1/0", "VTMF-24948749")</f>
        <v/>
      </c>
      <c r="B176" s="19" t="inlineStr">
        <is>
          <t>No</t>
        </is>
      </c>
      <c r="C176" s="5" t="inlineStr">
        <is>
          <t>1.0</t>
        </is>
      </c>
      <c r="D176" s="5" t="inlineStr">
        <is>
          <t>GCO</t>
        </is>
      </c>
      <c r="E176" s="5" t="inlineStr">
        <is>
          <t>42847922MDD3003</t>
        </is>
      </c>
      <c r="F176" s="16">
        <f>HYPERLINK("https://vtmf.veevavault.com/ui/#doc_info/30922317/1/0", "42847922MDD3003-USA-S10-US10174-IP Destruction Form-31 Dec 2025 (v1.0)")</f>
        <v/>
      </c>
      <c r="G176" s="5" t="inlineStr">
        <is>
          <t>IP and Trial Supplies</t>
        </is>
      </c>
      <c r="H176" s="5" t="inlineStr">
        <is>
          <t>IP Documentation</t>
        </is>
      </c>
      <c r="I176" s="5" t="inlineStr">
        <is>
          <t>IP Destruction Form</t>
        </is>
      </c>
      <c r="J176" s="5" t="inlineStr">
        <is>
          <t>IPDF</t>
        </is>
      </c>
      <c r="K176" s="6" t="n">
        <v>40</v>
      </c>
      <c r="L176" s="7" t="n">
        <v>46022</v>
      </c>
      <c r="M176" s="11" t="n">
        <v>46062</v>
      </c>
      <c r="N176" s="5" t="inlineStr">
        <is>
          <t>Approved</t>
        </is>
      </c>
      <c r="O176" s="5" t="inlineStr">
        <is>
          <t>Site</t>
        </is>
      </c>
      <c r="P176" s="5" t="inlineStr">
        <is>
          <t>United States</t>
        </is>
      </c>
      <c r="Q176" s="13" t="inlineStr">
        <is>
          <t>S10-US10174</t>
        </is>
      </c>
      <c r="R176" s="5" t="inlineStr">
        <is>
          <t>Juliet Leshner</t>
        </is>
      </c>
      <c r="S176" s="8" t="n">
        <v>46057.89725694444</v>
      </c>
    </row>
    <row r="177" hidden="1" ht="29" customHeight="1">
      <c r="A177" s="15">
        <f>HYPERLINK("https://vtmf.veevavault.com/ui/#doc_info/30922313/1/0", "VTMF-24948762")</f>
        <v/>
      </c>
      <c r="B177" s="19" t="inlineStr">
        <is>
          <t>No</t>
        </is>
      </c>
      <c r="C177" s="5" t="inlineStr">
        <is>
          <t>1.0</t>
        </is>
      </c>
      <c r="D177" s="5" t="inlineStr">
        <is>
          <t>GCO</t>
        </is>
      </c>
      <c r="E177" s="5" t="inlineStr">
        <is>
          <t>42847922MDD3003</t>
        </is>
      </c>
      <c r="F177" s="16">
        <f>HYPERLINK("https://vtmf.veevavault.com/ui/#doc_info/30922313/1/0", "42847922MDD3003-USA-S10-US10084-IP Destruction Form-06 Jan 2026 (v1.0)")</f>
        <v/>
      </c>
      <c r="G177" s="5" t="inlineStr">
        <is>
          <t>IP and Trial Supplies</t>
        </is>
      </c>
      <c r="H177" s="5" t="inlineStr">
        <is>
          <t>IP Documentation</t>
        </is>
      </c>
      <c r="I177" s="5" t="inlineStr">
        <is>
          <t>IP Destruction Form</t>
        </is>
      </c>
      <c r="J177" s="5" t="inlineStr">
        <is>
          <t>IPDF</t>
        </is>
      </c>
      <c r="K177" s="6" t="n">
        <v>34</v>
      </c>
      <c r="L177" s="7" t="n">
        <v>46028</v>
      </c>
      <c r="M177" s="11" t="n">
        <v>46062</v>
      </c>
      <c r="N177" s="5" t="inlineStr">
        <is>
          <t>Approved</t>
        </is>
      </c>
      <c r="O177" s="5" t="inlineStr">
        <is>
          <t>Site</t>
        </is>
      </c>
      <c r="P177" s="5" t="inlineStr">
        <is>
          <t>United States</t>
        </is>
      </c>
      <c r="Q177" s="13" t="inlineStr">
        <is>
          <t>S10-US10084</t>
        </is>
      </c>
      <c r="R177" s="5" t="inlineStr">
        <is>
          <t>Juliet Leshner</t>
        </is>
      </c>
      <c r="S177" s="8" t="n">
        <v>46057.89724537037</v>
      </c>
    </row>
    <row r="178" hidden="1" ht="29" customHeight="1">
      <c r="A178" s="15">
        <f>HYPERLINK("https://vtmf.veevavault.com/ui/#doc_info/30922316/1/0", "VTMF-24948766")</f>
        <v/>
      </c>
      <c r="B178" s="19" t="inlineStr">
        <is>
          <t>No</t>
        </is>
      </c>
      <c r="C178" s="5" t="inlineStr">
        <is>
          <t>1.0</t>
        </is>
      </c>
      <c r="D178" s="5" t="inlineStr">
        <is>
          <t>GCO</t>
        </is>
      </c>
      <c r="E178" s="5" t="inlineStr">
        <is>
          <t>42847922MDD3003</t>
        </is>
      </c>
      <c r="F178" s="16">
        <f>HYPERLINK("https://vtmf.veevavault.com/ui/#doc_info/30922316/1/0", "42847922MDD3003-USA-S10-US10046-Certificate of Destruction-05 Jan 2026 (v1.0)")</f>
        <v/>
      </c>
      <c r="G178" s="5" t="inlineStr">
        <is>
          <t>IP and Trial Supplies</t>
        </is>
      </c>
      <c r="H178" s="5" t="inlineStr">
        <is>
          <t>IP Documentation</t>
        </is>
      </c>
      <c r="I178" s="5" t="inlineStr">
        <is>
          <t>Certificate of Destruction</t>
        </is>
      </c>
      <c r="J178" s="5" t="inlineStr">
        <is>
          <t>IPDF</t>
        </is>
      </c>
      <c r="K178" s="6" t="n">
        <v>35</v>
      </c>
      <c r="L178" s="7" t="n">
        <v>46027</v>
      </c>
      <c r="M178" s="11" t="n">
        <v>46062</v>
      </c>
      <c r="N178" s="5" t="inlineStr">
        <is>
          <t>Approved</t>
        </is>
      </c>
      <c r="O178" s="5" t="inlineStr">
        <is>
          <t>Site</t>
        </is>
      </c>
      <c r="P178" s="5" t="inlineStr">
        <is>
          <t>United States</t>
        </is>
      </c>
      <c r="Q178" s="13" t="inlineStr">
        <is>
          <t>S10-US10046</t>
        </is>
      </c>
      <c r="R178" s="5" t="inlineStr">
        <is>
          <t>Juliet Leshner</t>
        </is>
      </c>
      <c r="S178" s="8" t="n">
        <v>46057.89725694444</v>
      </c>
    </row>
    <row r="179" hidden="1" ht="58" customHeight="1">
      <c r="A179" s="15">
        <f>HYPERLINK("https://vtmf.veevavault.com/ui/#doc_info/30957210/1/0", "VTMF-24952476")</f>
        <v/>
      </c>
      <c r="B179" s="19" t="inlineStr">
        <is>
          <t>No</t>
        </is>
      </c>
      <c r="C179" s="5" t="inlineStr">
        <is>
          <t>1.0</t>
        </is>
      </c>
      <c r="D179" s="5" t="inlineStr">
        <is>
          <t>GCO</t>
        </is>
      </c>
      <c r="E179" s="5" t="inlineStr">
        <is>
          <t>42756493BLC4013, 42847922MDD3003, 80202135CDP3001, AC-055-315, AC-065A310, CNTO1959CRD3001, NOPRODPAPUH3001</t>
        </is>
      </c>
      <c r="F179" s="16">
        <f>HYPERLINK("https://vtmf.veevavault.com/ui/#doc_info/30957210/1/0", "42756493BLC4013-COL--Insurance (v1.0)")</f>
        <v/>
      </c>
      <c r="G179" s="5" t="inlineStr">
        <is>
          <t>Central Trial Documents</t>
        </is>
      </c>
      <c r="H179" s="5" t="inlineStr">
        <is>
          <t>Trial Documents</t>
        </is>
      </c>
      <c r="I179" s="5" t="inlineStr">
        <is>
          <t>Insurance</t>
        </is>
      </c>
      <c r="J179" s="5" t="inlineStr">
        <is>
          <t>Policy for Colombia Nr. 76395_Valid From 01Mar2026 Until 01Mar2027_issued 06JAN2026- PLEASE DO NOT DELETE THIS POLICY!!!</t>
        </is>
      </c>
      <c r="K179" s="6" t="n">
        <v>35</v>
      </c>
      <c r="L179" s="7" t="n">
        <v>46028</v>
      </c>
      <c r="M179" s="11" t="n">
        <v>46063</v>
      </c>
      <c r="N179" s="5" t="inlineStr">
        <is>
          <t>Approved</t>
        </is>
      </c>
      <c r="O179" s="5" t="inlineStr">
        <is>
          <t>Country</t>
        </is>
      </c>
      <c r="P179" s="5" t="inlineStr">
        <is>
          <t>Colombia, Colombia, Colombia, Colombia, Colombia, Colombia, Colombia</t>
        </is>
      </c>
      <c r="Q179" s="13" t="inlineStr"/>
      <c r="R179" s="5" t="inlineStr">
        <is>
          <t>IWONA ANNA KAMINSKA</t>
        </is>
      </c>
      <c r="S179" s="8" t="n">
        <v>46063.40834490741</v>
      </c>
    </row>
    <row r="180" hidden="1" ht="72.5" customHeight="1">
      <c r="A180" s="15">
        <f>HYPERLINK("https://vtmf.veevavault.com/ui/#doc_info/30957456/1/0", "VTMF-24952793")</f>
        <v/>
      </c>
      <c r="B180" s="19" t="inlineStr">
        <is>
          <t>No</t>
        </is>
      </c>
      <c r="C180" s="5" t="inlineStr">
        <is>
          <t>1.0</t>
        </is>
      </c>
      <c r="D180" s="5" t="inlineStr">
        <is>
          <t>GCO</t>
        </is>
      </c>
      <c r="E180" s="5" t="inlineStr">
        <is>
          <t>42847922MDD3003, 70033093AFL3002, 70033093STR3001, 80202135SLE3001, AC-055-315, AC-065A203, CNTO1959CRD3001, CNTO1959PSA3004, CNTO1959UCO3001</t>
        </is>
      </c>
      <c r="F180" s="16">
        <f>HYPERLINK("https://vtmf.veevavault.com/ui/#doc_info/30957456/1/0", "42847922MDD3003-SRB--Insurance (v1.0)")</f>
        <v/>
      </c>
      <c r="G180" s="5" t="inlineStr">
        <is>
          <t>Central Trial Documents</t>
        </is>
      </c>
      <c r="H180" s="5" t="inlineStr">
        <is>
          <t>Trial Documents</t>
        </is>
      </c>
      <c r="I180" s="5" t="inlineStr">
        <is>
          <t>Insurance</t>
        </is>
      </c>
      <c r="J180" s="5" t="inlineStr">
        <is>
          <t>Serbia_CT Policy Conditions_Pol #100482011_issued 09Jan2026-- PLEASE DO NOT DELETE THIS POLICY!!!</t>
        </is>
      </c>
      <c r="K180" s="6" t="n">
        <v>32</v>
      </c>
      <c r="L180" s="7" t="n">
        <v>46031</v>
      </c>
      <c r="M180" s="11" t="n">
        <v>46063</v>
      </c>
      <c r="N180" s="5" t="inlineStr">
        <is>
          <t>Approved</t>
        </is>
      </c>
      <c r="O180" s="5" t="inlineStr">
        <is>
          <t>Country</t>
        </is>
      </c>
      <c r="P180" s="5" t="inlineStr">
        <is>
          <t>Serbia, Serbia, Serbia, Serbia, Serbia, Serbia, Serbia, Serbia, Serbia</t>
        </is>
      </c>
      <c r="Q180" s="13" t="inlineStr"/>
      <c r="R180" s="5" t="inlineStr">
        <is>
          <t>IWONA ANNA KAMINSKA</t>
        </is>
      </c>
      <c r="S180" s="8" t="n">
        <v>46063.43730324074</v>
      </c>
    </row>
    <row r="181" hidden="1" ht="72.5" customHeight="1">
      <c r="A181" s="15">
        <f>HYPERLINK("https://vtmf.veevavault.com/ui/#doc_info/30957457/1/0", "VTMF-24952794")</f>
        <v/>
      </c>
      <c r="B181" s="19" t="inlineStr">
        <is>
          <t>No</t>
        </is>
      </c>
      <c r="C181" s="5" t="inlineStr">
        <is>
          <t>1.0</t>
        </is>
      </c>
      <c r="D181" s="5" t="inlineStr">
        <is>
          <t>GCO</t>
        </is>
      </c>
      <c r="E181" s="5" t="inlineStr">
        <is>
          <t>42847922MDD3003, 70033093AFL3002, 70033093STR3001, 80202135SLE3001, AC-055-315, AC-065A203, CNTO1959CRD3001, CNTO1959PSA3004, CNTO1959UCO3001</t>
        </is>
      </c>
      <c r="F181" s="16">
        <f>HYPERLINK("https://vtmf.veevavault.com/ui/#doc_info/30957457/1/0", "42847922MDD3003-SRB--Insurance (v1.0)")</f>
        <v/>
      </c>
      <c r="G181" s="5" t="inlineStr">
        <is>
          <t>Central Trial Documents</t>
        </is>
      </c>
      <c r="H181" s="5" t="inlineStr">
        <is>
          <t>Trial Documents</t>
        </is>
      </c>
      <c r="I181" s="5" t="inlineStr">
        <is>
          <t>Insurance</t>
        </is>
      </c>
      <c r="J181" s="5" t="inlineStr">
        <is>
          <t>Serbia_CT Policy_Pol #100482011_issued 09Jan2026-- PLEASE DO NOT DELETE THIS POLICY!!!</t>
        </is>
      </c>
      <c r="K181" s="6" t="n">
        <v>32</v>
      </c>
      <c r="L181" s="7" t="n">
        <v>46031</v>
      </c>
      <c r="M181" s="11" t="n">
        <v>46063</v>
      </c>
      <c r="N181" s="5" t="inlineStr">
        <is>
          <t>Approved</t>
        </is>
      </c>
      <c r="O181" s="5" t="inlineStr">
        <is>
          <t>Country</t>
        </is>
      </c>
      <c r="P181" s="5" t="inlineStr">
        <is>
          <t>Serbia, Serbia, Serbia, Serbia, Serbia, Serbia, Serbia, Serbia, Serbia</t>
        </is>
      </c>
      <c r="Q181" s="13" t="inlineStr"/>
      <c r="R181" s="5" t="inlineStr">
        <is>
          <t>IWONA ANNA KAMINSKA</t>
        </is>
      </c>
      <c r="S181" s="8" t="n">
        <v>46063.43730324074</v>
      </c>
    </row>
    <row r="182" hidden="1" ht="29" customHeight="1">
      <c r="A182" s="15">
        <f>HYPERLINK("https://vtmf.veevavault.com/ui/#doc_info/30959088/1/0", "VTMF-24954067")</f>
        <v/>
      </c>
      <c r="B182" s="20" t="inlineStr">
        <is>
          <t>Yes</t>
        </is>
      </c>
      <c r="C182" s="5" t="inlineStr">
        <is>
          <t>1.0</t>
        </is>
      </c>
      <c r="D182" s="5" t="inlineStr">
        <is>
          <t>GCO</t>
        </is>
      </c>
      <c r="E182" s="5" t="inlineStr">
        <is>
          <t>42847922MDD3003</t>
        </is>
      </c>
      <c r="F182" s="16">
        <f>HYPERLINK("https://vtmf.veevavault.com/ui/#doc_info/30959088/1/0", "42847922MDD3003-USA-S10-US10021-Relevant Communications-13 Aug 2024 (v1.0)")</f>
        <v/>
      </c>
      <c r="G182" s="5" t="inlineStr">
        <is>
          <t>Site Management</t>
        </is>
      </c>
      <c r="H182" s="5" t="inlineStr">
        <is>
          <t>General</t>
        </is>
      </c>
      <c r="I182" s="5" t="inlineStr">
        <is>
          <t>Relevant Communications</t>
        </is>
      </c>
      <c r="J182" s="5" t="inlineStr">
        <is>
          <t>MDD3003, US10021, subject 0003, ECG's</t>
        </is>
      </c>
      <c r="K182" s="6" t="n">
        <v>546</v>
      </c>
      <c r="L182" s="7" t="n">
        <v>45517</v>
      </c>
      <c r="M182" s="11" t="n">
        <v>46063</v>
      </c>
      <c r="N182" s="5" t="inlineStr">
        <is>
          <t>Approved</t>
        </is>
      </c>
      <c r="O182" s="5" t="inlineStr">
        <is>
          <t>Site</t>
        </is>
      </c>
      <c r="P182" s="5" t="inlineStr">
        <is>
          <t>United States</t>
        </is>
      </c>
      <c r="Q182" s="13" t="inlineStr">
        <is>
          <t>S10-US10021</t>
        </is>
      </c>
      <c r="R182" s="5" t="inlineStr">
        <is>
          <t>Gabriela Dluska</t>
        </is>
      </c>
      <c r="S182" s="8" t="n">
        <v>46063.59819444444</v>
      </c>
    </row>
    <row r="183" hidden="1" ht="29" customHeight="1">
      <c r="A183" s="15">
        <f>HYPERLINK("https://vtmf.veevavault.com/ui/#doc_info/30959089/1/0", "VTMF-24954068")</f>
        <v/>
      </c>
      <c r="B183" s="20" t="inlineStr">
        <is>
          <t>Yes</t>
        </is>
      </c>
      <c r="C183" s="5" t="inlineStr">
        <is>
          <t>1.0</t>
        </is>
      </c>
      <c r="D183" s="5" t="inlineStr">
        <is>
          <t>GCO</t>
        </is>
      </c>
      <c r="E183" s="5" t="inlineStr">
        <is>
          <t>42847922MDD3003</t>
        </is>
      </c>
      <c r="F183" s="16">
        <f>HYPERLINK("https://vtmf.veevavault.com/ui/#doc_info/30959089/1/0", "42847922MDD3003---Relevant Communications-13 Aug 2024 (v1.0)")</f>
        <v/>
      </c>
      <c r="G183" s="5" t="inlineStr">
        <is>
          <t>Trial Management</t>
        </is>
      </c>
      <c r="H183" s="5" t="inlineStr">
        <is>
          <t>General</t>
        </is>
      </c>
      <c r="I183" s="5" t="inlineStr">
        <is>
          <t>Relevant Communications</t>
        </is>
      </c>
      <c r="J183" s="5" t="inlineStr">
        <is>
          <t>MDD3003: quick question re CTNI feedback, following 12-Aug JJIM/Cronos call</t>
        </is>
      </c>
      <c r="K183" s="6" t="n">
        <v>546</v>
      </c>
      <c r="L183" s="7" t="n">
        <v>45517</v>
      </c>
      <c r="M183" s="11" t="n">
        <v>46063</v>
      </c>
      <c r="N183" s="5" t="inlineStr">
        <is>
          <t>Approved</t>
        </is>
      </c>
      <c r="O183" s="5" t="inlineStr">
        <is>
          <t>Study</t>
        </is>
      </c>
      <c r="P183" s="5" t="inlineStr"/>
      <c r="Q183" s="13" t="inlineStr"/>
      <c r="R183" s="5" t="inlineStr">
        <is>
          <t>Gabriela Dluska</t>
        </is>
      </c>
      <c r="S183" s="8" t="n">
        <v>46063.59819444444</v>
      </c>
    </row>
    <row r="184" hidden="1" ht="29" customHeight="1">
      <c r="A184" s="15">
        <f>HYPERLINK("https://vtmf.veevavault.com/ui/#doc_info/30959090/1/0", "VTMF-24954069")</f>
        <v/>
      </c>
      <c r="B184" s="20" t="inlineStr">
        <is>
          <t>Yes</t>
        </is>
      </c>
      <c r="C184" s="5" t="inlineStr">
        <is>
          <t>1.0</t>
        </is>
      </c>
      <c r="D184" s="5" t="inlineStr">
        <is>
          <t>GCO</t>
        </is>
      </c>
      <c r="E184" s="5" t="inlineStr">
        <is>
          <t>42847922MDD3003</t>
        </is>
      </c>
      <c r="F184" s="16">
        <f>HYPERLINK("https://vtmf.veevavault.com/ui/#doc_info/30959090/1/0", "42847922MDD3003-USA-S10-US10070-Relevant Communications-08 Aug 2024 (v1.0)")</f>
        <v/>
      </c>
      <c r="G184" s="5" t="inlineStr">
        <is>
          <t>Site Management</t>
        </is>
      </c>
      <c r="H184" s="5" t="inlineStr">
        <is>
          <t>General</t>
        </is>
      </c>
      <c r="I184" s="5" t="inlineStr">
        <is>
          <t>Relevant Communications</t>
        </is>
      </c>
      <c r="J184" s="5" t="inlineStr">
        <is>
          <t>MDD3003 -Site US10070 - Dr. Mezhebovsky- SIV - Study Scientist</t>
        </is>
      </c>
      <c r="K184" s="6" t="n">
        <v>551</v>
      </c>
      <c r="L184" s="7" t="n">
        <v>45512</v>
      </c>
      <c r="M184" s="11" t="n">
        <v>46063</v>
      </c>
      <c r="N184" s="5" t="inlineStr">
        <is>
          <t>Approved</t>
        </is>
      </c>
      <c r="O184" s="5" t="inlineStr">
        <is>
          <t>Site</t>
        </is>
      </c>
      <c r="P184" s="5" t="inlineStr">
        <is>
          <t>United States</t>
        </is>
      </c>
      <c r="Q184" s="13" t="inlineStr">
        <is>
          <t>S10-US10070</t>
        </is>
      </c>
      <c r="R184" s="5" t="inlineStr">
        <is>
          <t>Gabriela Dluska</t>
        </is>
      </c>
      <c r="S184" s="8" t="n">
        <v>46063.59819444444</v>
      </c>
    </row>
    <row r="185" hidden="1" ht="29" customHeight="1">
      <c r="A185" s="15">
        <f>HYPERLINK("https://vtmf.veevavault.com/ui/#doc_info/30959091/1/0", "VTMF-24954070")</f>
        <v/>
      </c>
      <c r="B185" s="20" t="inlineStr">
        <is>
          <t>Yes</t>
        </is>
      </c>
      <c r="C185" s="5" t="inlineStr">
        <is>
          <t>1.0</t>
        </is>
      </c>
      <c r="D185" s="5" t="inlineStr">
        <is>
          <t>GCO</t>
        </is>
      </c>
      <c r="E185" s="5" t="inlineStr">
        <is>
          <t>42847922MDD3003</t>
        </is>
      </c>
      <c r="F185" s="16">
        <f>HYPERLINK("https://vtmf.veevavault.com/ui/#doc_info/30959091/1/0", "42847922MDD3003-USA-S10-US10106-Relevant Communications-26 Aug 2024 (v1.0)")</f>
        <v/>
      </c>
      <c r="G185" s="5" t="inlineStr">
        <is>
          <t>Site Management</t>
        </is>
      </c>
      <c r="H185" s="5" t="inlineStr">
        <is>
          <t>General</t>
        </is>
      </c>
      <c r="I185" s="5" t="inlineStr">
        <is>
          <t>Relevant Communications</t>
        </is>
      </c>
      <c r="J185" s="5" t="inlineStr">
        <is>
          <t>MDD3003 | subject 10106-0003 | SCID-CT query</t>
        </is>
      </c>
      <c r="K185" s="6" t="n">
        <v>533</v>
      </c>
      <c r="L185" s="7" t="n">
        <v>45530</v>
      </c>
      <c r="M185" s="11" t="n">
        <v>46063</v>
      </c>
      <c r="N185" s="5" t="inlineStr">
        <is>
          <t>Approved</t>
        </is>
      </c>
      <c r="O185" s="5" t="inlineStr">
        <is>
          <t>Site</t>
        </is>
      </c>
      <c r="P185" s="5" t="inlineStr">
        <is>
          <t>United States</t>
        </is>
      </c>
      <c r="Q185" s="13" t="inlineStr">
        <is>
          <t>S10-US10106</t>
        </is>
      </c>
      <c r="R185" s="5" t="inlineStr">
        <is>
          <t>Gabriela Dluska</t>
        </is>
      </c>
      <c r="S185" s="8" t="n">
        <v>46063.59819444444</v>
      </c>
    </row>
    <row r="186" hidden="1" ht="29" customHeight="1">
      <c r="A186" s="15">
        <f>HYPERLINK("https://vtmf.veevavault.com/ui/#doc_info/30959092/1/0", "VTMF-24954071")</f>
        <v/>
      </c>
      <c r="B186" s="20" t="inlineStr">
        <is>
          <t>Yes</t>
        </is>
      </c>
      <c r="C186" s="5" t="inlineStr">
        <is>
          <t>1.0</t>
        </is>
      </c>
      <c r="D186" s="5" t="inlineStr">
        <is>
          <t>GCO</t>
        </is>
      </c>
      <c r="E186" s="5" t="inlineStr">
        <is>
          <t>42847922MDD3003</t>
        </is>
      </c>
      <c r="F186" s="16">
        <f>HYPERLINK("https://vtmf.veevavault.com/ui/#doc_info/30959092/1/0", "42847922MDD3003-USA-S10-US10106-Relevant Communications-28 Aug 2024 (v1.0)")</f>
        <v/>
      </c>
      <c r="G186" s="5" t="inlineStr">
        <is>
          <t>Site Management</t>
        </is>
      </c>
      <c r="H186" s="5" t="inlineStr">
        <is>
          <t>General</t>
        </is>
      </c>
      <c r="I186" s="5" t="inlineStr">
        <is>
          <t>Relevant Communications</t>
        </is>
      </c>
      <c r="J186" s="5" t="inlineStr">
        <is>
          <t>MDD3003 seltorexant JJIM medical eligibility review | Subject US101060002_approved</t>
        </is>
      </c>
      <c r="K186" s="6" t="n">
        <v>531</v>
      </c>
      <c r="L186" s="7" t="n">
        <v>45532</v>
      </c>
      <c r="M186" s="11" t="n">
        <v>46063</v>
      </c>
      <c r="N186" s="5" t="inlineStr">
        <is>
          <t>Approved</t>
        </is>
      </c>
      <c r="O186" s="5" t="inlineStr">
        <is>
          <t>Site</t>
        </is>
      </c>
      <c r="P186" s="5" t="inlineStr">
        <is>
          <t>United States</t>
        </is>
      </c>
      <c r="Q186" s="13" t="inlineStr">
        <is>
          <t>S10-US10106</t>
        </is>
      </c>
      <c r="R186" s="5" t="inlineStr">
        <is>
          <t>Gabriela Dluska</t>
        </is>
      </c>
      <c r="S186" s="8" t="n">
        <v>46063.59819444444</v>
      </c>
    </row>
    <row r="187" hidden="1" ht="29" customHeight="1">
      <c r="A187" s="15">
        <f>HYPERLINK("https://vtmf.veevavault.com/ui/#doc_info/30959093/1/0", "VTMF-24954072")</f>
        <v/>
      </c>
      <c r="B187" s="20" t="inlineStr">
        <is>
          <t>Yes</t>
        </is>
      </c>
      <c r="C187" s="5" t="inlineStr">
        <is>
          <t>1.0</t>
        </is>
      </c>
      <c r="D187" s="5" t="inlineStr">
        <is>
          <t>GCO</t>
        </is>
      </c>
      <c r="E187" s="5" t="inlineStr">
        <is>
          <t>42847922MDD3003</t>
        </is>
      </c>
      <c r="F187" s="16">
        <f>HYPERLINK("https://vtmf.veevavault.com/ui/#doc_info/30959093/1/0", "42847922MDD3003-USA-S10-US10106-Relevant Communications-16 Aug 2024 (v1.0)")</f>
        <v/>
      </c>
      <c r="G187" s="5" t="inlineStr">
        <is>
          <t>Site Management</t>
        </is>
      </c>
      <c r="H187" s="5" t="inlineStr">
        <is>
          <t>General</t>
        </is>
      </c>
      <c r="I187" s="5" t="inlineStr">
        <is>
          <t>Relevant Communications</t>
        </is>
      </c>
      <c r="J187" s="5" t="inlineStr">
        <is>
          <t>MDD3003 | US10106 Baber | participant and general questions</t>
        </is>
      </c>
      <c r="K187" s="6" t="n">
        <v>543</v>
      </c>
      <c r="L187" s="7" t="n">
        <v>45520</v>
      </c>
      <c r="M187" s="11" t="n">
        <v>46063</v>
      </c>
      <c r="N187" s="5" t="inlineStr">
        <is>
          <t>Approved</t>
        </is>
      </c>
      <c r="O187" s="5" t="inlineStr">
        <is>
          <t>Site</t>
        </is>
      </c>
      <c r="P187" s="5" t="inlineStr">
        <is>
          <t>United States</t>
        </is>
      </c>
      <c r="Q187" s="13" t="inlineStr">
        <is>
          <t>S10-US10106</t>
        </is>
      </c>
      <c r="R187" s="5" t="inlineStr">
        <is>
          <t>Gabriela Dluska</t>
        </is>
      </c>
      <c r="S187" s="8" t="n">
        <v>46063.59819444444</v>
      </c>
    </row>
    <row r="188" hidden="1">
      <c r="A188" s="15">
        <f>HYPERLINK("https://vtmf.veevavault.com/ui/#doc_info/30959094/1/0", "VTMF-24954073")</f>
        <v/>
      </c>
      <c r="B188" s="20" t="inlineStr">
        <is>
          <t>Yes</t>
        </is>
      </c>
      <c r="C188" s="5" t="inlineStr">
        <is>
          <t>1.0</t>
        </is>
      </c>
      <c r="D188" s="5" t="inlineStr">
        <is>
          <t>GCO</t>
        </is>
      </c>
      <c r="E188" s="5" t="inlineStr">
        <is>
          <t>42847922MDD3003</t>
        </is>
      </c>
      <c r="F188" s="16">
        <f>HYPERLINK("https://vtmf.veevavault.com/ui/#doc_info/30959094/1/0", "42847922MDD3003---Relevant Communications-27 Aug 2024 (v1.0)")</f>
        <v/>
      </c>
      <c r="G188" s="5" t="inlineStr">
        <is>
          <t>Trial Management</t>
        </is>
      </c>
      <c r="H188" s="5" t="inlineStr">
        <is>
          <t>General</t>
        </is>
      </c>
      <c r="I188" s="5" t="inlineStr">
        <is>
          <t>Relevant Communications</t>
        </is>
      </c>
      <c r="J188" s="5" t="inlineStr">
        <is>
          <t>MDD3003 SCID-CT clarification memo</t>
        </is>
      </c>
      <c r="K188" s="6" t="n">
        <v>532</v>
      </c>
      <c r="L188" s="7" t="n">
        <v>45531</v>
      </c>
      <c r="M188" s="11" t="n">
        <v>46063</v>
      </c>
      <c r="N188" s="5" t="inlineStr">
        <is>
          <t>Approved</t>
        </is>
      </c>
      <c r="O188" s="5" t="inlineStr">
        <is>
          <t>Study</t>
        </is>
      </c>
      <c r="P188" s="5" t="inlineStr"/>
      <c r="Q188" s="13" t="inlineStr"/>
      <c r="R188" s="5" t="inlineStr">
        <is>
          <t>Gabriela Dluska</t>
        </is>
      </c>
      <c r="S188" s="8" t="n">
        <v>46063.59819444444</v>
      </c>
    </row>
    <row r="189" hidden="1" ht="29" customHeight="1">
      <c r="A189" s="15">
        <f>HYPERLINK("https://vtmf.veevavault.com/ui/#doc_info/30959095/1/0", "VTMF-24954074")</f>
        <v/>
      </c>
      <c r="B189" s="20" t="inlineStr">
        <is>
          <t>Yes</t>
        </is>
      </c>
      <c r="C189" s="5" t="inlineStr">
        <is>
          <t>1.0</t>
        </is>
      </c>
      <c r="D189" s="5" t="inlineStr">
        <is>
          <t>GCO</t>
        </is>
      </c>
      <c r="E189" s="5" t="inlineStr">
        <is>
          <t>42847922MDD3003</t>
        </is>
      </c>
      <c r="F189" s="16">
        <f>HYPERLINK("https://vtmf.veevavault.com/ui/#doc_info/30959095/1/0", "42847922MDD3003-USA-S10-US10021-Relevant Communications-09 Aug 2024 (v1.0)")</f>
        <v/>
      </c>
      <c r="G189" s="5" t="inlineStr">
        <is>
          <t>Site Management</t>
        </is>
      </c>
      <c r="H189" s="5" t="inlineStr">
        <is>
          <t>General</t>
        </is>
      </c>
      <c r="I189" s="5" t="inlineStr">
        <is>
          <t>Relevant Communications</t>
        </is>
      </c>
      <c r="J189" s="5" t="inlineStr">
        <is>
          <t>MDD3003, US100210003, IQVIA MSS and MDR eligibility review not possible at this time</t>
        </is>
      </c>
      <c r="K189" s="6" t="n">
        <v>550</v>
      </c>
      <c r="L189" s="7" t="n">
        <v>45513</v>
      </c>
      <c r="M189" s="11" t="n">
        <v>46063</v>
      </c>
      <c r="N189" s="5" t="inlineStr">
        <is>
          <t>Approved</t>
        </is>
      </c>
      <c r="O189" s="5" t="inlineStr">
        <is>
          <t>Site</t>
        </is>
      </c>
      <c r="P189" s="5" t="inlineStr">
        <is>
          <t>United States</t>
        </is>
      </c>
      <c r="Q189" s="13" t="inlineStr">
        <is>
          <t>S10-US10021</t>
        </is>
      </c>
      <c r="R189" s="5" t="inlineStr">
        <is>
          <t>Gabriela Dluska</t>
        </is>
      </c>
      <c r="S189" s="8" t="n">
        <v>46063.59819444444</v>
      </c>
    </row>
    <row r="190" hidden="1" ht="43.5" customHeight="1">
      <c r="A190" s="15">
        <f>HYPERLINK("https://vtmf.veevavault.com/ui/#doc_info/30959096/1/0", "VTMF-24954075")</f>
        <v/>
      </c>
      <c r="B190" s="20" t="inlineStr">
        <is>
          <t>Yes</t>
        </is>
      </c>
      <c r="C190" s="5" t="inlineStr">
        <is>
          <t>1.0</t>
        </is>
      </c>
      <c r="D190" s="5" t="inlineStr">
        <is>
          <t>GCO</t>
        </is>
      </c>
      <c r="E190" s="5" t="inlineStr">
        <is>
          <t>42847922MDD3003</t>
        </is>
      </c>
      <c r="F190" s="16">
        <f>HYPERLINK("https://vtmf.veevavault.com/ui/#doc_info/30959096/1/0", "42847922MDD3003---Relevant Communications-26 Aug 2024 (v1.0)")</f>
        <v/>
      </c>
      <c r="G190" s="5" t="inlineStr">
        <is>
          <t>Trial Management</t>
        </is>
      </c>
      <c r="H190" s="5" t="inlineStr">
        <is>
          <t>General</t>
        </is>
      </c>
      <c r="I190" s="5" t="inlineStr">
        <is>
          <t>Relevant Communications</t>
        </is>
      </c>
      <c r="J190" s="5" t="inlineStr">
        <is>
          <t>MDD3003, eligibility-related question re con-meds GLP1 RA e.g. Semaglutide, Liraglutide, Tirzepatide etc taken for Weight Loss/Obesity are Not prohibited</t>
        </is>
      </c>
      <c r="K190" s="6" t="n">
        <v>533</v>
      </c>
      <c r="L190" s="7" t="n">
        <v>45530</v>
      </c>
      <c r="M190" s="11" t="n">
        <v>46063</v>
      </c>
      <c r="N190" s="5" t="inlineStr">
        <is>
          <t>Approved</t>
        </is>
      </c>
      <c r="O190" s="5" t="inlineStr">
        <is>
          <t>Study</t>
        </is>
      </c>
      <c r="P190" s="5" t="inlineStr"/>
      <c r="Q190" s="13" t="inlineStr"/>
      <c r="R190" s="5" t="inlineStr">
        <is>
          <t>Gabriela Dluska</t>
        </is>
      </c>
      <c r="S190" s="8" t="n">
        <v>46063.59819444444</v>
      </c>
    </row>
    <row r="191" hidden="1" ht="43.5" customHeight="1">
      <c r="A191" s="15">
        <f>HYPERLINK("https://vtmf.veevavault.com/ui/#doc_info/30959097/1/0", "VTMF-24954076")</f>
        <v/>
      </c>
      <c r="B191" s="20" t="inlineStr">
        <is>
          <t>Yes</t>
        </is>
      </c>
      <c r="C191" s="5" t="inlineStr">
        <is>
          <t>1.0</t>
        </is>
      </c>
      <c r="D191" s="5" t="inlineStr">
        <is>
          <t>GCO</t>
        </is>
      </c>
      <c r="E191" s="5" t="inlineStr">
        <is>
          <t>42847922MDD3003</t>
        </is>
      </c>
      <c r="F191" s="16">
        <f>HYPERLINK("https://vtmf.veevavault.com/ui/#doc_info/30959097/1/0", "42847922MDD3003---Relevant Communications-08 Aug 2024 (v1.0)")</f>
        <v/>
      </c>
      <c r="G191" s="5" t="inlineStr">
        <is>
          <t>Trial Management</t>
        </is>
      </c>
      <c r="H191" s="5" t="inlineStr">
        <is>
          <t>General</t>
        </is>
      </c>
      <c r="I191" s="5" t="inlineStr">
        <is>
          <t>Relevant Communications</t>
        </is>
      </c>
      <c r="J191" s="5" t="inlineStr">
        <is>
          <t>MDD3003, eligibility-related question re con-meds GLP1 RA e.g. Semaglutide, Liraglutide, Tirzepatide etc taken for Weight Loss/Obesity are prohibited</t>
        </is>
      </c>
      <c r="K191" s="6" t="n">
        <v>551</v>
      </c>
      <c r="L191" s="7" t="n">
        <v>45512</v>
      </c>
      <c r="M191" s="11" t="n">
        <v>46063</v>
      </c>
      <c r="N191" s="5" t="inlineStr">
        <is>
          <t>Approved</t>
        </is>
      </c>
      <c r="O191" s="5" t="inlineStr">
        <is>
          <t>Study</t>
        </is>
      </c>
      <c r="P191" s="5" t="inlineStr"/>
      <c r="Q191" s="13" t="inlineStr"/>
      <c r="R191" s="5" t="inlineStr">
        <is>
          <t>Gabriela Dluska</t>
        </is>
      </c>
      <c r="S191" s="8" t="n">
        <v>46063.59819444444</v>
      </c>
    </row>
    <row r="192" hidden="1" ht="29" customHeight="1">
      <c r="A192" s="15">
        <f>HYPERLINK("https://vtmf.veevavault.com/ui/#doc_info/30959098/1/0", "VTMF-24954077")</f>
        <v/>
      </c>
      <c r="B192" s="20" t="inlineStr">
        <is>
          <t>Yes</t>
        </is>
      </c>
      <c r="C192" s="5" t="inlineStr">
        <is>
          <t>1.0</t>
        </is>
      </c>
      <c r="D192" s="5" t="inlineStr">
        <is>
          <t>GCO</t>
        </is>
      </c>
      <c r="E192" s="5" t="inlineStr">
        <is>
          <t>42847922MDD3003</t>
        </is>
      </c>
      <c r="F192" s="16">
        <f>HYPERLINK("https://vtmf.veevavault.com/ui/#doc_info/30959098/1/0", "42847922MDD3003-ARG-S10-AR10015-Relevant Communications-03 Jan 2025 (v1.0)")</f>
        <v/>
      </c>
      <c r="G192" s="5" t="inlineStr">
        <is>
          <t>Site Management</t>
        </is>
      </c>
      <c r="H192" s="5" t="inlineStr">
        <is>
          <t>General</t>
        </is>
      </c>
      <c r="I192" s="5" t="inlineStr">
        <is>
          <t>Relevant Communications</t>
        </is>
      </c>
      <c r="J192" s="5" t="inlineStr">
        <is>
          <t>MDD3003: Noriega_ Site S10-AR10015_Subject AR100150003_ Screening Period Extension Request</t>
        </is>
      </c>
      <c r="K192" s="6" t="n">
        <v>403</v>
      </c>
      <c r="L192" s="7" t="n">
        <v>45660</v>
      </c>
      <c r="M192" s="11" t="n">
        <v>46063</v>
      </c>
      <c r="N192" s="5" t="inlineStr">
        <is>
          <t>Approved</t>
        </is>
      </c>
      <c r="O192" s="5" t="inlineStr">
        <is>
          <t>Site</t>
        </is>
      </c>
      <c r="P192" s="5" t="inlineStr">
        <is>
          <t>Argentina</t>
        </is>
      </c>
      <c r="Q192" s="13" t="inlineStr">
        <is>
          <t>S10-AR10015</t>
        </is>
      </c>
      <c r="R192" s="5" t="inlineStr">
        <is>
          <t>Gabriela Dluska</t>
        </is>
      </c>
      <c r="S192" s="8" t="n">
        <v>46063.59819444444</v>
      </c>
    </row>
    <row r="193" hidden="1" ht="29" customHeight="1">
      <c r="A193" s="15">
        <f>HYPERLINK("https://vtmf.veevavault.com/ui/#doc_info/30959099/1/0", "VTMF-24954078")</f>
        <v/>
      </c>
      <c r="B193" s="20" t="inlineStr">
        <is>
          <t>Yes</t>
        </is>
      </c>
      <c r="C193" s="5" t="inlineStr">
        <is>
          <t>1.0</t>
        </is>
      </c>
      <c r="D193" s="5" t="inlineStr">
        <is>
          <t>GCO</t>
        </is>
      </c>
      <c r="E193" s="5" t="inlineStr">
        <is>
          <t>42847922MDD3003</t>
        </is>
      </c>
      <c r="F193" s="16">
        <f>HYPERLINK("https://vtmf.veevavault.com/ui/#doc_info/30959099/1/0", "42847922MDD3003-ARG-S10-AR10015-Relevant Communications-03 Jan 2025 (v1.0)")</f>
        <v/>
      </c>
      <c r="G193" s="5" t="inlineStr">
        <is>
          <t>Site Management</t>
        </is>
      </c>
      <c r="H193" s="5" t="inlineStr">
        <is>
          <t>General</t>
        </is>
      </c>
      <c r="I193" s="5" t="inlineStr">
        <is>
          <t>Relevant Communications</t>
        </is>
      </c>
      <c r="J193" s="5" t="inlineStr">
        <is>
          <t>MDD3003: Noriega_ Site S10-AR10015_Subject AR100150003_ Screening Period Extension Request</t>
        </is>
      </c>
      <c r="K193" s="6" t="n">
        <v>403</v>
      </c>
      <c r="L193" s="7" t="n">
        <v>45660</v>
      </c>
      <c r="M193" s="11" t="n">
        <v>46063</v>
      </c>
      <c r="N193" s="5" t="inlineStr">
        <is>
          <t>Approved</t>
        </is>
      </c>
      <c r="O193" s="5" t="inlineStr">
        <is>
          <t>Site</t>
        </is>
      </c>
      <c r="P193" s="5" t="inlineStr">
        <is>
          <t>Argentina</t>
        </is>
      </c>
      <c r="Q193" s="13" t="inlineStr">
        <is>
          <t>S10-AR10015</t>
        </is>
      </c>
      <c r="R193" s="5" t="inlineStr">
        <is>
          <t>Gabriela Dluska</t>
        </is>
      </c>
      <c r="S193" s="8" t="n">
        <v>46063.59819444444</v>
      </c>
    </row>
    <row r="194" hidden="1" ht="29" customHeight="1">
      <c r="A194" s="15">
        <f>HYPERLINK("https://vtmf.veevavault.com/ui/#doc_info/30959100/1/0", "VTMF-24954079")</f>
        <v/>
      </c>
      <c r="B194" s="20" t="inlineStr">
        <is>
          <t>Yes</t>
        </is>
      </c>
      <c r="C194" s="5" t="inlineStr">
        <is>
          <t>1.0</t>
        </is>
      </c>
      <c r="D194" s="5" t="inlineStr">
        <is>
          <t>GCO</t>
        </is>
      </c>
      <c r="E194" s="5" t="inlineStr">
        <is>
          <t>42847922MDD3003</t>
        </is>
      </c>
      <c r="F194" s="16">
        <f>HYPERLINK("https://vtmf.veevavault.com/ui/#doc_info/30959100/1/0", "42847922MDD3003-USA-S10-US10106-Relevant Communications-20 Aug 2024 (v1.0)")</f>
        <v/>
      </c>
      <c r="G194" s="5" t="inlineStr">
        <is>
          <t>Site Management</t>
        </is>
      </c>
      <c r="H194" s="5" t="inlineStr">
        <is>
          <t>General</t>
        </is>
      </c>
      <c r="I194" s="5" t="inlineStr">
        <is>
          <t>Relevant Communications</t>
        </is>
      </c>
      <c r="J194" s="5" t="inlineStr">
        <is>
          <t>MDD3003 _ US10106, PI Baber _ subject 10106-0003 _ SAFER 1 pass and clinical team update</t>
        </is>
      </c>
      <c r="K194" s="6" t="n">
        <v>539</v>
      </c>
      <c r="L194" s="7" t="n">
        <v>45524</v>
      </c>
      <c r="M194" s="11" t="n">
        <v>46063</v>
      </c>
      <c r="N194" s="5" t="inlineStr">
        <is>
          <t>Approved</t>
        </is>
      </c>
      <c r="O194" s="5" t="inlineStr">
        <is>
          <t>Site</t>
        </is>
      </c>
      <c r="P194" s="5" t="inlineStr">
        <is>
          <t>United States</t>
        </is>
      </c>
      <c r="Q194" s="13" t="inlineStr">
        <is>
          <t>S10-US10106</t>
        </is>
      </c>
      <c r="R194" s="5" t="inlineStr">
        <is>
          <t>Gabriela Dluska</t>
        </is>
      </c>
      <c r="S194" s="8" t="n">
        <v>46063.59819444444</v>
      </c>
    </row>
    <row r="195" hidden="1">
      <c r="A195" s="15">
        <f>HYPERLINK("https://vtmf.veevavault.com/ui/#doc_info/30960221/1/0", "VTMF-24954872")</f>
        <v/>
      </c>
      <c r="B195" s="20" t="inlineStr">
        <is>
          <t>Yes</t>
        </is>
      </c>
      <c r="C195" s="5" t="inlineStr">
        <is>
          <t>1.0</t>
        </is>
      </c>
      <c r="D195" s="5" t="inlineStr">
        <is>
          <t>GCO</t>
        </is>
      </c>
      <c r="E195" s="5" t="inlineStr">
        <is>
          <t>42847922MDD3003</t>
        </is>
      </c>
      <c r="F195" s="16">
        <f>HYPERLINK("https://vtmf.veevavault.com/ui/#doc_info/30960221/1/0", "42847922MDD3003---Relevant Communications-06 Sep 2024 (v1.0)")</f>
        <v/>
      </c>
      <c r="G195" s="5" t="inlineStr">
        <is>
          <t>Trial Management</t>
        </is>
      </c>
      <c r="H195" s="5" t="inlineStr">
        <is>
          <t>General</t>
        </is>
      </c>
      <c r="I195" s="5" t="inlineStr">
        <is>
          <t>Relevant Communications</t>
        </is>
      </c>
      <c r="J195" s="5" t="inlineStr">
        <is>
          <t>MDD3003 MMP V1.0 04 Sep 2024 Final</t>
        </is>
      </c>
      <c r="K195" s="6" t="n">
        <v>522</v>
      </c>
      <c r="L195" s="7" t="n">
        <v>45541</v>
      </c>
      <c r="M195" s="11" t="n">
        <v>46063</v>
      </c>
      <c r="N195" s="5" t="inlineStr">
        <is>
          <t>Approved</t>
        </is>
      </c>
      <c r="O195" s="5" t="inlineStr">
        <is>
          <t>Study</t>
        </is>
      </c>
      <c r="P195" s="5" t="inlineStr"/>
      <c r="Q195" s="13" t="inlineStr"/>
      <c r="R195" s="5" t="inlineStr">
        <is>
          <t>Gabriela Dluska</t>
        </is>
      </c>
      <c r="S195" s="8" t="n">
        <v>46063.67195601852</v>
      </c>
    </row>
    <row r="196" hidden="1" ht="29" customHeight="1">
      <c r="A196" s="15">
        <f>HYPERLINK("https://vtmf.veevavault.com/ui/#doc_info/30960222/1/0", "VTMF-24954873")</f>
        <v/>
      </c>
      <c r="B196" s="20" t="inlineStr">
        <is>
          <t>Yes</t>
        </is>
      </c>
      <c r="C196" s="5" t="inlineStr">
        <is>
          <t>1.0</t>
        </is>
      </c>
      <c r="D196" s="5" t="inlineStr">
        <is>
          <t>GCO</t>
        </is>
      </c>
      <c r="E196" s="5" t="inlineStr">
        <is>
          <t>42847922MDD3003</t>
        </is>
      </c>
      <c r="F196" s="16">
        <f>HYPERLINK("https://vtmf.veevavault.com/ui/#doc_info/30960222/1/0", "42847922MDD3003-USA-S10-US10012-Relevant Communications-06 Sep 2024 (v1.0)")</f>
        <v/>
      </c>
      <c r="G196" s="5" t="inlineStr">
        <is>
          <t>Site Management</t>
        </is>
      </c>
      <c r="H196" s="5" t="inlineStr">
        <is>
          <t>General</t>
        </is>
      </c>
      <c r="I196" s="5" t="inlineStr">
        <is>
          <t>Relevant Communications</t>
        </is>
      </c>
      <c r="J196" s="5" t="inlineStr">
        <is>
          <t>MDD3003_EDC Forms_ Physical examination, Neurological, Procedures.</t>
        </is>
      </c>
      <c r="K196" s="6" t="n">
        <v>522</v>
      </c>
      <c r="L196" s="7" t="n">
        <v>45541</v>
      </c>
      <c r="M196" s="11" t="n">
        <v>46063</v>
      </c>
      <c r="N196" s="5" t="inlineStr">
        <is>
          <t>Approved</t>
        </is>
      </c>
      <c r="O196" s="5" t="inlineStr">
        <is>
          <t>Site</t>
        </is>
      </c>
      <c r="P196" s="5" t="inlineStr">
        <is>
          <t>United States</t>
        </is>
      </c>
      <c r="Q196" s="13" t="inlineStr">
        <is>
          <t>S10-US10012, S10-US10046</t>
        </is>
      </c>
      <c r="R196" s="5" t="inlineStr">
        <is>
          <t>Gabriela Dluska</t>
        </is>
      </c>
      <c r="S196" s="8" t="n">
        <v>46063.67195601852</v>
      </c>
    </row>
    <row r="197" hidden="1" ht="43.5" customHeight="1">
      <c r="A197" s="15">
        <f>HYPERLINK("https://vtmf.veevavault.com/ui/#doc_info/30960223/1/0", "VTMF-24954874")</f>
        <v/>
      </c>
      <c r="B197" s="20" t="inlineStr">
        <is>
          <t>Yes</t>
        </is>
      </c>
      <c r="C197" s="5" t="inlineStr">
        <is>
          <t>1.0</t>
        </is>
      </c>
      <c r="D197" s="5" t="inlineStr">
        <is>
          <t>GCO</t>
        </is>
      </c>
      <c r="E197" s="5" t="inlineStr">
        <is>
          <t>42847922MDD3003</t>
        </is>
      </c>
      <c r="F197" s="16">
        <f>HYPERLINK("https://vtmf.veevavault.com/ui/#doc_info/30960223/1/0", "42847922MDD3003-USA-S10-US10103-Relevant Communications-12 Sep 2024 (v1.0)")</f>
        <v/>
      </c>
      <c r="G197" s="5" t="inlineStr">
        <is>
          <t>Site Management</t>
        </is>
      </c>
      <c r="H197" s="5" t="inlineStr">
        <is>
          <t>General</t>
        </is>
      </c>
      <c r="I197" s="5" t="inlineStr">
        <is>
          <t>Relevant Communications</t>
        </is>
      </c>
      <c r="J197" s="5" t="inlineStr">
        <is>
          <t>MDD3003_PI: Dr. Americo Padilla M.D._Site: US10103 (United States)_Subject ID: US101030003_Visit: Part 1 Screening_Alert: Ur Leukocyte Esterase</t>
        </is>
      </c>
      <c r="K197" s="6" t="n">
        <v>516</v>
      </c>
      <c r="L197" s="7" t="n">
        <v>45547</v>
      </c>
      <c r="M197" s="11" t="n">
        <v>46063</v>
      </c>
      <c r="N197" s="5" t="inlineStr">
        <is>
          <t>Approved</t>
        </is>
      </c>
      <c r="O197" s="5" t="inlineStr">
        <is>
          <t>Site</t>
        </is>
      </c>
      <c r="P197" s="5" t="inlineStr">
        <is>
          <t>United States</t>
        </is>
      </c>
      <c r="Q197" s="13" t="inlineStr">
        <is>
          <t>S10-US10103</t>
        </is>
      </c>
      <c r="R197" s="5" t="inlineStr">
        <is>
          <t>Gabriela Dluska</t>
        </is>
      </c>
      <c r="S197" s="8" t="n">
        <v>46063.67195601852</v>
      </c>
    </row>
    <row r="198" hidden="1" ht="29" customHeight="1">
      <c r="A198" s="15">
        <f>HYPERLINK("https://vtmf.veevavault.com/ui/#doc_info/30960224/1/0", "VTMF-24954875")</f>
        <v/>
      </c>
      <c r="B198" s="20" t="inlineStr">
        <is>
          <t>Yes</t>
        </is>
      </c>
      <c r="C198" s="5" t="inlineStr">
        <is>
          <t>1.0</t>
        </is>
      </c>
      <c r="D198" s="5" t="inlineStr">
        <is>
          <t>GCO</t>
        </is>
      </c>
      <c r="E198" s="5" t="inlineStr">
        <is>
          <t>42847922MDD3003</t>
        </is>
      </c>
      <c r="F198" s="16">
        <f>HYPERLINK("https://vtmf.veevavault.com/ui/#doc_info/30960224/1/0", "42847922MDD3003-USA-S10-US10064-Relevant Communications-05 Sep 2024 (v1.0)")</f>
        <v/>
      </c>
      <c r="G198" s="5" t="inlineStr">
        <is>
          <t>Site Management</t>
        </is>
      </c>
      <c r="H198" s="5" t="inlineStr">
        <is>
          <t>General</t>
        </is>
      </c>
      <c r="I198" s="5" t="inlineStr">
        <is>
          <t>Relevant Communications</t>
        </is>
      </c>
      <c r="J198" s="5" t="inlineStr">
        <is>
          <t>MDD3003 eligibility review s. US100640002</t>
        </is>
      </c>
      <c r="K198" s="6" t="n">
        <v>523</v>
      </c>
      <c r="L198" s="7" t="n">
        <v>45540</v>
      </c>
      <c r="M198" s="11" t="n">
        <v>46063</v>
      </c>
      <c r="N198" s="5" t="inlineStr">
        <is>
          <t>Approved</t>
        </is>
      </c>
      <c r="O198" s="5" t="inlineStr">
        <is>
          <t>Site</t>
        </is>
      </c>
      <c r="P198" s="5" t="inlineStr">
        <is>
          <t>United States</t>
        </is>
      </c>
      <c r="Q198" s="13" t="inlineStr">
        <is>
          <t>S10-US10064</t>
        </is>
      </c>
      <c r="R198" s="5" t="inlineStr">
        <is>
          <t>Gabriela Dluska</t>
        </is>
      </c>
      <c r="S198" s="8" t="n">
        <v>46063.67195601852</v>
      </c>
    </row>
    <row r="199" hidden="1" ht="72.5" customHeight="1">
      <c r="A199" s="15">
        <f>HYPERLINK("https://vtmf.veevavault.com/ui/#doc_info/30960225/1/0", "VTMF-24954876")</f>
        <v/>
      </c>
      <c r="B199" s="20" t="inlineStr">
        <is>
          <t>Yes</t>
        </is>
      </c>
      <c r="C199" s="5" t="inlineStr">
        <is>
          <t>1.0</t>
        </is>
      </c>
      <c r="D199" s="5" t="inlineStr">
        <is>
          <t>GCO</t>
        </is>
      </c>
      <c r="E199" s="5" t="inlineStr">
        <is>
          <t>42847922MDD3003</t>
        </is>
      </c>
      <c r="F199" s="16">
        <f>HYPERLINK("https://vtmf.veevavault.com/ui/#doc_info/30960225/1/0", "42847922MDD3003-USA-S10-US10103-Relevant Communications-12 Sep 2024 (v1.0)")</f>
        <v/>
      </c>
      <c r="G199" s="5" t="inlineStr">
        <is>
          <t>Site Management</t>
        </is>
      </c>
      <c r="H199" s="5" t="inlineStr">
        <is>
          <t>General</t>
        </is>
      </c>
      <c r="I199" s="5" t="inlineStr">
        <is>
          <t>Relevant Communications</t>
        </is>
      </c>
      <c r="J199" s="5" t="inlineStr">
        <is>
          <t>MDD3003_PI: Dr. Americo Padilla M.D._Site: US10103 (United 
States)_Subject ID: US101030001_Visit: Part 1 Screening_Alert: Hemoglobin/Glucose Fasting/Ur Glucose/Ur Blood</t>
        </is>
      </c>
      <c r="K199" s="6" t="n">
        <v>516</v>
      </c>
      <c r="L199" s="7" t="n">
        <v>45547</v>
      </c>
      <c r="M199" s="11" t="n">
        <v>46063</v>
      </c>
      <c r="N199" s="5" t="inlineStr">
        <is>
          <t>Approved</t>
        </is>
      </c>
      <c r="O199" s="5" t="inlineStr">
        <is>
          <t>Site</t>
        </is>
      </c>
      <c r="P199" s="5" t="inlineStr">
        <is>
          <t>United States</t>
        </is>
      </c>
      <c r="Q199" s="13" t="inlineStr">
        <is>
          <t>S10-US10103</t>
        </is>
      </c>
      <c r="R199" s="5" t="inlineStr">
        <is>
          <t>Gabriela Dluska</t>
        </is>
      </c>
      <c r="S199" s="8" t="n">
        <v>46063.67195601852</v>
      </c>
    </row>
    <row r="200" hidden="1" ht="43.5" customHeight="1">
      <c r="A200" s="15">
        <f>HYPERLINK("https://vtmf.veevavault.com/ui/#doc_info/30960226/1/0", "VTMF-24954877")</f>
        <v/>
      </c>
      <c r="B200" s="20" t="inlineStr">
        <is>
          <t>Yes</t>
        </is>
      </c>
      <c r="C200" s="5" t="inlineStr">
        <is>
          <t>1.0</t>
        </is>
      </c>
      <c r="D200" s="5" t="inlineStr">
        <is>
          <t>GCO</t>
        </is>
      </c>
      <c r="E200" s="5" t="inlineStr">
        <is>
          <t>42847922MDD3003</t>
        </is>
      </c>
      <c r="F200" s="16">
        <f>HYPERLINK("https://vtmf.veevavault.com/ui/#doc_info/30960226/1/0", "42847922MDD3003-USA-S10-US10103-Relevant Communications-12 Sep 2024 (v1.0)")</f>
        <v/>
      </c>
      <c r="G200" s="5" t="inlineStr">
        <is>
          <t>Site Management</t>
        </is>
      </c>
      <c r="H200" s="5" t="inlineStr">
        <is>
          <t>General</t>
        </is>
      </c>
      <c r="I200" s="5" t="inlineStr">
        <is>
          <t>Relevant Communications</t>
        </is>
      </c>
      <c r="J200" s="5" t="inlineStr">
        <is>
          <t>MDD3003_PI: Dr. Americo Padilla M.D._Site: US10103 (United States)_Subject ID: US101030003_Visit: Part 1 Screening_Alert: Ur Leukocyte Esterase</t>
        </is>
      </c>
      <c r="K200" s="6" t="n">
        <v>516</v>
      </c>
      <c r="L200" s="7" t="n">
        <v>45547</v>
      </c>
      <c r="M200" s="11" t="n">
        <v>46063</v>
      </c>
      <c r="N200" s="5" t="inlineStr">
        <is>
          <t>Approved</t>
        </is>
      </c>
      <c r="O200" s="5" t="inlineStr">
        <is>
          <t>Site</t>
        </is>
      </c>
      <c r="P200" s="5" t="inlineStr">
        <is>
          <t>United States</t>
        </is>
      </c>
      <c r="Q200" s="13" t="inlineStr">
        <is>
          <t>S10-US10103</t>
        </is>
      </c>
      <c r="R200" s="5" t="inlineStr">
        <is>
          <t>Gabriela Dluska</t>
        </is>
      </c>
      <c r="S200" s="8" t="n">
        <v>46063.67195601852</v>
      </c>
    </row>
    <row r="201" hidden="1" ht="43.5" customHeight="1">
      <c r="A201" s="15">
        <f>HYPERLINK("https://vtmf.veevavault.com/ui/#doc_info/30960228/1/0", "VTMF-24954879")</f>
        <v/>
      </c>
      <c r="B201" s="20" t="inlineStr">
        <is>
          <t>Yes</t>
        </is>
      </c>
      <c r="C201" s="5" t="inlineStr">
        <is>
          <t>1.0</t>
        </is>
      </c>
      <c r="D201" s="5" t="inlineStr">
        <is>
          <t>GCO</t>
        </is>
      </c>
      <c r="E201" s="5" t="inlineStr">
        <is>
          <t>42847922MDD3003</t>
        </is>
      </c>
      <c r="F201" s="16">
        <f>HYPERLINK("https://vtmf.veevavault.com/ui/#doc_info/30960228/1/0", "42847922MDD3003-USA-S10-US10046-Relevant Communications-09 Sep 2024 (v1.0)")</f>
        <v/>
      </c>
      <c r="G201" s="5" t="inlineStr">
        <is>
          <t>Site Management</t>
        </is>
      </c>
      <c r="H201" s="5" t="inlineStr">
        <is>
          <t>General</t>
        </is>
      </c>
      <c r="I201" s="5" t="inlineStr">
        <is>
          <t>Relevant Communications</t>
        </is>
      </c>
      <c r="J201" s="5" t="inlineStr">
        <is>
          <t>MDD3003_PI: Dr. Moraima Trujillo_Site: US10046 (United States)_Subject ID: US100460003/F_Visit: Part 1 Screening_Alert: FSH</t>
        </is>
      </c>
      <c r="K201" s="6" t="n">
        <v>519</v>
      </c>
      <c r="L201" s="7" t="n">
        <v>45544</v>
      </c>
      <c r="M201" s="11" t="n">
        <v>46063</v>
      </c>
      <c r="N201" s="5" t="inlineStr">
        <is>
          <t>Approved</t>
        </is>
      </c>
      <c r="O201" s="5" t="inlineStr">
        <is>
          <t>Site</t>
        </is>
      </c>
      <c r="P201" s="5" t="inlineStr">
        <is>
          <t>United States</t>
        </is>
      </c>
      <c r="Q201" s="13" t="inlineStr">
        <is>
          <t>S10-US10046</t>
        </is>
      </c>
      <c r="R201" s="5" t="inlineStr">
        <is>
          <t>Gabriela Dluska</t>
        </is>
      </c>
      <c r="S201" s="8" t="n">
        <v>46063.67195601852</v>
      </c>
    </row>
    <row r="202" hidden="1" ht="43.5" customHeight="1">
      <c r="A202" s="15">
        <f>HYPERLINK("https://vtmf.veevavault.com/ui/#doc_info/30960229/1/0", "VTMF-24954880")</f>
        <v/>
      </c>
      <c r="B202" s="20" t="inlineStr">
        <is>
          <t>Yes</t>
        </is>
      </c>
      <c r="C202" s="5" t="inlineStr">
        <is>
          <t>1.0</t>
        </is>
      </c>
      <c r="D202" s="5" t="inlineStr">
        <is>
          <t>GCO</t>
        </is>
      </c>
      <c r="E202" s="5" t="inlineStr">
        <is>
          <t>42847922MDD3003</t>
        </is>
      </c>
      <c r="F202" s="16">
        <f>HYPERLINK("https://vtmf.veevavault.com/ui/#doc_info/30960229/1/0", "42847922MDD3003-USA-S10-US10046-Relevant Communications-10 Sep 2024 (v1.0)")</f>
        <v/>
      </c>
      <c r="G202" s="5" t="inlineStr">
        <is>
          <t>Site Management</t>
        </is>
      </c>
      <c r="H202" s="5" t="inlineStr">
        <is>
          <t>General</t>
        </is>
      </c>
      <c r="I202" s="5" t="inlineStr">
        <is>
          <t>Relevant Communications</t>
        </is>
      </c>
      <c r="J202" s="5" t="inlineStr">
        <is>
          <t>MDD3003_PI: Dr. Moraima Trujillo_Site: US10046 (United States)_Subject ID: US100460004/F_Visit: Part 1 Screening_Alert: Urine glucose</t>
        </is>
      </c>
      <c r="K202" s="6" t="n">
        <v>518</v>
      </c>
      <c r="L202" s="7" t="n">
        <v>45545</v>
      </c>
      <c r="M202" s="11" t="n">
        <v>46063</v>
      </c>
      <c r="N202" s="5" t="inlineStr">
        <is>
          <t>Approved</t>
        </is>
      </c>
      <c r="O202" s="5" t="inlineStr">
        <is>
          <t>Site</t>
        </is>
      </c>
      <c r="P202" s="5" t="inlineStr">
        <is>
          <t>United States</t>
        </is>
      </c>
      <c r="Q202" s="13" t="inlineStr">
        <is>
          <t>S10-US10046</t>
        </is>
      </c>
      <c r="R202" s="5" t="inlineStr">
        <is>
          <t>Gabriela Dluska</t>
        </is>
      </c>
      <c r="S202" s="8" t="n">
        <v>46063.67195601852</v>
      </c>
    </row>
    <row r="203" hidden="1" ht="58" customHeight="1">
      <c r="A203" s="15">
        <f>HYPERLINK("https://vtmf.veevavault.com/ui/#doc_info/30960230/1/0", "VTMF-24954881")</f>
        <v/>
      </c>
      <c r="B203" s="20" t="inlineStr">
        <is>
          <t>Yes</t>
        </is>
      </c>
      <c r="C203" s="5" t="inlineStr">
        <is>
          <t>1.0</t>
        </is>
      </c>
      <c r="D203" s="5" t="inlineStr">
        <is>
          <t>GCO</t>
        </is>
      </c>
      <c r="E203" s="5" t="inlineStr">
        <is>
          <t>42847922MDD3003</t>
        </is>
      </c>
      <c r="F203" s="16">
        <f>HYPERLINK("https://vtmf.veevavault.com/ui/#doc_info/30960230/1/0", "42847922MDD3003-USA-S10-US10046-Relevant Communications-09 Sep 2024 (v1.0)")</f>
        <v/>
      </c>
      <c r="G203" s="5" t="inlineStr">
        <is>
          <t>Site Management</t>
        </is>
      </c>
      <c r="H203" s="5" t="inlineStr">
        <is>
          <t>General</t>
        </is>
      </c>
      <c r="I203" s="5" t="inlineStr">
        <is>
          <t>Relevant Communications</t>
        </is>
      </c>
      <c r="J203" s="5" t="inlineStr">
        <is>
          <t>MDD3003_PI: Dr. Moraima Trujillo_Site: US10046 (United 
States)_Subject ID: US100460004/F_Visit: Part 1 Screening_Alert: UDS-Opiates</t>
        </is>
      </c>
      <c r="K203" s="6" t="n">
        <v>519</v>
      </c>
      <c r="L203" s="7" t="n">
        <v>45544</v>
      </c>
      <c r="M203" s="11" t="n">
        <v>46063</v>
      </c>
      <c r="N203" s="5" t="inlineStr">
        <is>
          <t>Approved</t>
        </is>
      </c>
      <c r="O203" s="5" t="inlineStr">
        <is>
          <t>Site</t>
        </is>
      </c>
      <c r="P203" s="5" t="inlineStr">
        <is>
          <t>United States</t>
        </is>
      </c>
      <c r="Q203" s="13" t="inlineStr">
        <is>
          <t>S10-US10046</t>
        </is>
      </c>
      <c r="R203" s="5" t="inlineStr">
        <is>
          <t>Gabriela Dluska</t>
        </is>
      </c>
      <c r="S203" s="8" t="n">
        <v>46063.67195601852</v>
      </c>
    </row>
    <row r="204" hidden="1" ht="43.5" customHeight="1">
      <c r="A204" s="15">
        <f>HYPERLINK("https://vtmf.veevavault.com/ui/#doc_info/30960231/1/0", "VTMF-24954882")</f>
        <v/>
      </c>
      <c r="B204" s="20" t="inlineStr">
        <is>
          <t>Yes</t>
        </is>
      </c>
      <c r="C204" s="5" t="inlineStr">
        <is>
          <t>1.0</t>
        </is>
      </c>
      <c r="D204" s="5" t="inlineStr">
        <is>
          <t>GCO</t>
        </is>
      </c>
      <c r="E204" s="5" t="inlineStr">
        <is>
          <t>42847922MDD3003</t>
        </is>
      </c>
      <c r="F204" s="16">
        <f>HYPERLINK("https://vtmf.veevavault.com/ui/#doc_info/30960231/1/0", "42847922MDD3003-USA-S10-US10001-Relevant Communications-13 Sep 2024 (v1.0)")</f>
        <v/>
      </c>
      <c r="G204" s="5" t="inlineStr">
        <is>
          <t>Site Management</t>
        </is>
      </c>
      <c r="H204" s="5" t="inlineStr">
        <is>
          <t>General</t>
        </is>
      </c>
      <c r="I204" s="5" t="inlineStr">
        <is>
          <t>Relevant Communications</t>
        </is>
      </c>
      <c r="J204" s="5" t="inlineStr">
        <is>
          <t>MDD3003_PI: Dr. Diana Ghelber_Site: US10001 (United States)_Subject ID: US100010001/F_Visit: Part 1 Screening_Alert: UDS Amphetamines/MDMA</t>
        </is>
      </c>
      <c r="K204" s="6" t="n">
        <v>515</v>
      </c>
      <c r="L204" s="7" t="n">
        <v>45548</v>
      </c>
      <c r="M204" s="11" t="n">
        <v>46063</v>
      </c>
      <c r="N204" s="5" t="inlineStr">
        <is>
          <t>Approved</t>
        </is>
      </c>
      <c r="O204" s="5" t="inlineStr">
        <is>
          <t>Site</t>
        </is>
      </c>
      <c r="P204" s="5" t="inlineStr">
        <is>
          <t>United States</t>
        </is>
      </c>
      <c r="Q204" s="13" t="inlineStr">
        <is>
          <t>S10-US10001</t>
        </is>
      </c>
      <c r="R204" s="5" t="inlineStr">
        <is>
          <t>Gabriela Dluska</t>
        </is>
      </c>
      <c r="S204" s="8" t="n">
        <v>46063.67195601852</v>
      </c>
    </row>
    <row r="205" hidden="1" ht="43.5" customHeight="1">
      <c r="A205" s="15">
        <f>HYPERLINK("https://vtmf.veevavault.com/ui/#doc_info/30960232/1/0", "VTMF-24954883")</f>
        <v/>
      </c>
      <c r="B205" s="20" t="inlineStr">
        <is>
          <t>Yes</t>
        </is>
      </c>
      <c r="C205" s="5" t="inlineStr">
        <is>
          <t>1.0</t>
        </is>
      </c>
      <c r="D205" s="5" t="inlineStr">
        <is>
          <t>GCO</t>
        </is>
      </c>
      <c r="E205" s="5" t="inlineStr">
        <is>
          <t>42847922MDD3003</t>
        </is>
      </c>
      <c r="F205" s="16">
        <f>HYPERLINK("https://vtmf.veevavault.com/ui/#doc_info/30960232/1/0", "42847922MDD3003-USA-S10-US10001-Relevant Communications-10 Sep 2024 (v1.0)")</f>
        <v/>
      </c>
      <c r="G205" s="5" t="inlineStr">
        <is>
          <t>Site Management</t>
        </is>
      </c>
      <c r="H205" s="5" t="inlineStr">
        <is>
          <t>General</t>
        </is>
      </c>
      <c r="I205" s="5" t="inlineStr">
        <is>
          <t>Relevant Communications</t>
        </is>
      </c>
      <c r="J205" s="5" t="inlineStr">
        <is>
          <t>MDD3003_PI: Dr. Diana Ghelber_Site: US10001 (United States)_Subject ID: US100010001/F_Visit: Part 1 Screening_Alert: UDS Amphetamines/MDMA</t>
        </is>
      </c>
      <c r="K205" s="6" t="n">
        <v>518</v>
      </c>
      <c r="L205" s="7" t="n">
        <v>45545</v>
      </c>
      <c r="M205" s="11" t="n">
        <v>46063</v>
      </c>
      <c r="N205" s="5" t="inlineStr">
        <is>
          <t>Approved</t>
        </is>
      </c>
      <c r="O205" s="5" t="inlineStr">
        <is>
          <t>Site</t>
        </is>
      </c>
      <c r="P205" s="5" t="inlineStr">
        <is>
          <t>United States</t>
        </is>
      </c>
      <c r="Q205" s="13" t="inlineStr">
        <is>
          <t>S10-US10001</t>
        </is>
      </c>
      <c r="R205" s="5" t="inlineStr">
        <is>
          <t>Gabriela Dluska</t>
        </is>
      </c>
      <c r="S205" s="8" t="n">
        <v>46063.67195601852</v>
      </c>
    </row>
    <row r="206" hidden="1" ht="29" customHeight="1">
      <c r="A206" s="15">
        <f>HYPERLINK("https://vtmf.veevavault.com/ui/#doc_info/30960498/1/0", "VTMF-24955233")</f>
        <v/>
      </c>
      <c r="B206" s="20" t="inlineStr">
        <is>
          <t>Yes</t>
        </is>
      </c>
      <c r="C206" s="5" t="inlineStr">
        <is>
          <t>1.0</t>
        </is>
      </c>
      <c r="D206" s="5" t="inlineStr">
        <is>
          <t>GCO</t>
        </is>
      </c>
      <c r="E206" s="5" t="inlineStr">
        <is>
          <t>42847922MDD3003</t>
        </is>
      </c>
      <c r="F206" s="16">
        <f>HYPERLINK("https://vtmf.veevavault.com/ui/#doc_info/30960498/1/0", "42847922MDD3003-ITA-S10-IT10017-Financial Disclosure Form-16 May 2025 (v1.0)")</f>
        <v/>
      </c>
      <c r="G206" s="5" t="inlineStr">
        <is>
          <t>Site Management</t>
        </is>
      </c>
      <c r="H206" s="5" t="inlineStr">
        <is>
          <t>Site Set-up Documentation</t>
        </is>
      </c>
      <c r="I206" s="5" t="inlineStr">
        <is>
          <t>Financial Disclosure Form</t>
        </is>
      </c>
      <c r="J206" s="5" t="inlineStr">
        <is>
          <t>IFDF_Frigerio, Federica_Initial_16may2025</t>
        </is>
      </c>
      <c r="K206" s="6" t="n">
        <v>270</v>
      </c>
      <c r="L206" s="7" t="n">
        <v>45793</v>
      </c>
      <c r="M206" s="11" t="n">
        <v>46063</v>
      </c>
      <c r="N206" s="5" t="inlineStr">
        <is>
          <t>Approved</t>
        </is>
      </c>
      <c r="O206" s="5" t="inlineStr">
        <is>
          <t>Site</t>
        </is>
      </c>
      <c r="P206" s="5" t="inlineStr">
        <is>
          <t>Italy</t>
        </is>
      </c>
      <c r="Q206" s="13" t="inlineStr">
        <is>
          <t>S10-IT10017</t>
        </is>
      </c>
      <c r="R206" s="5" t="inlineStr">
        <is>
          <t>Silvia Corbetta</t>
        </is>
      </c>
      <c r="S206" s="8" t="n">
        <v>46063.6994212963</v>
      </c>
    </row>
    <row r="207" hidden="1" ht="29" customHeight="1">
      <c r="A207" s="15">
        <f>HYPERLINK("https://vtmf.veevavault.com/ui/#doc_info/30961437/1/0", "VTMF-24956014")</f>
        <v/>
      </c>
      <c r="B207" s="19" t="inlineStr">
        <is>
          <t>No</t>
        </is>
      </c>
      <c r="C207" s="5" t="inlineStr">
        <is>
          <t>1.0</t>
        </is>
      </c>
      <c r="D207" s="5" t="inlineStr">
        <is>
          <t>GCO</t>
        </is>
      </c>
      <c r="E207" s="5" t="inlineStr">
        <is>
          <t>42847922MDD3003</t>
        </is>
      </c>
      <c r="F207" s="16">
        <f>HYPERLINK("https://vtmf.veevavault.com/ui/#doc_info/30961437/1/0", "42847922MDD3003-COL-S10-CO10001-Non-IP Shipment Documentation-07 Jan 2026 (v1.0)")</f>
        <v/>
      </c>
      <c r="G207" s="5" t="inlineStr">
        <is>
          <t>IP and Trial Supplies</t>
        </is>
      </c>
      <c r="H207" s="5" t="inlineStr">
        <is>
          <t>Non-IP Documentation</t>
        </is>
      </c>
      <c r="I207" s="5" t="inlineStr">
        <is>
          <t>Non-IP Shipment Documentation</t>
        </is>
      </c>
      <c r="J207" s="5" t="inlineStr">
        <is>
          <t>Site receipt_ECG_07 Jan 2026</t>
        </is>
      </c>
      <c r="K207" s="6" t="n">
        <v>35</v>
      </c>
      <c r="L207" s="7" t="n">
        <v>46029</v>
      </c>
      <c r="M207" s="11" t="n">
        <v>46064</v>
      </c>
      <c r="N207" s="5" t="inlineStr">
        <is>
          <t>Approved</t>
        </is>
      </c>
      <c r="O207" s="5" t="inlineStr">
        <is>
          <t>Site</t>
        </is>
      </c>
      <c r="P207" s="5" t="inlineStr">
        <is>
          <t>Colombia</t>
        </is>
      </c>
      <c r="Q207" s="13" t="inlineStr">
        <is>
          <t>S10-CO10001</t>
        </is>
      </c>
      <c r="R207" s="5" t="inlineStr">
        <is>
          <t>Maria Fernanda Galeano (VeevaID)</t>
        </is>
      </c>
      <c r="S207" s="8" t="n">
        <v>46063.76638888889</v>
      </c>
    </row>
    <row r="208" hidden="1" ht="29" customHeight="1">
      <c r="A208" s="15">
        <f>HYPERLINK("https://vtmf.veevavault.com/ui/#doc_info/30962515/1/0", "VTMF-24957076")</f>
        <v/>
      </c>
      <c r="B208" s="20" t="inlineStr">
        <is>
          <t>Yes</t>
        </is>
      </c>
      <c r="C208" s="5" t="inlineStr">
        <is>
          <t>1.0</t>
        </is>
      </c>
      <c r="D208" s="5" t="inlineStr">
        <is>
          <t>GCO</t>
        </is>
      </c>
      <c r="E208" s="5" t="inlineStr">
        <is>
          <t>42847922MDD3003</t>
        </is>
      </c>
      <c r="F208" s="16">
        <f>HYPERLINK("https://vtmf.veevavault.com/ui/#doc_info/30962515/1/0", "42847922MDD3003-PRT-S10-PT10014-Relevant Communications-18 Aug 2025 (v1.0)")</f>
        <v/>
      </c>
      <c r="G208" s="5" t="inlineStr">
        <is>
          <t>Site Management</t>
        </is>
      </c>
      <c r="H208" s="5" t="inlineStr">
        <is>
          <t>General</t>
        </is>
      </c>
      <c r="I208" s="5" t="inlineStr">
        <is>
          <t>Relevant Communications</t>
        </is>
      </c>
      <c r="J208" s="5" t="inlineStr">
        <is>
          <t>PT100140002 Screening period extension request_ approved</t>
        </is>
      </c>
      <c r="K208" s="6" t="n">
        <v>177</v>
      </c>
      <c r="L208" s="7" t="n">
        <v>45887</v>
      </c>
      <c r="M208" s="11" t="n">
        <v>46064</v>
      </c>
      <c r="N208" s="5" t="inlineStr">
        <is>
          <t>Approved</t>
        </is>
      </c>
      <c r="O208" s="5" t="inlineStr">
        <is>
          <t>Site</t>
        </is>
      </c>
      <c r="P208" s="5" t="inlineStr">
        <is>
          <t>Portugal</t>
        </is>
      </c>
      <c r="Q208" s="13" t="inlineStr">
        <is>
          <t>S10-PT10014</t>
        </is>
      </c>
      <c r="R208" s="5" t="inlineStr">
        <is>
          <t>Debhora Garcia</t>
        </is>
      </c>
      <c r="S208" s="8" t="n">
        <v>46063.92284722222</v>
      </c>
    </row>
    <row r="209" hidden="1" ht="43.5" customHeight="1">
      <c r="A209" s="15">
        <f>HYPERLINK("https://vtmf.veevavault.com/ui/#doc_info/30963217/1/0", "VTMF-24957626")</f>
        <v/>
      </c>
      <c r="B209" s="20" t="inlineStr">
        <is>
          <t>Yes</t>
        </is>
      </c>
      <c r="C209" s="5" t="inlineStr">
        <is>
          <t>1.0</t>
        </is>
      </c>
      <c r="D209" s="5" t="inlineStr">
        <is>
          <t>GCO</t>
        </is>
      </c>
      <c r="E209" s="5" t="inlineStr">
        <is>
          <t>42847922MDD3003</t>
        </is>
      </c>
      <c r="F209" s="16">
        <f>HYPERLINK("https://vtmf.veevavault.com/ui/#doc_info/30963217/1/0", "42847922MDD3003-ARG-S10-AR10002-Relevant Communications-29 Sep 2025 (v1.0)")</f>
        <v/>
      </c>
      <c r="G209" s="5" t="inlineStr">
        <is>
          <t>Site Management</t>
        </is>
      </c>
      <c r="H209" s="5" t="inlineStr">
        <is>
          <t>General</t>
        </is>
      </c>
      <c r="I209" s="5" t="inlineStr">
        <is>
          <t>Relevant Communications</t>
        </is>
      </c>
      <c r="J209" s="5" t="inlineStr">
        <is>
          <t>PI_ Dr. Gerardo Marcelo Garcia Bonetto M.D.._Site_ S10-AR10002 (Argentina)_Subject ID_ AR100020004_Visit_ Retest_Alert_ Glucose Fasting</t>
        </is>
      </c>
      <c r="K209" s="6" t="n">
        <v>134</v>
      </c>
      <c r="L209" s="7" t="n">
        <v>45929</v>
      </c>
      <c r="M209" s="11" t="n">
        <v>46063</v>
      </c>
      <c r="N209" s="5" t="inlineStr">
        <is>
          <t>Approved</t>
        </is>
      </c>
      <c r="O209" s="5" t="inlineStr">
        <is>
          <t>Site</t>
        </is>
      </c>
      <c r="P209" s="5" t="inlineStr">
        <is>
          <t>Argentina</t>
        </is>
      </c>
      <c r="Q209" s="13" t="inlineStr">
        <is>
          <t>S10-AR10002</t>
        </is>
      </c>
      <c r="R209" s="5" t="inlineStr">
        <is>
          <t>Debhora Garcia</t>
        </is>
      </c>
      <c r="S209" s="8" t="n">
        <v>46064.08681712963</v>
      </c>
    </row>
    <row r="210" hidden="1" ht="29" customHeight="1">
      <c r="A210" s="15">
        <f>HYPERLINK("https://vtmf.veevavault.com/ui/#doc_info/30963195/1/0", "VTMF-24957670")</f>
        <v/>
      </c>
      <c r="B210" s="20" t="inlineStr">
        <is>
          <t>Yes</t>
        </is>
      </c>
      <c r="C210" s="5" t="inlineStr">
        <is>
          <t>1.0</t>
        </is>
      </c>
      <c r="D210" s="5" t="inlineStr">
        <is>
          <t>GCO</t>
        </is>
      </c>
      <c r="E210" s="5" t="inlineStr">
        <is>
          <t>42847922MDD3003</t>
        </is>
      </c>
      <c r="F210" s="16">
        <f>HYPERLINK("https://vtmf.veevavault.com/ui/#doc_info/30963195/1/0", "42847922MDD3003-BRA-S10-BR10021-Relevant Communications-04 Jun 2025 (v1.0)")</f>
        <v/>
      </c>
      <c r="G210" s="5" t="inlineStr">
        <is>
          <t>Site Management</t>
        </is>
      </c>
      <c r="H210" s="5" t="inlineStr">
        <is>
          <t>General</t>
        </is>
      </c>
      <c r="I210" s="5" t="inlineStr">
        <is>
          <t>Relevant Communications</t>
        </is>
      </c>
      <c r="J210" s="5" t="inlineStr">
        <is>
          <t>S10-BR10021_PI Kelen Recco _ BR100210002 I Discussion AE</t>
        </is>
      </c>
      <c r="K210" s="6" t="n">
        <v>251</v>
      </c>
      <c r="L210" s="7" t="n">
        <v>45812</v>
      </c>
      <c r="M210" s="11" t="n">
        <v>46063</v>
      </c>
      <c r="N210" s="5" t="inlineStr">
        <is>
          <t>Approved</t>
        </is>
      </c>
      <c r="O210" s="5" t="inlineStr">
        <is>
          <t>Site</t>
        </is>
      </c>
      <c r="P210" s="5" t="inlineStr">
        <is>
          <t>Brazil</t>
        </is>
      </c>
      <c r="Q210" s="13" t="inlineStr">
        <is>
          <t>S10-BR10021</t>
        </is>
      </c>
      <c r="R210" s="5" t="inlineStr">
        <is>
          <t>Debhora Garcia</t>
        </is>
      </c>
      <c r="S210" s="8" t="n">
        <v>46064.09753472222</v>
      </c>
    </row>
    <row r="211" hidden="1" ht="29" customHeight="1">
      <c r="A211" s="15">
        <f>HYPERLINK("https://vtmf.veevavault.com/ui/#doc_info/30963243/1/0", "VTMF-24957685")</f>
        <v/>
      </c>
      <c r="B211" s="20" t="inlineStr">
        <is>
          <t>Yes</t>
        </is>
      </c>
      <c r="C211" s="5" t="inlineStr">
        <is>
          <t>1.0</t>
        </is>
      </c>
      <c r="D211" s="5" t="inlineStr">
        <is>
          <t>GCO</t>
        </is>
      </c>
      <c r="E211" s="5" t="inlineStr">
        <is>
          <t>42847922MDD3003</t>
        </is>
      </c>
      <c r="F211" s="16">
        <f>HYPERLINK("https://vtmf.veevavault.com/ui/#doc_info/30963243/1/0", "42847922MDD3003-BRA-S10-BR10021-Relevant Communications-11 Jun 2025 (v1.0)")</f>
        <v/>
      </c>
      <c r="G211" s="5" t="inlineStr">
        <is>
          <t>Site Management</t>
        </is>
      </c>
      <c r="H211" s="5" t="inlineStr">
        <is>
          <t>General</t>
        </is>
      </c>
      <c r="I211" s="5" t="inlineStr">
        <is>
          <t>Relevant Communications</t>
        </is>
      </c>
      <c r="J211" s="5" t="inlineStr">
        <is>
          <t>S10-BR10021_PI Kelen Recco _ BR100210002 I Discussion AE Labyrinthitis conmeds</t>
        </is>
      </c>
      <c r="K211" s="6" t="n">
        <v>244</v>
      </c>
      <c r="L211" s="7" t="n">
        <v>45819</v>
      </c>
      <c r="M211" s="11" t="n">
        <v>46063</v>
      </c>
      <c r="N211" s="5" t="inlineStr">
        <is>
          <t>Approved</t>
        </is>
      </c>
      <c r="O211" s="5" t="inlineStr">
        <is>
          <t>Site</t>
        </is>
      </c>
      <c r="P211" s="5" t="inlineStr">
        <is>
          <t>Brazil</t>
        </is>
      </c>
      <c r="Q211" s="13" t="inlineStr">
        <is>
          <t>S10-BR10021</t>
        </is>
      </c>
      <c r="R211" s="5" t="inlineStr">
        <is>
          <t>Debhora Garcia</t>
        </is>
      </c>
      <c r="S211" s="8" t="n">
        <v>46064.10137731482</v>
      </c>
    </row>
    <row r="212" hidden="1" ht="29" customHeight="1">
      <c r="A212" s="15">
        <f>HYPERLINK("https://vtmf.veevavault.com/ui/#doc_info/30963255/1/0", "VTMF-24957705")</f>
        <v/>
      </c>
      <c r="B212" s="20" t="inlineStr">
        <is>
          <t>Yes</t>
        </is>
      </c>
      <c r="C212" s="5" t="inlineStr">
        <is>
          <t>1.0</t>
        </is>
      </c>
      <c r="D212" s="5" t="inlineStr">
        <is>
          <t>GCO</t>
        </is>
      </c>
      <c r="E212" s="5" t="inlineStr">
        <is>
          <t>42847922MDD3003</t>
        </is>
      </c>
      <c r="F212" s="16">
        <f>HYPERLINK("https://vtmf.veevavault.com/ui/#doc_info/30963255/1/0", "42847922MDD3003-BRA-S10-BR10023-Relevant Communications-05 May 2025 (v1.0)")</f>
        <v/>
      </c>
      <c r="G212" s="5" t="inlineStr">
        <is>
          <t>Site Management</t>
        </is>
      </c>
      <c r="H212" s="5" t="inlineStr">
        <is>
          <t>General</t>
        </is>
      </c>
      <c r="I212" s="5" t="inlineStr">
        <is>
          <t>Relevant Communications</t>
        </is>
      </c>
      <c r="J212" s="5" t="inlineStr">
        <is>
          <t>Retification – Confirmation of Local Laboratory Testing for Subject BR100230001</t>
        </is>
      </c>
      <c r="K212" s="6" t="n">
        <v>281</v>
      </c>
      <c r="L212" s="7" t="n">
        <v>45782</v>
      </c>
      <c r="M212" s="11" t="n">
        <v>46063</v>
      </c>
      <c r="N212" s="5" t="inlineStr">
        <is>
          <t>Approved</t>
        </is>
      </c>
      <c r="O212" s="5" t="inlineStr">
        <is>
          <t>Site</t>
        </is>
      </c>
      <c r="P212" s="5" t="inlineStr">
        <is>
          <t>Brazil</t>
        </is>
      </c>
      <c r="Q212" s="13" t="inlineStr">
        <is>
          <t>S10-BR10023</t>
        </is>
      </c>
      <c r="R212" s="5" t="inlineStr">
        <is>
          <t>Debhora Garcia</t>
        </is>
      </c>
      <c r="S212" s="8" t="n">
        <v>46064.10452546296</v>
      </c>
    </row>
    <row r="213" hidden="1" ht="29" customHeight="1">
      <c r="A213" s="15">
        <f>HYPERLINK("https://vtmf.veevavault.com/ui/#doc_info/30963263/1/0", "VTMF-24957718")</f>
        <v/>
      </c>
      <c r="B213" s="20" t="inlineStr">
        <is>
          <t>Yes</t>
        </is>
      </c>
      <c r="C213" s="5" t="inlineStr">
        <is>
          <t>1.0</t>
        </is>
      </c>
      <c r="D213" s="5" t="inlineStr">
        <is>
          <t>GCO</t>
        </is>
      </c>
      <c r="E213" s="5" t="inlineStr">
        <is>
          <t>42847922MDD3003</t>
        </is>
      </c>
      <c r="F213" s="16">
        <f>HYPERLINK("https://vtmf.veevavault.com/ui/#doc_info/30963263/1/0", "42847922MDD3003-BRA-S10-BR10023-Relevant Communications-05 May 2025 (v1.0)")</f>
        <v/>
      </c>
      <c r="G213" s="5" t="inlineStr">
        <is>
          <t>Site Management</t>
        </is>
      </c>
      <c r="H213" s="5" t="inlineStr">
        <is>
          <t>General</t>
        </is>
      </c>
      <c r="I213" s="5" t="inlineStr">
        <is>
          <t>Relevant Communications</t>
        </is>
      </c>
      <c r="J213" s="5" t="inlineStr">
        <is>
          <t>Retification – Confirmation of Local Laboratory Testing for Subject BR100230001</t>
        </is>
      </c>
      <c r="K213" s="6" t="n">
        <v>281</v>
      </c>
      <c r="L213" s="7" t="n">
        <v>45782</v>
      </c>
      <c r="M213" s="11" t="n">
        <v>46063</v>
      </c>
      <c r="N213" s="5" t="inlineStr">
        <is>
          <t>Approved</t>
        </is>
      </c>
      <c r="O213" s="5" t="inlineStr">
        <is>
          <t>Site</t>
        </is>
      </c>
      <c r="P213" s="5" t="inlineStr">
        <is>
          <t>Brazil</t>
        </is>
      </c>
      <c r="Q213" s="13" t="inlineStr">
        <is>
          <t>S10-BR10023</t>
        </is>
      </c>
      <c r="R213" s="5" t="inlineStr">
        <is>
          <t>Debhora Garcia</t>
        </is>
      </c>
      <c r="S213" s="8" t="n">
        <v>46064.10704861111</v>
      </c>
    </row>
    <row r="214" hidden="1" ht="43.5" customHeight="1">
      <c r="A214" s="15">
        <f>HYPERLINK("https://vtmf.veevavault.com/ui/#doc_info/30963270/1/0", "VTMF-24957728")</f>
        <v/>
      </c>
      <c r="B214" s="20" t="inlineStr">
        <is>
          <t>Yes</t>
        </is>
      </c>
      <c r="C214" s="5" t="inlineStr">
        <is>
          <t>1.0</t>
        </is>
      </c>
      <c r="D214" s="5" t="inlineStr">
        <is>
          <t>GCO</t>
        </is>
      </c>
      <c r="E214" s="5" t="inlineStr">
        <is>
          <t>42847922MDD3003</t>
        </is>
      </c>
      <c r="F214" s="16">
        <f>HYPERLINK("https://vtmf.veevavault.com/ui/#doc_info/30963270/1/0", "42847922MDD3003-BRA-S10-BR10013-Relevant Communications-14 Jul 2025 (v1.0)")</f>
        <v/>
      </c>
      <c r="G214" s="5" t="inlineStr">
        <is>
          <t>Site Management</t>
        </is>
      </c>
      <c r="H214" s="5" t="inlineStr">
        <is>
          <t>General</t>
        </is>
      </c>
      <c r="I214" s="5" t="inlineStr">
        <is>
          <t>Relevant Communications</t>
        </is>
      </c>
      <c r="J214" s="5" t="inlineStr">
        <is>
          <t>PI_ Alexei Gil M.D._Site_ BR10013(Brazil)_Subject ID_ BR100130001_F_Visit_ Part 1 DB Baseline_Alert_ Glucose Fasting , Chloride</t>
        </is>
      </c>
      <c r="K214" s="6" t="n">
        <v>211</v>
      </c>
      <c r="L214" s="7" t="n">
        <v>45852</v>
      </c>
      <c r="M214" s="11" t="n">
        <v>46063</v>
      </c>
      <c r="N214" s="5" t="inlineStr">
        <is>
          <t>Approved</t>
        </is>
      </c>
      <c r="O214" s="5" t="inlineStr">
        <is>
          <t>Site</t>
        </is>
      </c>
      <c r="P214" s="5" t="inlineStr">
        <is>
          <t>Brazil</t>
        </is>
      </c>
      <c r="Q214" s="13" t="inlineStr">
        <is>
          <t>S10-BR10013</t>
        </is>
      </c>
      <c r="R214" s="5" t="inlineStr">
        <is>
          <t>Debhora Garcia</t>
        </is>
      </c>
      <c r="S214" s="8" t="n">
        <v>46064.10975694445</v>
      </c>
    </row>
    <row r="215" hidden="1" ht="43.5" customHeight="1">
      <c r="A215" s="15">
        <f>HYPERLINK("https://vtmf.veevavault.com/ui/#doc_info/30963274/1/0", "VTMF-24957734")</f>
        <v/>
      </c>
      <c r="B215" s="20" t="inlineStr">
        <is>
          <t>Yes</t>
        </is>
      </c>
      <c r="C215" s="5" t="inlineStr">
        <is>
          <t>1.0</t>
        </is>
      </c>
      <c r="D215" s="5" t="inlineStr">
        <is>
          <t>GCO</t>
        </is>
      </c>
      <c r="E215" s="5" t="inlineStr">
        <is>
          <t>42847922MDD3003</t>
        </is>
      </c>
      <c r="F215" s="16">
        <f>HYPERLINK("https://vtmf.veevavault.com/ui/#doc_info/30963274/1/0", "42847922MDD3003-BRA-S10-BR10013-Relevant Communications-28 Jul 2025 (v1.0)")</f>
        <v/>
      </c>
      <c r="G215" s="5" t="inlineStr">
        <is>
          <t>Site Management</t>
        </is>
      </c>
      <c r="H215" s="5" t="inlineStr">
        <is>
          <t>General</t>
        </is>
      </c>
      <c r="I215" s="5" t="inlineStr">
        <is>
          <t>Relevant Communications</t>
        </is>
      </c>
      <c r="J215" s="5" t="inlineStr">
        <is>
          <t>PI_ Alexei Gil M.D._Site_ BR10013(Brazil)_Subject ID_ BR100130003_F_Visit_ Part 1 Screening_Alert_Glucose Fasting</t>
        </is>
      </c>
      <c r="K215" s="6" t="n">
        <v>197</v>
      </c>
      <c r="L215" s="7" t="n">
        <v>45866</v>
      </c>
      <c r="M215" s="11" t="n">
        <v>46063</v>
      </c>
      <c r="N215" s="5" t="inlineStr">
        <is>
          <t>Approved</t>
        </is>
      </c>
      <c r="O215" s="5" t="inlineStr">
        <is>
          <t>Site</t>
        </is>
      </c>
      <c r="P215" s="5" t="inlineStr">
        <is>
          <t>Brazil</t>
        </is>
      </c>
      <c r="Q215" s="13" t="inlineStr">
        <is>
          <t>S10-BR10013</t>
        </is>
      </c>
      <c r="R215" s="5" t="inlineStr">
        <is>
          <t>Debhora Garcia</t>
        </is>
      </c>
      <c r="S215" s="8" t="n">
        <v>46064.11155092593</v>
      </c>
    </row>
    <row r="216" hidden="1" ht="43.5" customHeight="1">
      <c r="A216" s="15">
        <f>HYPERLINK("https://vtmf.veevavault.com/ui/#doc_info/30963277/1/0", "VTMF-24957743")</f>
        <v/>
      </c>
      <c r="B216" s="20" t="inlineStr">
        <is>
          <t>Yes</t>
        </is>
      </c>
      <c r="C216" s="5" t="inlineStr">
        <is>
          <t>1.0</t>
        </is>
      </c>
      <c r="D216" s="5" t="inlineStr">
        <is>
          <t>GCO</t>
        </is>
      </c>
      <c r="E216" s="5" t="inlineStr">
        <is>
          <t>42847922MDD3003</t>
        </is>
      </c>
      <c r="F216" s="16">
        <f>HYPERLINK("https://vtmf.veevavault.com/ui/#doc_info/30963277/1/0", "42847922MDD3003-BRA-S10-BR10003-Relevant Communications-15 Jul 2025 (v1.0)")</f>
        <v/>
      </c>
      <c r="G216" s="5" t="inlineStr">
        <is>
          <t>Site Management</t>
        </is>
      </c>
      <c r="H216" s="5" t="inlineStr">
        <is>
          <t>General</t>
        </is>
      </c>
      <c r="I216" s="5" t="inlineStr">
        <is>
          <t>Relevant Communications</t>
        </is>
      </c>
      <c r="J216" s="5" t="inlineStr">
        <is>
          <t>PI_ Dr. Vasconcellos, Eduardo M.D.._Site_ S10-BR10003 (Brazil)_Subject ID_ BR100030002_Visit_ VISIT 1 _ _ Alert-T Waves_ Flat</t>
        </is>
      </c>
      <c r="K216" s="6" t="n">
        <v>210</v>
      </c>
      <c r="L216" s="7" t="n">
        <v>45853</v>
      </c>
      <c r="M216" s="11" t="n">
        <v>46063</v>
      </c>
      <c r="N216" s="5" t="inlineStr">
        <is>
          <t>Approved</t>
        </is>
      </c>
      <c r="O216" s="5" t="inlineStr">
        <is>
          <t>Site</t>
        </is>
      </c>
      <c r="P216" s="5" t="inlineStr">
        <is>
          <t>Brazil</t>
        </is>
      </c>
      <c r="Q216" s="13" t="inlineStr">
        <is>
          <t>S10-BR10003</t>
        </is>
      </c>
      <c r="R216" s="5" t="inlineStr">
        <is>
          <t>Debhora Garcia</t>
        </is>
      </c>
      <c r="S216" s="8" t="n">
        <v>46064.11325231481</v>
      </c>
    </row>
    <row r="217" hidden="1" ht="43.5" customHeight="1">
      <c r="A217" s="15">
        <f>HYPERLINK("https://vtmf.veevavault.com/ui/#doc_info/30966959/1/0", "VTMF-24960740")</f>
        <v/>
      </c>
      <c r="B217" s="20" t="inlineStr">
        <is>
          <t>Yes</t>
        </is>
      </c>
      <c r="C217" s="5" t="inlineStr">
        <is>
          <t>1.0</t>
        </is>
      </c>
      <c r="D217" s="5" t="inlineStr">
        <is>
          <t>GCO</t>
        </is>
      </c>
      <c r="E217" s="5" t="inlineStr">
        <is>
          <t>42847922MDD3003</t>
        </is>
      </c>
      <c r="F217" s="16">
        <f>HYPERLINK("https://vtmf.veevavault.com/ui/#doc_info/30966959/1/0", "42847922MDD3003-USA-S10-US10064-Relevant Communications-25 Sep 2024 (v1.0)")</f>
        <v/>
      </c>
      <c r="G217" s="5" t="inlineStr">
        <is>
          <t>Site Management</t>
        </is>
      </c>
      <c r="H217" s="5" t="inlineStr">
        <is>
          <t>General</t>
        </is>
      </c>
      <c r="I217" s="5" t="inlineStr">
        <is>
          <t>Relevant Communications</t>
        </is>
      </c>
      <c r="J217" s="5" t="inlineStr">
        <is>
          <t>MDD3003_PI: Dr. Jorge Venereo M.D._Site: US10064 (United States)_Subject ID: US100640004/F_Visit: Part 1 Screening / _Alert: Creatinine Clearance</t>
        </is>
      </c>
      <c r="K217" s="6" t="n">
        <v>504</v>
      </c>
      <c r="L217" s="7" t="n">
        <v>45560</v>
      </c>
      <c r="M217" s="11" t="n">
        <v>46064</v>
      </c>
      <c r="N217" s="5" t="inlineStr">
        <is>
          <t>Approved</t>
        </is>
      </c>
      <c r="O217" s="5" t="inlineStr">
        <is>
          <t>Site</t>
        </is>
      </c>
      <c r="P217" s="5" t="inlineStr">
        <is>
          <t>United States</t>
        </is>
      </c>
      <c r="Q217" s="13" t="inlineStr">
        <is>
          <t>S10-US10064</t>
        </is>
      </c>
      <c r="R217" s="5" t="inlineStr">
        <is>
          <t>Gabriela Dluska</t>
        </is>
      </c>
      <c r="S217" s="8" t="n">
        <v>46064.55755787037</v>
      </c>
    </row>
    <row r="218" hidden="1" ht="43.5" customHeight="1">
      <c r="A218" s="15">
        <f>HYPERLINK("https://vtmf.veevavault.com/ui/#doc_info/30966960/1/0", "VTMF-24960741")</f>
        <v/>
      </c>
      <c r="B218" s="20" t="inlineStr">
        <is>
          <t>Yes</t>
        </is>
      </c>
      <c r="C218" s="5" t="inlineStr">
        <is>
          <t>1.0</t>
        </is>
      </c>
      <c r="D218" s="5" t="inlineStr">
        <is>
          <t>GCO</t>
        </is>
      </c>
      <c r="E218" s="5" t="inlineStr">
        <is>
          <t>42847922MDD3003</t>
        </is>
      </c>
      <c r="F218" s="16">
        <f>HYPERLINK("https://vtmf.veevavault.com/ui/#doc_info/30966960/1/0", "42847922MDD3003-USA-S10-US10064-Relevant Communications-20 Dec 2024 (v1.0)")</f>
        <v/>
      </c>
      <c r="G218" s="5" t="inlineStr">
        <is>
          <t>Site Management</t>
        </is>
      </c>
      <c r="H218" s="5" t="inlineStr">
        <is>
          <t>General</t>
        </is>
      </c>
      <c r="I218" s="5" t="inlineStr">
        <is>
          <t>Relevant Communications</t>
        </is>
      </c>
      <c r="J218" s="5" t="inlineStr">
        <is>
          <t>MDD3003_PI: Dr. Jorge Venereo M.D._Site: US10064 (United States)_Subject ID: US100640004_Visit: Part 2 OL Induction Baseline_Alert: Neutrophils</t>
        </is>
      </c>
      <c r="K218" s="6" t="n">
        <v>418</v>
      </c>
      <c r="L218" s="7" t="n">
        <v>45646</v>
      </c>
      <c r="M218" s="11" t="n">
        <v>46064</v>
      </c>
      <c r="N218" s="5" t="inlineStr">
        <is>
          <t>Approved</t>
        </is>
      </c>
      <c r="O218" s="5" t="inlineStr">
        <is>
          <t>Site</t>
        </is>
      </c>
      <c r="P218" s="5" t="inlineStr">
        <is>
          <t>United States</t>
        </is>
      </c>
      <c r="Q218" s="13" t="inlineStr">
        <is>
          <t>S10-US10064</t>
        </is>
      </c>
      <c r="R218" s="5" t="inlineStr">
        <is>
          <t>Gabriela Dluska</t>
        </is>
      </c>
      <c r="S218" s="8" t="n">
        <v>46064.55755787037</v>
      </c>
    </row>
    <row r="219" hidden="1" ht="43.5" customHeight="1">
      <c r="A219" s="15">
        <f>HYPERLINK("https://vtmf.veevavault.com/ui/#doc_info/30966961/1/0", "VTMF-24960742")</f>
        <v/>
      </c>
      <c r="B219" s="20" t="inlineStr">
        <is>
          <t>Yes</t>
        </is>
      </c>
      <c r="C219" s="5" t="inlineStr">
        <is>
          <t>1.0</t>
        </is>
      </c>
      <c r="D219" s="5" t="inlineStr">
        <is>
          <t>GCO</t>
        </is>
      </c>
      <c r="E219" s="5" t="inlineStr">
        <is>
          <t>42847922MDD3003</t>
        </is>
      </c>
      <c r="F219" s="16">
        <f>HYPERLINK("https://vtmf.veevavault.com/ui/#doc_info/30966961/1/0", "42847922MDD3003-USA-S10-US10064-Relevant Communications-26 Sep 2024 (v1.0)")</f>
        <v/>
      </c>
      <c r="G219" s="5" t="inlineStr">
        <is>
          <t>Site Management</t>
        </is>
      </c>
      <c r="H219" s="5" t="inlineStr">
        <is>
          <t>General</t>
        </is>
      </c>
      <c r="I219" s="5" t="inlineStr">
        <is>
          <t>Relevant Communications</t>
        </is>
      </c>
      <c r="J219" s="5" t="inlineStr">
        <is>
          <t>MDD3003_PI: Dr. Jorge Venereo M.D._Site: US10064 (United States)_Subject ID: US100640006/F_Visit: Part 1 Screening / _Alert: Creatinine Clearance</t>
        </is>
      </c>
      <c r="K219" s="6" t="n">
        <v>503</v>
      </c>
      <c r="L219" s="7" t="n">
        <v>45561</v>
      </c>
      <c r="M219" s="11" t="n">
        <v>46064</v>
      </c>
      <c r="N219" s="5" t="inlineStr">
        <is>
          <t>Approved</t>
        </is>
      </c>
      <c r="O219" s="5" t="inlineStr">
        <is>
          <t>Site</t>
        </is>
      </c>
      <c r="P219" s="5" t="inlineStr">
        <is>
          <t>United States</t>
        </is>
      </c>
      <c r="Q219" s="13" t="inlineStr">
        <is>
          <t>S10-US10064</t>
        </is>
      </c>
      <c r="R219" s="5" t="inlineStr">
        <is>
          <t>Gabriela Dluska</t>
        </is>
      </c>
      <c r="S219" s="8" t="n">
        <v>46064.55755787037</v>
      </c>
    </row>
    <row r="220" hidden="1" ht="43.5" customHeight="1">
      <c r="A220" s="15">
        <f>HYPERLINK("https://vtmf.veevavault.com/ui/#doc_info/30966962/1/0", "VTMF-24960743")</f>
        <v/>
      </c>
      <c r="B220" s="20" t="inlineStr">
        <is>
          <t>Yes</t>
        </is>
      </c>
      <c r="C220" s="5" t="inlineStr">
        <is>
          <t>1.0</t>
        </is>
      </c>
      <c r="D220" s="5" t="inlineStr">
        <is>
          <t>GCO</t>
        </is>
      </c>
      <c r="E220" s="5" t="inlineStr">
        <is>
          <t>42847922MDD3003</t>
        </is>
      </c>
      <c r="F220" s="16">
        <f>HYPERLINK("https://vtmf.veevavault.com/ui/#doc_info/30966962/1/0", "42847922MDD3003-USA-S10-US10046-Relevant Communications-13 Sep 2024 (v1.0)")</f>
        <v/>
      </c>
      <c r="G220" s="5" t="inlineStr">
        <is>
          <t>Site Management</t>
        </is>
      </c>
      <c r="H220" s="5" t="inlineStr">
        <is>
          <t>General</t>
        </is>
      </c>
      <c r="I220" s="5" t="inlineStr">
        <is>
          <t>Relevant Communications</t>
        </is>
      </c>
      <c r="J220" s="5" t="inlineStr">
        <is>
          <t>MDD3003_PI: Dr. Moraima Trujillo_Site: US10046 (United States)_Subject ID: US100460003/F_Visit: Part 1 Screening_Alert: FSH</t>
        </is>
      </c>
      <c r="K220" s="6" t="n">
        <v>516</v>
      </c>
      <c r="L220" s="7" t="n">
        <v>45548</v>
      </c>
      <c r="M220" s="11" t="n">
        <v>46064</v>
      </c>
      <c r="N220" s="5" t="inlineStr">
        <is>
          <t>Approved</t>
        </is>
      </c>
      <c r="O220" s="5" t="inlineStr">
        <is>
          <t>Site</t>
        </is>
      </c>
      <c r="P220" s="5" t="inlineStr">
        <is>
          <t>United States</t>
        </is>
      </c>
      <c r="Q220" s="13" t="inlineStr">
        <is>
          <t>S10-US10046</t>
        </is>
      </c>
      <c r="R220" s="5" t="inlineStr">
        <is>
          <t>Gabriela Dluska</t>
        </is>
      </c>
      <c r="S220" s="8" t="n">
        <v>46064.55755787037</v>
      </c>
    </row>
    <row r="221" hidden="1" ht="43.5" customHeight="1">
      <c r="A221" s="15">
        <f>HYPERLINK("https://vtmf.veevavault.com/ui/#doc_info/30966963/1/0", "VTMF-24960744")</f>
        <v/>
      </c>
      <c r="B221" s="20" t="inlineStr">
        <is>
          <t>Yes</t>
        </is>
      </c>
      <c r="C221" s="5" t="inlineStr">
        <is>
          <t>1.0</t>
        </is>
      </c>
      <c r="D221" s="5" t="inlineStr">
        <is>
          <t>GCO</t>
        </is>
      </c>
      <c r="E221" s="5" t="inlineStr">
        <is>
          <t>42847922MDD3003</t>
        </is>
      </c>
      <c r="F221" s="16">
        <f>HYPERLINK("https://vtmf.veevavault.com/ui/#doc_info/30966963/1/0", "42847922MDD3003-USA-S10-US10065-Relevant Communications-13 Sep 2024 (v1.0)")</f>
        <v/>
      </c>
      <c r="G221" s="5" t="inlineStr">
        <is>
          <t>Site Management</t>
        </is>
      </c>
      <c r="H221" s="5" t="inlineStr">
        <is>
          <t>General</t>
        </is>
      </c>
      <c r="I221" s="5" t="inlineStr">
        <is>
          <t>Relevant Communications</t>
        </is>
      </c>
      <c r="J221" s="5" t="inlineStr">
        <is>
          <t>MDD3003_PI: Dr. Divyansu Patel_Site: US10065 (United States)_Subject ID: US100650002/F_Visit: Part 1 Screening_Alert: Cannabinoids</t>
        </is>
      </c>
      <c r="K221" s="6" t="n">
        <v>516</v>
      </c>
      <c r="L221" s="7" t="n">
        <v>45548</v>
      </c>
      <c r="M221" s="11" t="n">
        <v>46064</v>
      </c>
      <c r="N221" s="5" t="inlineStr">
        <is>
          <t>Approved</t>
        </is>
      </c>
      <c r="O221" s="5" t="inlineStr">
        <is>
          <t>Site</t>
        </is>
      </c>
      <c r="P221" s="5" t="inlineStr">
        <is>
          <t>United States</t>
        </is>
      </c>
      <c r="Q221" s="13" t="inlineStr">
        <is>
          <t>S10-US10065</t>
        </is>
      </c>
      <c r="R221" s="5" t="inlineStr">
        <is>
          <t>Gabriela Dluska</t>
        </is>
      </c>
      <c r="S221" s="8" t="n">
        <v>46064.55755787037</v>
      </c>
    </row>
    <row r="222" hidden="1" ht="29" customHeight="1">
      <c r="A222" s="15">
        <f>HYPERLINK("https://vtmf.veevavault.com/ui/#doc_info/30966964/1/0", "VTMF-24960745")</f>
        <v/>
      </c>
      <c r="B222" s="20" t="inlineStr">
        <is>
          <t>Yes</t>
        </is>
      </c>
      <c r="C222" s="5" t="inlineStr">
        <is>
          <t>1.0</t>
        </is>
      </c>
      <c r="D222" s="5" t="inlineStr">
        <is>
          <t>GCO</t>
        </is>
      </c>
      <c r="E222" s="5" t="inlineStr">
        <is>
          <t>42847922MDD3003</t>
        </is>
      </c>
      <c r="F222" s="16">
        <f>HYPERLINK("https://vtmf.veevavault.com/ui/#doc_info/30966964/1/0", "42847922MDD3003-USA-S10-US10064-Relevant Communications-05 Sep 2024 (v1.0)")</f>
        <v/>
      </c>
      <c r="G222" s="5" t="inlineStr">
        <is>
          <t>Site Management</t>
        </is>
      </c>
      <c r="H222" s="5" t="inlineStr">
        <is>
          <t>General</t>
        </is>
      </c>
      <c r="I222" s="5" t="inlineStr">
        <is>
          <t>Relevant Communications</t>
        </is>
      </c>
      <c r="J222" s="5" t="inlineStr">
        <is>
          <t>MDD3003 eligibility review Subject US100640002 - If passes First CTNI/SAFER</t>
        </is>
      </c>
      <c r="K222" s="6" t="n">
        <v>524</v>
      </c>
      <c r="L222" s="7" t="n">
        <v>45540</v>
      </c>
      <c r="M222" s="11" t="n">
        <v>46064</v>
      </c>
      <c r="N222" s="5" t="inlineStr">
        <is>
          <t>Approved</t>
        </is>
      </c>
      <c r="O222" s="5" t="inlineStr">
        <is>
          <t>Site</t>
        </is>
      </c>
      <c r="P222" s="5" t="inlineStr">
        <is>
          <t>United States</t>
        </is>
      </c>
      <c r="Q222" s="13" t="inlineStr">
        <is>
          <t>S10-US10064</t>
        </is>
      </c>
      <c r="R222" s="5" t="inlineStr">
        <is>
          <t>Gabriela Dluska</t>
        </is>
      </c>
      <c r="S222" s="8" t="n">
        <v>46064.55755787037</v>
      </c>
    </row>
    <row r="223" hidden="1" ht="43.5" customHeight="1">
      <c r="A223" s="15">
        <f>HYPERLINK("https://vtmf.veevavault.com/ui/#doc_info/30966965/1/0", "VTMF-24960746")</f>
        <v/>
      </c>
      <c r="B223" s="20" t="inlineStr">
        <is>
          <t>Yes</t>
        </is>
      </c>
      <c r="C223" s="5" t="inlineStr">
        <is>
          <t>1.0</t>
        </is>
      </c>
      <c r="D223" s="5" t="inlineStr">
        <is>
          <t>GCO</t>
        </is>
      </c>
      <c r="E223" s="5" t="inlineStr">
        <is>
          <t>42847922MDD3003</t>
        </is>
      </c>
      <c r="F223" s="16">
        <f>HYPERLINK("https://vtmf.veevavault.com/ui/#doc_info/30966965/1/0", "42847922MDD3003-USA-S10-US10103-Relevant Communications-11 Sep 2024 (v1.0)")</f>
        <v/>
      </c>
      <c r="G223" s="5" t="inlineStr">
        <is>
          <t>Site Management</t>
        </is>
      </c>
      <c r="H223" s="5" t="inlineStr">
        <is>
          <t>General</t>
        </is>
      </c>
      <c r="I223" s="5" t="inlineStr">
        <is>
          <t>Relevant Communications</t>
        </is>
      </c>
      <c r="J223" s="5" t="inlineStr">
        <is>
          <t>MDD3003_PI: Dr. Americo Padilla M.D._Site: US10103 (United States)_Subject ID: US101030003_Visit: Part 1 Screening_Alert: Ur Leukocyte Esterase</t>
        </is>
      </c>
      <c r="K223" s="6" t="n">
        <v>518</v>
      </c>
      <c r="L223" s="7" t="n">
        <v>45546</v>
      </c>
      <c r="M223" s="11" t="n">
        <v>46064</v>
      </c>
      <c r="N223" s="5" t="inlineStr">
        <is>
          <t>Approved</t>
        </is>
      </c>
      <c r="O223" s="5" t="inlineStr">
        <is>
          <t>Site</t>
        </is>
      </c>
      <c r="P223" s="5" t="inlineStr">
        <is>
          <t>United States</t>
        </is>
      </c>
      <c r="Q223" s="13" t="inlineStr">
        <is>
          <t>S10-US10103</t>
        </is>
      </c>
      <c r="R223" s="5" t="inlineStr">
        <is>
          <t>Gabriela Dluska</t>
        </is>
      </c>
      <c r="S223" s="8" t="n">
        <v>46064.55755787037</v>
      </c>
    </row>
    <row r="224" hidden="1" ht="43.5" customHeight="1">
      <c r="A224" s="15">
        <f>HYPERLINK("https://vtmf.veevavault.com/ui/#doc_info/30966966/1/0", "VTMF-24960747")</f>
        <v/>
      </c>
      <c r="B224" s="20" t="inlineStr">
        <is>
          <t>Yes</t>
        </is>
      </c>
      <c r="C224" s="5" t="inlineStr">
        <is>
          <t>1.0</t>
        </is>
      </c>
      <c r="D224" s="5" t="inlineStr">
        <is>
          <t>GCO</t>
        </is>
      </c>
      <c r="E224" s="5" t="inlineStr">
        <is>
          <t>42847922MDD3003</t>
        </is>
      </c>
      <c r="F224" s="16">
        <f>HYPERLINK("https://vtmf.veevavault.com/ui/#doc_info/30966966/1/0", "42847922MDD3003-USA-S10-US10103-Relevant Communications-11 Sep 2024 (v1.0)")</f>
        <v/>
      </c>
      <c r="G224" s="5" t="inlineStr">
        <is>
          <t>Site Management</t>
        </is>
      </c>
      <c r="H224" s="5" t="inlineStr">
        <is>
          <t>General</t>
        </is>
      </c>
      <c r="I224" s="5" t="inlineStr">
        <is>
          <t>Relevant Communications</t>
        </is>
      </c>
      <c r="J224" s="5" t="inlineStr">
        <is>
          <t>MDD3003_PI: Dr. Americo Padilla M.D._Site: US10103 (United States)_Subject ID: US101030004_Visit: Part 1 Screening_Alert: Glucose Fasting/Ur Glucose</t>
        </is>
      </c>
      <c r="K224" s="6" t="n">
        <v>518</v>
      </c>
      <c r="L224" s="7" t="n">
        <v>45546</v>
      </c>
      <c r="M224" s="11" t="n">
        <v>46064</v>
      </c>
      <c r="N224" s="5" t="inlineStr">
        <is>
          <t>Approved</t>
        </is>
      </c>
      <c r="O224" s="5" t="inlineStr">
        <is>
          <t>Site</t>
        </is>
      </c>
      <c r="P224" s="5" t="inlineStr">
        <is>
          <t>United States</t>
        </is>
      </c>
      <c r="Q224" s="13" t="inlineStr">
        <is>
          <t>S10-US10103</t>
        </is>
      </c>
      <c r="R224" s="5" t="inlineStr">
        <is>
          <t>Gabriela Dluska</t>
        </is>
      </c>
      <c r="S224" s="8" t="n">
        <v>46064.55755787037</v>
      </c>
    </row>
    <row r="225" hidden="1" ht="43.5" customHeight="1">
      <c r="A225" s="15">
        <f>HYPERLINK("https://vtmf.veevavault.com/ui/#doc_info/30966967/1/0", "VTMF-24960748")</f>
        <v/>
      </c>
      <c r="B225" s="20" t="inlineStr">
        <is>
          <t>Yes</t>
        </is>
      </c>
      <c r="C225" s="5" t="inlineStr">
        <is>
          <t>1.0</t>
        </is>
      </c>
      <c r="D225" s="5" t="inlineStr">
        <is>
          <t>GCO</t>
        </is>
      </c>
      <c r="E225" s="5" t="inlineStr">
        <is>
          <t>42847922MDD3003</t>
        </is>
      </c>
      <c r="F225" s="16">
        <f>HYPERLINK("https://vtmf.veevavault.com/ui/#doc_info/30966967/1/0", "42847922MDD3003-USA-S10-US10064-Relevant Communications-14 Jan 2025 (v1.0)")</f>
        <v/>
      </c>
      <c r="G225" s="5" t="inlineStr">
        <is>
          <t>Site Management</t>
        </is>
      </c>
      <c r="H225" s="5" t="inlineStr">
        <is>
          <t>General</t>
        </is>
      </c>
      <c r="I225" s="5" t="inlineStr">
        <is>
          <t>Relevant Communications</t>
        </is>
      </c>
      <c r="J225" s="5" t="inlineStr">
        <is>
          <t>MDD3003_PI: Dr. Jorge Venereo M.D._Site: US10064 (United States)_Subject ID: US100640006_Visit: End of Phase/Treatment_Alert: Hematology panel -cancelled</t>
        </is>
      </c>
      <c r="K225" s="6" t="n">
        <v>393</v>
      </c>
      <c r="L225" s="7" t="n">
        <v>45671</v>
      </c>
      <c r="M225" s="11" t="n">
        <v>46064</v>
      </c>
      <c r="N225" s="5" t="inlineStr">
        <is>
          <t>Approved</t>
        </is>
      </c>
      <c r="O225" s="5" t="inlineStr">
        <is>
          <t>Site</t>
        </is>
      </c>
      <c r="P225" s="5" t="inlineStr">
        <is>
          <t>United States</t>
        </is>
      </c>
      <c r="Q225" s="13" t="inlineStr">
        <is>
          <t>S10-US10064</t>
        </is>
      </c>
      <c r="R225" s="5" t="inlineStr">
        <is>
          <t>Gabriela Dluska</t>
        </is>
      </c>
      <c r="S225" s="8" t="n">
        <v>46064.55755787037</v>
      </c>
    </row>
    <row r="226" hidden="1" ht="43.5" customHeight="1">
      <c r="A226" s="15">
        <f>HYPERLINK("https://vtmf.veevavault.com/ui/#doc_info/30966968/1/0", "VTMF-24960749")</f>
        <v/>
      </c>
      <c r="B226" s="20" t="inlineStr">
        <is>
          <t>Yes</t>
        </is>
      </c>
      <c r="C226" s="5" t="inlineStr">
        <is>
          <t>1.0</t>
        </is>
      </c>
      <c r="D226" s="5" t="inlineStr">
        <is>
          <t>GCO</t>
        </is>
      </c>
      <c r="E226" s="5" t="inlineStr">
        <is>
          <t>42847922MDD3003</t>
        </is>
      </c>
      <c r="F226" s="16">
        <f>HYPERLINK("https://vtmf.veevavault.com/ui/#doc_info/30966968/1/0", "42847922MDD3003-USA-S10-US10046-Relevant Communications-10 Sep 2024 (v1.0)")</f>
        <v/>
      </c>
      <c r="G226" s="5" t="inlineStr">
        <is>
          <t>Site Management</t>
        </is>
      </c>
      <c r="H226" s="5" t="inlineStr">
        <is>
          <t>General</t>
        </is>
      </c>
      <c r="I226" s="5" t="inlineStr">
        <is>
          <t>Relevant Communications</t>
        </is>
      </c>
      <c r="J226" s="5" t="inlineStr">
        <is>
          <t>MDD3003_PI: Dr. Moraima Trujillo_Site: US10046 (United States)_Subject ID: US100460004/F_Visit: Part 1 Screening_Alert: Urine glucose</t>
        </is>
      </c>
      <c r="K226" s="6" t="n">
        <v>519</v>
      </c>
      <c r="L226" s="7" t="n">
        <v>45545</v>
      </c>
      <c r="M226" s="11" t="n">
        <v>46064</v>
      </c>
      <c r="N226" s="5" t="inlineStr">
        <is>
          <t>Approved</t>
        </is>
      </c>
      <c r="O226" s="5" t="inlineStr">
        <is>
          <t>Site</t>
        </is>
      </c>
      <c r="P226" s="5" t="inlineStr">
        <is>
          <t>United States</t>
        </is>
      </c>
      <c r="Q226" s="13" t="inlineStr">
        <is>
          <t>S10-US10046</t>
        </is>
      </c>
      <c r="R226" s="5" t="inlineStr">
        <is>
          <t>Gabriela Dluska</t>
        </is>
      </c>
      <c r="S226" s="8" t="n">
        <v>46064.55755787037</v>
      </c>
    </row>
    <row r="227" hidden="1" ht="43.5" customHeight="1">
      <c r="A227" s="15">
        <f>HYPERLINK("https://vtmf.veevavault.com/ui/#doc_info/30966969/1/0", "VTMF-24960750")</f>
        <v/>
      </c>
      <c r="B227" s="20" t="inlineStr">
        <is>
          <t>Yes</t>
        </is>
      </c>
      <c r="C227" s="5" t="inlineStr">
        <is>
          <t>1.0</t>
        </is>
      </c>
      <c r="D227" s="5" t="inlineStr">
        <is>
          <t>GCO</t>
        </is>
      </c>
      <c r="E227" s="5" t="inlineStr">
        <is>
          <t>42847922MDD3003</t>
        </is>
      </c>
      <c r="F227" s="16">
        <f>HYPERLINK("https://vtmf.veevavault.com/ui/#doc_info/30966969/1/0", "42847922MDD3003-USA-S10-US10001-Relevant Communications-31 Jan 2025 (v1.0)")</f>
        <v/>
      </c>
      <c r="G227" s="5" t="inlineStr">
        <is>
          <t>Site Management</t>
        </is>
      </c>
      <c r="H227" s="5" t="inlineStr">
        <is>
          <t>General</t>
        </is>
      </c>
      <c r="I227" s="5" t="inlineStr">
        <is>
          <t>Relevant Communications</t>
        </is>
      </c>
      <c r="J227" s="5" t="inlineStr">
        <is>
          <t>MDD3003_PI: Dr. Diana Ghelber_Site: US10001 (United States)_Subject ID: US100010006/F_Visit: UNSCHEDULED / _Alert: ECG- Low Voltage</t>
        </is>
      </c>
      <c r="K227" s="6" t="n">
        <v>376</v>
      </c>
      <c r="L227" s="7" t="n">
        <v>45688</v>
      </c>
      <c r="M227" s="11" t="n">
        <v>46064</v>
      </c>
      <c r="N227" s="5" t="inlineStr">
        <is>
          <t>Approved</t>
        </is>
      </c>
      <c r="O227" s="5" t="inlineStr">
        <is>
          <t>Site</t>
        </is>
      </c>
      <c r="P227" s="5" t="inlineStr">
        <is>
          <t>United States</t>
        </is>
      </c>
      <c r="Q227" s="13" t="inlineStr">
        <is>
          <t>S10-US10001</t>
        </is>
      </c>
      <c r="R227" s="5" t="inlineStr">
        <is>
          <t>Gabriela Dluska</t>
        </is>
      </c>
      <c r="S227" s="8" t="n">
        <v>46064.55755787037</v>
      </c>
    </row>
    <row r="228" hidden="1" ht="58" customHeight="1">
      <c r="A228" s="15">
        <f>HYPERLINK("https://vtmf.veevavault.com/ui/#doc_info/30966970/1/0", "VTMF-24960751")</f>
        <v/>
      </c>
      <c r="B228" s="20" t="inlineStr">
        <is>
          <t>Yes</t>
        </is>
      </c>
      <c r="C228" s="5" t="inlineStr">
        <is>
          <t>1.0</t>
        </is>
      </c>
      <c r="D228" s="5" t="inlineStr">
        <is>
          <t>GCO</t>
        </is>
      </c>
      <c r="E228" s="5" t="inlineStr">
        <is>
          <t>42847922MDD3003</t>
        </is>
      </c>
      <c r="F228" s="16">
        <f>HYPERLINK("https://vtmf.veevavault.com/ui/#doc_info/30966970/1/0", "42847922MDD3003-USA-S10-US10103-Relevant Communications-12 Sep 2024 (v1.0)")</f>
        <v/>
      </c>
      <c r="G228" s="5" t="inlineStr">
        <is>
          <t>Site Management</t>
        </is>
      </c>
      <c r="H228" s="5" t="inlineStr">
        <is>
          <t>General</t>
        </is>
      </c>
      <c r="I228" s="5" t="inlineStr">
        <is>
          <t>Relevant Communications</t>
        </is>
      </c>
      <c r="J228" s="5" t="inlineStr">
        <is>
          <t>MDD3003_PI: Dr. Americo Padilla M.D._Site: US10103 (United States)_Subject ID: US101030001_Visit: Part 1 Screening_Alert: Hemoglobin/Glucose Fasting/Ur Glucose/Ur Blood</t>
        </is>
      </c>
      <c r="K228" s="6" t="n">
        <v>517</v>
      </c>
      <c r="L228" s="7" t="n">
        <v>45547</v>
      </c>
      <c r="M228" s="11" t="n">
        <v>46064</v>
      </c>
      <c r="N228" s="5" t="inlineStr">
        <is>
          <t>Approved</t>
        </is>
      </c>
      <c r="O228" s="5" t="inlineStr">
        <is>
          <t>Site</t>
        </is>
      </c>
      <c r="P228" s="5" t="inlineStr">
        <is>
          <t>United States</t>
        </is>
      </c>
      <c r="Q228" s="13" t="inlineStr">
        <is>
          <t>S10-US10103</t>
        </is>
      </c>
      <c r="R228" s="5" t="inlineStr">
        <is>
          <t>Gabriela Dluska</t>
        </is>
      </c>
      <c r="S228" s="8" t="n">
        <v>46064.55755787037</v>
      </c>
    </row>
    <row r="229" hidden="1" ht="43.5" customHeight="1">
      <c r="A229" s="15">
        <f>HYPERLINK("https://vtmf.veevavault.com/ui/#doc_info/30966971/1/0", "VTMF-24960752")</f>
        <v/>
      </c>
      <c r="B229" s="20" t="inlineStr">
        <is>
          <t>Yes</t>
        </is>
      </c>
      <c r="C229" s="5" t="inlineStr">
        <is>
          <t>1.0</t>
        </is>
      </c>
      <c r="D229" s="5" t="inlineStr">
        <is>
          <t>GCO</t>
        </is>
      </c>
      <c r="E229" s="5" t="inlineStr">
        <is>
          <t>42847922MDD3003</t>
        </is>
      </c>
      <c r="F229" s="16">
        <f>HYPERLINK("https://vtmf.veevavault.com/ui/#doc_info/30966971/1/0", "42847922MDD3003-USA-S10-US10064-Relevant Communications-10 Sep 2024 (v1.0)")</f>
        <v/>
      </c>
      <c r="G229" s="5" t="inlineStr">
        <is>
          <t>Site Management</t>
        </is>
      </c>
      <c r="H229" s="5" t="inlineStr">
        <is>
          <t>General</t>
        </is>
      </c>
      <c r="I229" s="5" t="inlineStr">
        <is>
          <t>Relevant Communications</t>
        </is>
      </c>
      <c r="J229" s="5" t="inlineStr">
        <is>
          <t>MDD3003_PI: Dr. Jorge Venereo M.D._Site: US10064 (United States)_Subject ID: US100640001/F_Visit: Part 1 Screening_Alert: FSH</t>
        </is>
      </c>
      <c r="K229" s="6" t="n">
        <v>519</v>
      </c>
      <c r="L229" s="7" t="n">
        <v>45545</v>
      </c>
      <c r="M229" s="11" t="n">
        <v>46064</v>
      </c>
      <c r="N229" s="5" t="inlineStr">
        <is>
          <t>Approved</t>
        </is>
      </c>
      <c r="O229" s="5" t="inlineStr">
        <is>
          <t>Site</t>
        </is>
      </c>
      <c r="P229" s="5" t="inlineStr">
        <is>
          <t>United States</t>
        </is>
      </c>
      <c r="Q229" s="13" t="inlineStr">
        <is>
          <t>S10-US10064</t>
        </is>
      </c>
      <c r="R229" s="5" t="inlineStr">
        <is>
          <t>Gabriela Dluska</t>
        </is>
      </c>
      <c r="S229" s="8" t="n">
        <v>46064.55755787037</v>
      </c>
    </row>
    <row r="230" hidden="1" ht="43.5" customHeight="1">
      <c r="A230" s="15">
        <f>HYPERLINK("https://vtmf.veevavault.com/ui/#doc_info/30966972/1/0", "VTMF-24960753")</f>
        <v/>
      </c>
      <c r="B230" s="20" t="inlineStr">
        <is>
          <t>Yes</t>
        </is>
      </c>
      <c r="C230" s="5" t="inlineStr">
        <is>
          <t>1.0</t>
        </is>
      </c>
      <c r="D230" s="5" t="inlineStr">
        <is>
          <t>GCO</t>
        </is>
      </c>
      <c r="E230" s="5" t="inlineStr">
        <is>
          <t>42847922MDD3003</t>
        </is>
      </c>
      <c r="F230" s="16">
        <f>HYPERLINK("https://vtmf.veevavault.com/ui/#doc_info/30966972/1/0", "42847922MDD3003-USA-S10-US10064-Relevant Communications-10 Sep 2024 (v1.0)")</f>
        <v/>
      </c>
      <c r="G230" s="5" t="inlineStr">
        <is>
          <t>Site Management</t>
        </is>
      </c>
      <c r="H230" s="5" t="inlineStr">
        <is>
          <t>General</t>
        </is>
      </c>
      <c r="I230" s="5" t="inlineStr">
        <is>
          <t>Relevant Communications</t>
        </is>
      </c>
      <c r="J230" s="5" t="inlineStr">
        <is>
          <t>MDD3003_PI: Dr. Jorge Venereo M.D._Site: US10064 (United States)_Subject ID: US100640002/M_Visit: Part 1 Screening_Alert: eGFR</t>
        </is>
      </c>
      <c r="K230" s="6" t="n">
        <v>519</v>
      </c>
      <c r="L230" s="7" t="n">
        <v>45545</v>
      </c>
      <c r="M230" s="11" t="n">
        <v>46064</v>
      </c>
      <c r="N230" s="5" t="inlineStr">
        <is>
          <t>Approved</t>
        </is>
      </c>
      <c r="O230" s="5" t="inlineStr">
        <is>
          <t>Site</t>
        </is>
      </c>
      <c r="P230" s="5" t="inlineStr">
        <is>
          <t>United States</t>
        </is>
      </c>
      <c r="Q230" s="13" t="inlineStr">
        <is>
          <t>S10-US10064</t>
        </is>
      </c>
      <c r="R230" s="5" t="inlineStr">
        <is>
          <t>Gabriela Dluska</t>
        </is>
      </c>
      <c r="S230" s="8" t="n">
        <v>46064.55755787037</v>
      </c>
    </row>
    <row r="231" hidden="1" ht="43.5" customHeight="1">
      <c r="A231" s="15">
        <f>HYPERLINK("https://vtmf.veevavault.com/ui/#doc_info/30966973/1/0", "VTMF-24960754")</f>
        <v/>
      </c>
      <c r="B231" s="20" t="inlineStr">
        <is>
          <t>Yes</t>
        </is>
      </c>
      <c r="C231" s="5" t="inlineStr">
        <is>
          <t>1.0</t>
        </is>
      </c>
      <c r="D231" s="5" t="inlineStr">
        <is>
          <t>GCO</t>
        </is>
      </c>
      <c r="E231" s="5" t="inlineStr">
        <is>
          <t>42847922MDD3003</t>
        </is>
      </c>
      <c r="F231" s="16">
        <f>HYPERLINK("https://vtmf.veevavault.com/ui/#doc_info/30966973/1/0", "42847922MDD3003-USA-S10-US10064-Relevant Communications-17 Sep 2024 (v1.0)")</f>
        <v/>
      </c>
      <c r="G231" s="5" t="inlineStr">
        <is>
          <t>Site Management</t>
        </is>
      </c>
      <c r="H231" s="5" t="inlineStr">
        <is>
          <t>General</t>
        </is>
      </c>
      <c r="I231" s="5" t="inlineStr">
        <is>
          <t>Relevant Communications</t>
        </is>
      </c>
      <c r="J231" s="5" t="inlineStr">
        <is>
          <t>MDD3003_PI: Dr. Jorge Venereo M.D._Site: US10064 (United States)_Subject ID: US100640002/M_Visit: VISIT 1 / _Alert: ECG-SINUS BRADYCARDIA</t>
        </is>
      </c>
      <c r="K231" s="6" t="n">
        <v>512</v>
      </c>
      <c r="L231" s="7" t="n">
        <v>45552</v>
      </c>
      <c r="M231" s="11" t="n">
        <v>46064</v>
      </c>
      <c r="N231" s="5" t="inlineStr">
        <is>
          <t>Approved</t>
        </is>
      </c>
      <c r="O231" s="5" t="inlineStr">
        <is>
          <t>Site</t>
        </is>
      </c>
      <c r="P231" s="5" t="inlineStr">
        <is>
          <t>United States</t>
        </is>
      </c>
      <c r="Q231" s="13" t="inlineStr">
        <is>
          <t>S10-US10064</t>
        </is>
      </c>
      <c r="R231" s="5" t="inlineStr">
        <is>
          <t>Gabriela Dluska</t>
        </is>
      </c>
      <c r="S231" s="8" t="n">
        <v>46064.55755787037</v>
      </c>
    </row>
    <row r="232" hidden="1" ht="43.5" customHeight="1">
      <c r="A232" s="15">
        <f>HYPERLINK("https://vtmf.veevavault.com/ui/#doc_info/30966974/1/0", "VTMF-24960755")</f>
        <v/>
      </c>
      <c r="B232" s="20" t="inlineStr">
        <is>
          <t>Yes</t>
        </is>
      </c>
      <c r="C232" s="5" t="inlineStr">
        <is>
          <t>1.0</t>
        </is>
      </c>
      <c r="D232" s="5" t="inlineStr">
        <is>
          <t>GCO</t>
        </is>
      </c>
      <c r="E232" s="5" t="inlineStr">
        <is>
          <t>42847922MDD3003</t>
        </is>
      </c>
      <c r="F232" s="16">
        <f>HYPERLINK("https://vtmf.veevavault.com/ui/#doc_info/30966974/1/0", "42847922MDD3003-USA-S10-US10064-Relevant Communications-12 Mar 2025 (v1.0)")</f>
        <v/>
      </c>
      <c r="G232" s="5" t="inlineStr">
        <is>
          <t>Site Management</t>
        </is>
      </c>
      <c r="H232" s="5" t="inlineStr">
        <is>
          <t>General</t>
        </is>
      </c>
      <c r="I232" s="5" t="inlineStr">
        <is>
          <t>Relevant Communications</t>
        </is>
      </c>
      <c r="J232" s="5" t="inlineStr">
        <is>
          <t>MDD3003_PI_ Dr. Jorge Venereo M.D._Site_ US10064 (United States)_Subject ID_ US100640004_F_Visit_ End of Phase_Treatment _Alert_ Serum</t>
        </is>
      </c>
      <c r="K232" s="6" t="n">
        <v>336</v>
      </c>
      <c r="L232" s="7" t="n">
        <v>45728</v>
      </c>
      <c r="M232" s="11" t="n">
        <v>46064</v>
      </c>
      <c r="N232" s="5" t="inlineStr">
        <is>
          <t>Approved</t>
        </is>
      </c>
      <c r="O232" s="5" t="inlineStr">
        <is>
          <t>Site</t>
        </is>
      </c>
      <c r="P232" s="5" t="inlineStr">
        <is>
          <t>United States</t>
        </is>
      </c>
      <c r="Q232" s="13" t="inlineStr">
        <is>
          <t>S10-US10064</t>
        </is>
      </c>
      <c r="R232" s="5" t="inlineStr">
        <is>
          <t>Gabriela Dluska</t>
        </is>
      </c>
      <c r="S232" s="8" t="n">
        <v>46064.55755787037</v>
      </c>
    </row>
    <row r="233" hidden="1" ht="58" customHeight="1">
      <c r="A233" s="15">
        <f>HYPERLINK("https://vtmf.veevavault.com/ui/#doc_info/30968153/1/0", "VTMF-24961698")</f>
        <v/>
      </c>
      <c r="B233" s="20" t="inlineStr">
        <is>
          <t>Yes</t>
        </is>
      </c>
      <c r="C233" s="5" t="inlineStr">
        <is>
          <t>1.0</t>
        </is>
      </c>
      <c r="D233" s="5" t="inlineStr">
        <is>
          <t>GCO</t>
        </is>
      </c>
      <c r="E233" s="5" t="inlineStr">
        <is>
          <t>42847922MDD3003</t>
        </is>
      </c>
      <c r="F233" s="16">
        <f>HYPERLINK("https://vtmf.veevavault.com/ui/#doc_info/30968153/1/0", "42847922MDD3003-USA-S10-US10106-Relevant Communications-19 Sep 2024 (v1.0)")</f>
        <v/>
      </c>
      <c r="G233" s="5" t="inlineStr">
        <is>
          <t>Site Management</t>
        </is>
      </c>
      <c r="H233" s="5" t="inlineStr">
        <is>
          <t>General</t>
        </is>
      </c>
      <c r="I233" s="5" t="inlineStr">
        <is>
          <t>Relevant Communications</t>
        </is>
      </c>
      <c r="J233" s="5" t="inlineStr">
        <is>
          <t>MDD3003_PI: Dr. Riaz Baber._Site: S10-US10106(United States)_Subject ID: US101060003_Visit: VISIT 3 and Unscheduled Visit _Alert: ECG-Flat-T wave</t>
        </is>
      </c>
      <c r="K233" s="6" t="n">
        <v>510</v>
      </c>
      <c r="L233" s="7" t="n">
        <v>45554</v>
      </c>
      <c r="M233" s="11" t="n">
        <v>46064</v>
      </c>
      <c r="N233" s="5" t="inlineStr">
        <is>
          <t>Approved</t>
        </is>
      </c>
      <c r="O233" s="5" t="inlineStr">
        <is>
          <t>Site</t>
        </is>
      </c>
      <c r="P233" s="5" t="inlineStr">
        <is>
          <t>United States</t>
        </is>
      </c>
      <c r="Q233" s="13" t="inlineStr">
        <is>
          <t>S10-US10106</t>
        </is>
      </c>
      <c r="R233" s="5" t="inlineStr">
        <is>
          <t>Gabriela Dluska</t>
        </is>
      </c>
      <c r="S233" s="8" t="n">
        <v>46064.65201388889</v>
      </c>
    </row>
    <row r="234" hidden="1" ht="43.5" customHeight="1">
      <c r="A234" s="15">
        <f>HYPERLINK("https://vtmf.veevavault.com/ui/#doc_info/30968154/1/0", "VTMF-24961699")</f>
        <v/>
      </c>
      <c r="B234" s="20" t="inlineStr">
        <is>
          <t>Yes</t>
        </is>
      </c>
      <c r="C234" s="5" t="inlineStr">
        <is>
          <t>1.0</t>
        </is>
      </c>
      <c r="D234" s="5" t="inlineStr">
        <is>
          <t>GCO</t>
        </is>
      </c>
      <c r="E234" s="5" t="inlineStr">
        <is>
          <t>42847922MDD3003</t>
        </is>
      </c>
      <c r="F234" s="16">
        <f>HYPERLINK("https://vtmf.veevavault.com/ui/#doc_info/30968154/1/0", "42847922MDD3003-USA-S10-US10106-Relevant Communications-16 Sep 2024 (v1.0)")</f>
        <v/>
      </c>
      <c r="G234" s="5" t="inlineStr">
        <is>
          <t>Site Management</t>
        </is>
      </c>
      <c r="H234" s="5" t="inlineStr">
        <is>
          <t>General</t>
        </is>
      </c>
      <c r="I234" s="5" t="inlineStr">
        <is>
          <t>Relevant Communications</t>
        </is>
      </c>
      <c r="J234" s="5" t="inlineStr">
        <is>
          <t>MDD3003_PI: Dr. Riaz Baber._Site: S10-US10106(United States)_Subject ID: US101060003_Visit: VISIT 3_Alert: ECG-Flat-T wave</t>
        </is>
      </c>
      <c r="K234" s="6" t="n">
        <v>513</v>
      </c>
      <c r="L234" s="7" t="n">
        <v>45551</v>
      </c>
      <c r="M234" s="11" t="n">
        <v>46064</v>
      </c>
      <c r="N234" s="5" t="inlineStr">
        <is>
          <t>Approved</t>
        </is>
      </c>
      <c r="O234" s="5" t="inlineStr">
        <is>
          <t>Site</t>
        </is>
      </c>
      <c r="P234" s="5" t="inlineStr">
        <is>
          <t>United States</t>
        </is>
      </c>
      <c r="Q234" s="13" t="inlineStr">
        <is>
          <t>S10-US10106</t>
        </is>
      </c>
      <c r="R234" s="5" t="inlineStr">
        <is>
          <t>Gabriela Dluska</t>
        </is>
      </c>
      <c r="S234" s="8" t="n">
        <v>46064.65201388889</v>
      </c>
    </row>
    <row r="235" hidden="1" ht="43.5" customHeight="1">
      <c r="A235" s="15">
        <f>HYPERLINK("https://vtmf.veevavault.com/ui/#doc_info/30968155/1/0", "VTMF-24961700")</f>
        <v/>
      </c>
      <c r="B235" s="20" t="inlineStr">
        <is>
          <t>Yes</t>
        </is>
      </c>
      <c r="C235" s="5" t="inlineStr">
        <is>
          <t>1.0</t>
        </is>
      </c>
      <c r="D235" s="5" t="inlineStr">
        <is>
          <t>GCO</t>
        </is>
      </c>
      <c r="E235" s="5" t="inlineStr">
        <is>
          <t>42847922MDD3003</t>
        </is>
      </c>
      <c r="F235" s="16">
        <f>HYPERLINK("https://vtmf.veevavault.com/ui/#doc_info/30968155/1/0", "42847922MDD3003-USA-S10-US10067-Relevant Communications-11 Sep 2024 (v1.0)")</f>
        <v/>
      </c>
      <c r="G235" s="5" t="inlineStr">
        <is>
          <t>Site Management</t>
        </is>
      </c>
      <c r="H235" s="5" t="inlineStr">
        <is>
          <t>General</t>
        </is>
      </c>
      <c r="I235" s="5" t="inlineStr">
        <is>
          <t>Relevant Communications</t>
        </is>
      </c>
      <c r="J235" s="5" t="inlineStr">
        <is>
          <t>MDD3003_PI: Dr. Sherry Soefje_Site: US10067 (United States)_Subject ID: 
US100670001/F_Visit: Part 1 Screening_Alert: Ur Blood</t>
        </is>
      </c>
      <c r="K235" s="6" t="n">
        <v>518</v>
      </c>
      <c r="L235" s="7" t="n">
        <v>45546</v>
      </c>
      <c r="M235" s="11" t="n">
        <v>46064</v>
      </c>
      <c r="N235" s="5" t="inlineStr">
        <is>
          <t>Approved</t>
        </is>
      </c>
      <c r="O235" s="5" t="inlineStr">
        <is>
          <t>Site</t>
        </is>
      </c>
      <c r="P235" s="5" t="inlineStr">
        <is>
          <t>United States</t>
        </is>
      </c>
      <c r="Q235" s="13" t="inlineStr">
        <is>
          <t>S10-US10067</t>
        </is>
      </c>
      <c r="R235" s="5" t="inlineStr">
        <is>
          <t>Gabriela Dluska</t>
        </is>
      </c>
      <c r="S235" s="8" t="n">
        <v>46064.65201388889</v>
      </c>
    </row>
    <row r="236" hidden="1" ht="58" customHeight="1">
      <c r="A236" s="15">
        <f>HYPERLINK("https://vtmf.veevavault.com/ui/#doc_info/30968156/1/0", "VTMF-24961701")</f>
        <v/>
      </c>
      <c r="B236" s="20" t="inlineStr">
        <is>
          <t>Yes</t>
        </is>
      </c>
      <c r="C236" s="5" t="inlineStr">
        <is>
          <t>1.0</t>
        </is>
      </c>
      <c r="D236" s="5" t="inlineStr">
        <is>
          <t>GCO</t>
        </is>
      </c>
      <c r="E236" s="5" t="inlineStr">
        <is>
          <t>42847922MDD3003</t>
        </is>
      </c>
      <c r="F236" s="16">
        <f>HYPERLINK("https://vtmf.veevavault.com/ui/#doc_info/30968156/1/0", "42847922MDD3003-USA-S10-US10206-Relevant Communications-21 Feb 2025 (v1.0)")</f>
        <v/>
      </c>
      <c r="G236" s="5" t="inlineStr">
        <is>
          <t>Site Management</t>
        </is>
      </c>
      <c r="H236" s="5" t="inlineStr">
        <is>
          <t>General</t>
        </is>
      </c>
      <c r="I236" s="5" t="inlineStr">
        <is>
          <t>Relevant Communications</t>
        </is>
      </c>
      <c r="J236" s="5" t="inlineStr">
        <is>
          <t>MDD3003_PI: Dr. Khalid Salim M.D._Site: US10206(United States)_Subject ID: US102060009 _Visit: Part 1 Screening_Alert: Cannabinoid Drug Conf-LDT</t>
        </is>
      </c>
      <c r="K236" s="6" t="n">
        <v>355</v>
      </c>
      <c r="L236" s="7" t="n">
        <v>45709</v>
      </c>
      <c r="M236" s="11" t="n">
        <v>46064</v>
      </c>
      <c r="N236" s="5" t="inlineStr">
        <is>
          <t>Approved</t>
        </is>
      </c>
      <c r="O236" s="5" t="inlineStr">
        <is>
          <t>Site</t>
        </is>
      </c>
      <c r="P236" s="5" t="inlineStr">
        <is>
          <t>United States</t>
        </is>
      </c>
      <c r="Q236" s="13" t="inlineStr">
        <is>
          <t>S10-US10206</t>
        </is>
      </c>
      <c r="R236" s="5" t="inlineStr">
        <is>
          <t>Gabriela Dluska</t>
        </is>
      </c>
      <c r="S236" s="8" t="n">
        <v>46064.65201388889</v>
      </c>
    </row>
    <row r="237" hidden="1" ht="43.5" customHeight="1">
      <c r="A237" s="15">
        <f>HYPERLINK("https://vtmf.veevavault.com/ui/#doc_info/30968157/1/0", "VTMF-24961702")</f>
        <v/>
      </c>
      <c r="B237" s="20" t="inlineStr">
        <is>
          <t>Yes</t>
        </is>
      </c>
      <c r="C237" s="5" t="inlineStr">
        <is>
          <t>1.0</t>
        </is>
      </c>
      <c r="D237" s="5" t="inlineStr">
        <is>
          <t>GCO</t>
        </is>
      </c>
      <c r="E237" s="5" t="inlineStr">
        <is>
          <t>42847922MDD3003</t>
        </is>
      </c>
      <c r="F237" s="16">
        <f>HYPERLINK("https://vtmf.veevavault.com/ui/#doc_info/30968157/1/0", "42847922MDD3003-USA-S10-US10012-Relevant Communications-11 Sep 2024 (v1.0)")</f>
        <v/>
      </c>
      <c r="G237" s="5" t="inlineStr">
        <is>
          <t>Site Management</t>
        </is>
      </c>
      <c r="H237" s="5" t="inlineStr">
        <is>
          <t>General</t>
        </is>
      </c>
      <c r="I237" s="5" t="inlineStr">
        <is>
          <t>Relevant Communications</t>
        </is>
      </c>
      <c r="J237" s="5" t="inlineStr">
        <is>
          <t>MDD3003_PI_Shonna Piegari_ Site_US10012_Subject_US100120001_IQVIA Eligibility Review_Approved</t>
        </is>
      </c>
      <c r="K237" s="6" t="n">
        <v>518</v>
      </c>
      <c r="L237" s="7" t="n">
        <v>45546</v>
      </c>
      <c r="M237" s="11" t="n">
        <v>46064</v>
      </c>
      <c r="N237" s="5" t="inlineStr">
        <is>
          <t>Approved</t>
        </is>
      </c>
      <c r="O237" s="5" t="inlineStr">
        <is>
          <t>Site</t>
        </is>
      </c>
      <c r="P237" s="5" t="inlineStr">
        <is>
          <t>United States</t>
        </is>
      </c>
      <c r="Q237" s="13" t="inlineStr">
        <is>
          <t>S10-US10012</t>
        </is>
      </c>
      <c r="R237" s="5" t="inlineStr">
        <is>
          <t>Gabriela Dluska</t>
        </is>
      </c>
      <c r="S237" s="8" t="n">
        <v>46064.65201388889</v>
      </c>
    </row>
    <row r="238" hidden="1" ht="43.5" customHeight="1">
      <c r="A238" s="15">
        <f>HYPERLINK("https://vtmf.veevavault.com/ui/#doc_info/30968158/1/0", "VTMF-24961703")</f>
        <v/>
      </c>
      <c r="B238" s="20" t="inlineStr">
        <is>
          <t>Yes</t>
        </is>
      </c>
      <c r="C238" s="5" t="inlineStr">
        <is>
          <t>1.0</t>
        </is>
      </c>
      <c r="D238" s="5" t="inlineStr">
        <is>
          <t>GCO</t>
        </is>
      </c>
      <c r="E238" s="5" t="inlineStr">
        <is>
          <t>42847922MDD3003</t>
        </is>
      </c>
      <c r="F238" s="16">
        <f>HYPERLINK("https://vtmf.veevavault.com/ui/#doc_info/30968158/1/0", "42847922MDD3003-USA-S10-US10065-Relevant Communications-17 Sep 2024 (v1.0)")</f>
        <v/>
      </c>
      <c r="G238" s="5" t="inlineStr">
        <is>
          <t>Site Management</t>
        </is>
      </c>
      <c r="H238" s="5" t="inlineStr">
        <is>
          <t>General</t>
        </is>
      </c>
      <c r="I238" s="5" t="inlineStr">
        <is>
          <t>Relevant Communications</t>
        </is>
      </c>
      <c r="J238" s="5" t="inlineStr">
        <is>
          <t>MDD3003_PI: Dr. Divyansu Patel_Site: US10065 (United States)_Subject ID: US100650002/F_Visit: Part 1 Screening_Alert: Cannabinoids</t>
        </is>
      </c>
      <c r="K238" s="6" t="n">
        <v>512</v>
      </c>
      <c r="L238" s="7" t="n">
        <v>45552</v>
      </c>
      <c r="M238" s="11" t="n">
        <v>46064</v>
      </c>
      <c r="N238" s="5" t="inlineStr">
        <is>
          <t>Approved</t>
        </is>
      </c>
      <c r="O238" s="5" t="inlineStr">
        <is>
          <t>Site</t>
        </is>
      </c>
      <c r="P238" s="5" t="inlineStr">
        <is>
          <t>United States</t>
        </is>
      </c>
      <c r="Q238" s="13" t="inlineStr">
        <is>
          <t>S10-US10065</t>
        </is>
      </c>
      <c r="R238" s="5" t="inlineStr">
        <is>
          <t>Gabriela Dluska</t>
        </is>
      </c>
      <c r="S238" s="8" t="n">
        <v>46064.65201388889</v>
      </c>
    </row>
    <row r="239" hidden="1" ht="58" customHeight="1">
      <c r="A239" s="15">
        <f>HYPERLINK("https://vtmf.veevavault.com/ui/#doc_info/30968159/1/0", "VTMF-24961704")</f>
        <v/>
      </c>
      <c r="B239" s="20" t="inlineStr">
        <is>
          <t>Yes</t>
        </is>
      </c>
      <c r="C239" s="5" t="inlineStr">
        <is>
          <t>1.0</t>
        </is>
      </c>
      <c r="D239" s="5" t="inlineStr">
        <is>
          <t>GCO</t>
        </is>
      </c>
      <c r="E239" s="5" t="inlineStr">
        <is>
          <t>42847922MDD3003</t>
        </is>
      </c>
      <c r="F239" s="16">
        <f>HYPERLINK("https://vtmf.veevavault.com/ui/#doc_info/30968159/1/0", "42847922MDD3003-BRA-S10-BR10002-Relevant Communications-24 Feb 2025 (v1.0)")</f>
        <v/>
      </c>
      <c r="G239" s="5" t="inlineStr">
        <is>
          <t>Site Management</t>
        </is>
      </c>
      <c r="H239" s="5" t="inlineStr">
        <is>
          <t>General</t>
        </is>
      </c>
      <c r="I239" s="5" t="inlineStr">
        <is>
          <t>Relevant Communications</t>
        </is>
      </c>
      <c r="J239" s="5" t="inlineStr">
        <is>
          <t>MDD3003_PI: Dr. Sandra Ruschel M.D.._Site: 
BR10002 (Brazil)_Subject ID: BR100020009_Visit: Part 1 DB Baseline_ Alert-CPK, Cancelled-Hematology panel, ALT, serum bicarbonate</t>
        </is>
      </c>
      <c r="K239" s="6" t="n">
        <v>352</v>
      </c>
      <c r="L239" s="7" t="n">
        <v>45712</v>
      </c>
      <c r="M239" s="11" t="n">
        <v>46064</v>
      </c>
      <c r="N239" s="5" t="inlineStr">
        <is>
          <t>Approved</t>
        </is>
      </c>
      <c r="O239" s="5" t="inlineStr">
        <is>
          <t>Site</t>
        </is>
      </c>
      <c r="P239" s="5" t="inlineStr">
        <is>
          <t>Brazil</t>
        </is>
      </c>
      <c r="Q239" s="13" t="inlineStr">
        <is>
          <t>S10-BR10002</t>
        </is>
      </c>
      <c r="R239" s="5" t="inlineStr">
        <is>
          <t>Gabriela Dluska</t>
        </is>
      </c>
      <c r="S239" s="8" t="n">
        <v>46064.65201388889</v>
      </c>
    </row>
    <row r="240" hidden="1" ht="58" customHeight="1">
      <c r="A240" s="15">
        <f>HYPERLINK("https://vtmf.veevavault.com/ui/#doc_info/30968160/1/0", "VTMF-24961705")</f>
        <v/>
      </c>
      <c r="B240" s="20" t="inlineStr">
        <is>
          <t>Yes</t>
        </is>
      </c>
      <c r="C240" s="5" t="inlineStr">
        <is>
          <t>1.0</t>
        </is>
      </c>
      <c r="D240" s="5" t="inlineStr">
        <is>
          <t>GCO</t>
        </is>
      </c>
      <c r="E240" s="5" t="inlineStr">
        <is>
          <t>42847922MDD3003</t>
        </is>
      </c>
      <c r="F240" s="16">
        <f>HYPERLINK("https://vtmf.veevavault.com/ui/#doc_info/30968160/1/0", "42847922MDD3003-USA-S10-US10046-Relevant Communications-11 Sep 2024 (v1.0)")</f>
        <v/>
      </c>
      <c r="G240" s="5" t="inlineStr">
        <is>
          <t>Site Management</t>
        </is>
      </c>
      <c r="H240" s="5" t="inlineStr">
        <is>
          <t>General</t>
        </is>
      </c>
      <c r="I240" s="5" t="inlineStr">
        <is>
          <t>Relevant Communications</t>
        </is>
      </c>
      <c r="J240" s="5" t="inlineStr">
        <is>
          <t>MDD3003_PI_Moraima Trujillo_Site_US10046_Subject_US100460003_IQVIA Eligibility 
Review_Approved</t>
        </is>
      </c>
      <c r="K240" s="6" t="n">
        <v>518</v>
      </c>
      <c r="L240" s="7" t="n">
        <v>45546</v>
      </c>
      <c r="M240" s="11" t="n">
        <v>46064</v>
      </c>
      <c r="N240" s="5" t="inlineStr">
        <is>
          <t>Approved</t>
        </is>
      </c>
      <c r="O240" s="5" t="inlineStr">
        <is>
          <t>Site</t>
        </is>
      </c>
      <c r="P240" s="5" t="inlineStr">
        <is>
          <t>United States</t>
        </is>
      </c>
      <c r="Q240" s="13" t="inlineStr">
        <is>
          <t>S10-US10046</t>
        </is>
      </c>
      <c r="R240" s="5" t="inlineStr">
        <is>
          <t>Gabriela Dluska</t>
        </is>
      </c>
      <c r="S240" s="8" t="n">
        <v>46064.65201388889</v>
      </c>
    </row>
    <row r="241" hidden="1" ht="43.5" customHeight="1">
      <c r="A241" s="15">
        <f>HYPERLINK("https://vtmf.veevavault.com/ui/#doc_info/30968161/1/0", "VTMF-24961706")</f>
        <v/>
      </c>
      <c r="B241" s="20" t="inlineStr">
        <is>
          <t>Yes</t>
        </is>
      </c>
      <c r="C241" s="5" t="inlineStr">
        <is>
          <t>1.0</t>
        </is>
      </c>
      <c r="D241" s="5" t="inlineStr">
        <is>
          <t>GCO</t>
        </is>
      </c>
      <c r="E241" s="5" t="inlineStr">
        <is>
          <t>42847922MDD3003</t>
        </is>
      </c>
      <c r="F241" s="16">
        <f>HYPERLINK("https://vtmf.veevavault.com/ui/#doc_info/30968161/1/0", "42847922MDD3003-USA-S10-US10067-Relevant Communications-04 Mar 2025 (v1.0)")</f>
        <v/>
      </c>
      <c r="G241" s="5" t="inlineStr">
        <is>
          <t>Site Management</t>
        </is>
      </c>
      <c r="H241" s="5" t="inlineStr">
        <is>
          <t>General</t>
        </is>
      </c>
      <c r="I241" s="5" t="inlineStr">
        <is>
          <t>Relevant Communications</t>
        </is>
      </c>
      <c r="J241" s="5" t="inlineStr">
        <is>
          <t>MDD3003_PI_Sherry Soefje _ Site_S10-US10067_Subject_US100670005_IQVIA Eligibility 
Review_Approved</t>
        </is>
      </c>
      <c r="K241" s="6" t="n">
        <v>344</v>
      </c>
      <c r="L241" s="7" t="n">
        <v>45720</v>
      </c>
      <c r="M241" s="11" t="n">
        <v>46064</v>
      </c>
      <c r="N241" s="5" t="inlineStr">
        <is>
          <t>Approved</t>
        </is>
      </c>
      <c r="O241" s="5" t="inlineStr">
        <is>
          <t>Site</t>
        </is>
      </c>
      <c r="P241" s="5" t="inlineStr">
        <is>
          <t>United States</t>
        </is>
      </c>
      <c r="Q241" s="13" t="inlineStr">
        <is>
          <t>S10-US10067</t>
        </is>
      </c>
      <c r="R241" s="5" t="inlineStr">
        <is>
          <t>Gabriela Dluska</t>
        </is>
      </c>
      <c r="S241" s="8" t="n">
        <v>46064.65201388889</v>
      </c>
    </row>
    <row r="242" hidden="1" ht="58" customHeight="1">
      <c r="A242" s="15">
        <f>HYPERLINK("https://vtmf.veevavault.com/ui/#doc_info/30968162/1/0", "VTMF-24961707")</f>
        <v/>
      </c>
      <c r="B242" s="20" t="inlineStr">
        <is>
          <t>Yes</t>
        </is>
      </c>
      <c r="C242" s="5" t="inlineStr">
        <is>
          <t>1.0</t>
        </is>
      </c>
      <c r="D242" s="5" t="inlineStr">
        <is>
          <t>GCO</t>
        </is>
      </c>
      <c r="E242" s="5" t="inlineStr">
        <is>
          <t>42847922MDD3003</t>
        </is>
      </c>
      <c r="F242" s="16">
        <f>HYPERLINK("https://vtmf.veevavault.com/ui/#doc_info/30968162/1/0", "42847922MDD3003-USA-S10-US10067-Relevant Communications-12 Sep 2024 (v1.0)")</f>
        <v/>
      </c>
      <c r="G242" s="5" t="inlineStr">
        <is>
          <t>Site Management</t>
        </is>
      </c>
      <c r="H242" s="5" t="inlineStr">
        <is>
          <t>General</t>
        </is>
      </c>
      <c r="I242" s="5" t="inlineStr">
        <is>
          <t>Relevant Communications</t>
        </is>
      </c>
      <c r="J242" s="5" t="inlineStr">
        <is>
          <t>MDD3003_PI_Sherry Soefje_Site_US10067_Subject_US100670001_IQVIA Eligibility 
Review_Approved</t>
        </is>
      </c>
      <c r="K242" s="6" t="n">
        <v>517</v>
      </c>
      <c r="L242" s="7" t="n">
        <v>45547</v>
      </c>
      <c r="M242" s="11" t="n">
        <v>46064</v>
      </c>
      <c r="N242" s="5" t="inlineStr">
        <is>
          <t>Approved</t>
        </is>
      </c>
      <c r="O242" s="5" t="inlineStr">
        <is>
          <t>Site</t>
        </is>
      </c>
      <c r="P242" s="5" t="inlineStr">
        <is>
          <t>United States</t>
        </is>
      </c>
      <c r="Q242" s="13" t="inlineStr">
        <is>
          <t>S10-US10067</t>
        </is>
      </c>
      <c r="R242" s="5" t="inlineStr">
        <is>
          <t>Gabriela Dluska</t>
        </is>
      </c>
      <c r="S242" s="8" t="n">
        <v>46064.65201388889</v>
      </c>
    </row>
    <row r="243" hidden="1" ht="58" customHeight="1">
      <c r="A243" s="15">
        <f>HYPERLINK("https://vtmf.veevavault.com/ui/#doc_info/30968163/1/0", "VTMF-24961708")</f>
        <v/>
      </c>
      <c r="B243" s="20" t="inlineStr">
        <is>
          <t>Yes</t>
        </is>
      </c>
      <c r="C243" s="5" t="inlineStr">
        <is>
          <t>1.0</t>
        </is>
      </c>
      <c r="D243" s="5" t="inlineStr">
        <is>
          <t>GCO</t>
        </is>
      </c>
      <c r="E243" s="5" t="inlineStr">
        <is>
          <t>42847922MDD3003</t>
        </is>
      </c>
      <c r="F243" s="16">
        <f>HYPERLINK("https://vtmf.veevavault.com/ui/#doc_info/30968163/1/0", "42847922MDD3003-USA-S10-US10103-Relevant Communications-24 Sep 2024 (v1.0)")</f>
        <v/>
      </c>
      <c r="G243" s="5" t="inlineStr">
        <is>
          <t>Site Management</t>
        </is>
      </c>
      <c r="H243" s="5" t="inlineStr">
        <is>
          <t>General</t>
        </is>
      </c>
      <c r="I243" s="5" t="inlineStr">
        <is>
          <t>Relevant Communications</t>
        </is>
      </c>
      <c r="J243" s="5" t="inlineStr">
        <is>
          <t>MDD3003_PI: Dr. Americo Padilla M.D._Site: US10103(United States)_Subject ID: US101030007_Visit: Part 1 Screening_Alert: Triglycerides (GPO)</t>
        </is>
      </c>
      <c r="K243" s="6" t="n">
        <v>505</v>
      </c>
      <c r="L243" s="7" t="n">
        <v>45559</v>
      </c>
      <c r="M243" s="11" t="n">
        <v>46064</v>
      </c>
      <c r="N243" s="5" t="inlineStr">
        <is>
          <t>Approved</t>
        </is>
      </c>
      <c r="O243" s="5" t="inlineStr">
        <is>
          <t>Site</t>
        </is>
      </c>
      <c r="P243" s="5" t="inlineStr">
        <is>
          <t>United States</t>
        </is>
      </c>
      <c r="Q243" s="13" t="inlineStr">
        <is>
          <t>S10-US10103</t>
        </is>
      </c>
      <c r="R243" s="5" t="inlineStr">
        <is>
          <t>Gabriela Dluska</t>
        </is>
      </c>
      <c r="S243" s="8" t="n">
        <v>46064.65201388889</v>
      </c>
    </row>
    <row r="244" hidden="1" ht="43.5" customHeight="1">
      <c r="A244" s="15">
        <f>HYPERLINK("https://vtmf.veevavault.com/ui/#doc_info/30968164/1/0", "VTMF-24961709")</f>
        <v/>
      </c>
      <c r="B244" s="20" t="inlineStr">
        <is>
          <t>Yes</t>
        </is>
      </c>
      <c r="C244" s="5" t="inlineStr">
        <is>
          <t>1.0</t>
        </is>
      </c>
      <c r="D244" s="5" t="inlineStr">
        <is>
          <t>GCO</t>
        </is>
      </c>
      <c r="E244" s="5" t="inlineStr">
        <is>
          <t>42847922MDD3003</t>
        </is>
      </c>
      <c r="F244" s="16">
        <f>HYPERLINK("https://vtmf.veevavault.com/ui/#doc_info/30968164/1/0", "42847922MDD3003-USA-S10-US10001-Relevant Communications-31 Jan 2025 (v1.0)")</f>
        <v/>
      </c>
      <c r="G244" s="5" t="inlineStr">
        <is>
          <t>Site Management</t>
        </is>
      </c>
      <c r="H244" s="5" t="inlineStr">
        <is>
          <t>General</t>
        </is>
      </c>
      <c r="I244" s="5" t="inlineStr">
        <is>
          <t>Relevant Communications</t>
        </is>
      </c>
      <c r="J244" s="5" t="inlineStr">
        <is>
          <t>MDD3003_PI: Dr. Diana Ghelber_Site: US10001 (United States)_Subject ID: US100010006/F_Visit: UNSCHEDULED / _Alert: ECG- Low Voltage</t>
        </is>
      </c>
      <c r="K244" s="6" t="n">
        <v>376</v>
      </c>
      <c r="L244" s="7" t="n">
        <v>45688</v>
      </c>
      <c r="M244" s="11" t="n">
        <v>46064</v>
      </c>
      <c r="N244" s="5" t="inlineStr">
        <is>
          <t>Approved</t>
        </is>
      </c>
      <c r="O244" s="5" t="inlineStr">
        <is>
          <t>Site</t>
        </is>
      </c>
      <c r="P244" s="5" t="inlineStr">
        <is>
          <t>United States</t>
        </is>
      </c>
      <c r="Q244" s="13" t="inlineStr">
        <is>
          <t>S10-US10001</t>
        </is>
      </c>
      <c r="R244" s="5" t="inlineStr">
        <is>
          <t>Gabriela Dluska</t>
        </is>
      </c>
      <c r="S244" s="8" t="n">
        <v>46064.65201388889</v>
      </c>
    </row>
    <row r="245" hidden="1" ht="43.5" customHeight="1">
      <c r="A245" s="15">
        <f>HYPERLINK("https://vtmf.veevavault.com/ui/#doc_info/30968165/1/0", "VTMF-24961710")</f>
        <v/>
      </c>
      <c r="B245" s="20" t="inlineStr">
        <is>
          <t>Yes</t>
        </is>
      </c>
      <c r="C245" s="5" t="inlineStr">
        <is>
          <t>1.0</t>
        </is>
      </c>
      <c r="D245" s="5" t="inlineStr">
        <is>
          <t>GCO</t>
        </is>
      </c>
      <c r="E245" s="5" t="inlineStr">
        <is>
          <t>42847922MDD3003</t>
        </is>
      </c>
      <c r="F245" s="16">
        <f>HYPERLINK("https://vtmf.veevavault.com/ui/#doc_info/30968165/1/0", "42847922MDD3003-USA-S10-US10065-Relevant Communications-17 Sep 2024 (v1.0)")</f>
        <v/>
      </c>
      <c r="G245" s="5" t="inlineStr">
        <is>
          <t>Site Management</t>
        </is>
      </c>
      <c r="H245" s="5" t="inlineStr">
        <is>
          <t>General</t>
        </is>
      </c>
      <c r="I245" s="5" t="inlineStr">
        <is>
          <t>Relevant Communications</t>
        </is>
      </c>
      <c r="J245" s="5" t="inlineStr">
        <is>
          <t>MDD3003_PI: Dr. Divyansu Patel_Site: US10065
(United States)_Subject ID: US100650002/F_Visit: Part 1 Screening_Alert: Cannabinoids</t>
        </is>
      </c>
      <c r="K245" s="6" t="n">
        <v>512</v>
      </c>
      <c r="L245" s="7" t="n">
        <v>45552</v>
      </c>
      <c r="M245" s="11" t="n">
        <v>46064</v>
      </c>
      <c r="N245" s="5" t="inlineStr">
        <is>
          <t>Approved</t>
        </is>
      </c>
      <c r="O245" s="5" t="inlineStr">
        <is>
          <t>Site</t>
        </is>
      </c>
      <c r="P245" s="5" t="inlineStr">
        <is>
          <t>United States</t>
        </is>
      </c>
      <c r="Q245" s="13" t="inlineStr">
        <is>
          <t>S10-US10065</t>
        </is>
      </c>
      <c r="R245" s="5" t="inlineStr">
        <is>
          <t>Gabriela Dluska</t>
        </is>
      </c>
      <c r="S245" s="8" t="n">
        <v>46064.65201388889</v>
      </c>
    </row>
    <row r="246" hidden="1" ht="43.5" customHeight="1">
      <c r="A246" s="15">
        <f>HYPERLINK("https://vtmf.veevavault.com/ui/#doc_info/30968166/1/0", "VTMF-24961711")</f>
        <v/>
      </c>
      <c r="B246" s="20" t="inlineStr">
        <is>
          <t>Yes</t>
        </is>
      </c>
      <c r="C246" s="5" t="inlineStr">
        <is>
          <t>1.0</t>
        </is>
      </c>
      <c r="D246" s="5" t="inlineStr">
        <is>
          <t>GCO</t>
        </is>
      </c>
      <c r="E246" s="5" t="inlineStr">
        <is>
          <t>42847922MDD3003</t>
        </is>
      </c>
      <c r="F246" s="16">
        <f>HYPERLINK("https://vtmf.veevavault.com/ui/#doc_info/30968166/1/0", "42847922MDD3003-USA-S10-US10064-Relevant Communications-13 Feb 2025 (v1.0)")</f>
        <v/>
      </c>
      <c r="G246" s="5" t="inlineStr">
        <is>
          <t>Site Management</t>
        </is>
      </c>
      <c r="H246" s="5" t="inlineStr">
        <is>
          <t>General</t>
        </is>
      </c>
      <c r="I246" s="5" t="inlineStr">
        <is>
          <t>Relevant Communications</t>
        </is>
      </c>
      <c r="J246" s="5" t="inlineStr">
        <is>
          <t>MDD3003_PI: Dr. Jorge Venereo M.D._Site: US10064 (United States)_Subject ID: US100640012/F_Visit: VISIT 8 / _Alert: ECG-Inverted T-WAVE</t>
        </is>
      </c>
      <c r="K246" s="6" t="n">
        <v>363</v>
      </c>
      <c r="L246" s="7" t="n">
        <v>45701</v>
      </c>
      <c r="M246" s="11" t="n">
        <v>46064</v>
      </c>
      <c r="N246" s="5" t="inlineStr">
        <is>
          <t>Approved</t>
        </is>
      </c>
      <c r="O246" s="5" t="inlineStr">
        <is>
          <t>Site</t>
        </is>
      </c>
      <c r="P246" s="5" t="inlineStr">
        <is>
          <t>United States</t>
        </is>
      </c>
      <c r="Q246" s="13" t="inlineStr">
        <is>
          <t>S10-US10064</t>
        </is>
      </c>
      <c r="R246" s="5" t="inlineStr">
        <is>
          <t>Gabriela Dluska</t>
        </is>
      </c>
      <c r="S246" s="8" t="n">
        <v>46064.65201388889</v>
      </c>
    </row>
    <row r="247" hidden="1" ht="43.5" customHeight="1">
      <c r="A247" s="15">
        <f>HYPERLINK("https://vtmf.veevavault.com/ui/#doc_info/30968167/1/0", "VTMF-24961712")</f>
        <v/>
      </c>
      <c r="B247" s="20" t="inlineStr">
        <is>
          <t>Yes</t>
        </is>
      </c>
      <c r="C247" s="5" t="inlineStr">
        <is>
          <t>1.0</t>
        </is>
      </c>
      <c r="D247" s="5" t="inlineStr">
        <is>
          <t>GCO</t>
        </is>
      </c>
      <c r="E247" s="5" t="inlineStr">
        <is>
          <t>42847922MDD3003</t>
        </is>
      </c>
      <c r="F247" s="16">
        <f>HYPERLINK("https://vtmf.veevavault.com/ui/#doc_info/30968167/1/0", "42847922MDD3003-USA-S10-US10046-Relevant Communications-13 Sep 2024 (v1.0)")</f>
        <v/>
      </c>
      <c r="G247" s="5" t="inlineStr">
        <is>
          <t>Site Management</t>
        </is>
      </c>
      <c r="H247" s="5" t="inlineStr">
        <is>
          <t>General</t>
        </is>
      </c>
      <c r="I247" s="5" t="inlineStr">
        <is>
          <t>Relevant Communications</t>
        </is>
      </c>
      <c r="J247" s="5" t="inlineStr">
        <is>
          <t>MDD3003_PI: Dr. Moraima Trujillo_Site: US10046 (United States)_Subject ID: US100460004/F_Visit: Part 1 Screening_Alert: Urine glucose</t>
        </is>
      </c>
      <c r="K247" s="6" t="n">
        <v>516</v>
      </c>
      <c r="L247" s="7" t="n">
        <v>45548</v>
      </c>
      <c r="M247" s="11" t="n">
        <v>46064</v>
      </c>
      <c r="N247" s="5" t="inlineStr">
        <is>
          <t>Approved</t>
        </is>
      </c>
      <c r="O247" s="5" t="inlineStr">
        <is>
          <t>Site</t>
        </is>
      </c>
      <c r="P247" s="5" t="inlineStr">
        <is>
          <t>United States</t>
        </is>
      </c>
      <c r="Q247" s="13" t="inlineStr">
        <is>
          <t>S10-US10046</t>
        </is>
      </c>
      <c r="R247" s="5" t="inlineStr">
        <is>
          <t>Gabriela Dluska</t>
        </is>
      </c>
      <c r="S247" s="8" t="n">
        <v>46064.65201388889</v>
      </c>
    </row>
    <row r="248" hidden="1" ht="29" customHeight="1">
      <c r="A248" s="15">
        <f>HYPERLINK("https://vtmf.veevavault.com/ui/#doc_info/30968557/1/0", "VTMF-24962055")</f>
        <v/>
      </c>
      <c r="B248" s="20" t="inlineStr">
        <is>
          <t>Yes</t>
        </is>
      </c>
      <c r="C248" s="5" t="inlineStr">
        <is>
          <t>1.0</t>
        </is>
      </c>
      <c r="D248" s="5" t="inlineStr">
        <is>
          <t>GCO</t>
        </is>
      </c>
      <c r="E248" s="5" t="inlineStr">
        <is>
          <t>42847922MDD3003</t>
        </is>
      </c>
      <c r="F248" s="16">
        <f>HYPERLINK("https://vtmf.veevavault.com/ui/#doc_info/30968557/1/0", "42847922MDD3003-ESP-S10-ES10003-Relevant Communications-09 Jan 2026 (v1.0)")</f>
        <v/>
      </c>
      <c r="G248" s="5" t="inlineStr">
        <is>
          <t>Trial Management</t>
        </is>
      </c>
      <c r="H248" s="5" t="inlineStr">
        <is>
          <t>General</t>
        </is>
      </c>
      <c r="I248" s="5" t="inlineStr">
        <is>
          <t>Relevant Communications</t>
        </is>
      </c>
      <c r="J248" s="5" t="inlineStr">
        <is>
          <t>Email_Dispensing Stock Out Alert for subject ES100030001</t>
        </is>
      </c>
      <c r="K248" s="6" t="n">
        <v>33</v>
      </c>
      <c r="L248" s="7" t="n">
        <v>46031</v>
      </c>
      <c r="M248" s="11" t="n">
        <v>46064</v>
      </c>
      <c r="N248" s="5" t="inlineStr">
        <is>
          <t>Approved</t>
        </is>
      </c>
      <c r="O248" s="5" t="inlineStr">
        <is>
          <t>Site</t>
        </is>
      </c>
      <c r="P248" s="5" t="inlineStr">
        <is>
          <t>Spain</t>
        </is>
      </c>
      <c r="Q248" s="13" t="inlineStr">
        <is>
          <t>S10-ES10003</t>
        </is>
      </c>
      <c r="R248" s="5" t="inlineStr">
        <is>
          <t>Ruben Ayora</t>
        </is>
      </c>
      <c r="S248" s="8" t="n">
        <v>46064.66770833333</v>
      </c>
    </row>
    <row r="249" hidden="1" ht="29" customHeight="1">
      <c r="A249" s="15">
        <f>HYPERLINK("https://vtmf.veevavault.com/ui/#doc_info/30968587/1/0", "VTMF-24962119")</f>
        <v/>
      </c>
      <c r="B249" s="20" t="inlineStr">
        <is>
          <t>Yes</t>
        </is>
      </c>
      <c r="C249" s="5" t="inlineStr">
        <is>
          <t>1.0</t>
        </is>
      </c>
      <c r="D249" s="5" t="inlineStr">
        <is>
          <t>GCO</t>
        </is>
      </c>
      <c r="E249" s="5" t="inlineStr">
        <is>
          <t>42847922MDD3003</t>
        </is>
      </c>
      <c r="F249" s="16">
        <f>HYPERLINK("https://vtmf.veevavault.com/ui/#doc_info/30968587/1/0", "42847922MDD3003-ESP-S10-ES10007-IP Storage Condition Excursion Documentation-08 Jan 2026 (v1.0)")</f>
        <v/>
      </c>
      <c r="G249" s="5" t="inlineStr">
        <is>
          <t>IP and Trial Supplies</t>
        </is>
      </c>
      <c r="H249" s="5" t="inlineStr">
        <is>
          <t>Storage</t>
        </is>
      </c>
      <c r="I249" s="5" t="inlineStr">
        <is>
          <t>IP Storage Condition Excursion Documentation</t>
        </is>
      </c>
      <c r="J249" s="5" t="inlineStr">
        <is>
          <t>TOR Initial</t>
        </is>
      </c>
      <c r="K249" s="6" t="n">
        <v>34</v>
      </c>
      <c r="L249" s="7" t="n">
        <v>46030</v>
      </c>
      <c r="M249" s="11" t="n">
        <v>46064</v>
      </c>
      <c r="N249" s="5" t="inlineStr">
        <is>
          <t>Approved</t>
        </is>
      </c>
      <c r="O249" s="5" t="inlineStr">
        <is>
          <t>Site</t>
        </is>
      </c>
      <c r="P249" s="5" t="inlineStr">
        <is>
          <t>Spain</t>
        </is>
      </c>
      <c r="Q249" s="13" t="inlineStr">
        <is>
          <t>S10-ES10007</t>
        </is>
      </c>
      <c r="R249" s="5" t="inlineStr">
        <is>
          <t>Ruben Ayora</t>
        </is>
      </c>
      <c r="S249" s="8" t="n">
        <v>46064.67377314815</v>
      </c>
    </row>
    <row r="250" hidden="1" ht="29" customHeight="1">
      <c r="A250" s="15">
        <f>HYPERLINK("https://vtmf.veevavault.com/ui/#doc_info/30968591/1/0", "VTMF-24962123")</f>
        <v/>
      </c>
      <c r="B250" s="20" t="inlineStr">
        <is>
          <t>Yes</t>
        </is>
      </c>
      <c r="C250" s="5" t="inlineStr">
        <is>
          <t>1.0</t>
        </is>
      </c>
      <c r="D250" s="5" t="inlineStr">
        <is>
          <t>GCO</t>
        </is>
      </c>
      <c r="E250" s="5" t="inlineStr">
        <is>
          <t>42847922MDD3003</t>
        </is>
      </c>
      <c r="F250" s="16">
        <f>HYPERLINK("https://vtmf.veevavault.com/ui/#doc_info/30968591/1/0", "42847922MDD3003-ESP-S10-ES10007-IP Storage Condition Excursion Documentation-08 Jan 2026 (v1.0)")</f>
        <v/>
      </c>
      <c r="G250" s="5" t="inlineStr">
        <is>
          <t>IP and Trial Supplies</t>
        </is>
      </c>
      <c r="H250" s="5" t="inlineStr">
        <is>
          <t>Storage</t>
        </is>
      </c>
      <c r="I250" s="5" t="inlineStr">
        <is>
          <t>IP Storage Condition Excursion Documentation</t>
        </is>
      </c>
      <c r="J250" s="5" t="inlineStr">
        <is>
          <t>TOR Approval CTE-001676</t>
        </is>
      </c>
      <c r="K250" s="6" t="n">
        <v>34</v>
      </c>
      <c r="L250" s="7" t="n">
        <v>46030</v>
      </c>
      <c r="M250" s="11" t="n">
        <v>46064</v>
      </c>
      <c r="N250" s="5" t="inlineStr">
        <is>
          <t>Approved</t>
        </is>
      </c>
      <c r="O250" s="5" t="inlineStr">
        <is>
          <t>Site</t>
        </is>
      </c>
      <c r="P250" s="5" t="inlineStr">
        <is>
          <t>Spain</t>
        </is>
      </c>
      <c r="Q250" s="13" t="inlineStr">
        <is>
          <t>S10-ES10007</t>
        </is>
      </c>
      <c r="R250" s="5" t="inlineStr">
        <is>
          <t>Ruben Ayora</t>
        </is>
      </c>
      <c r="S250" s="8" t="n">
        <v>46064.67377314815</v>
      </c>
    </row>
    <row r="251" hidden="1" ht="29" customHeight="1">
      <c r="A251" s="15">
        <f>HYPERLINK("https://vtmf.veevavault.com/ui/#doc_info/30970423/1/0", "VTMF-24963715")</f>
        <v/>
      </c>
      <c r="B251" s="20" t="inlineStr">
        <is>
          <t>Yes</t>
        </is>
      </c>
      <c r="C251" s="5" t="inlineStr">
        <is>
          <t>1.0</t>
        </is>
      </c>
      <c r="D251" s="5" t="inlineStr">
        <is>
          <t>GCO</t>
        </is>
      </c>
      <c r="E251" s="5" t="inlineStr">
        <is>
          <t>42847922MDD3003</t>
        </is>
      </c>
      <c r="F251" s="16">
        <f>HYPERLINK("https://vtmf.veevavault.com/ui/#doc_info/30970423/1/0", "42847922MDD3003-BRA-S10-BR10012-IRB/IEC Notification of Trial Termination-15 Dec 2025 (v1.0)")</f>
        <v/>
      </c>
      <c r="G251" s="5" t="inlineStr">
        <is>
          <t>IRB/IEC and other Approvals</t>
        </is>
      </c>
      <c r="H251" s="5" t="inlineStr">
        <is>
          <t>Trial Status Reporting</t>
        </is>
      </c>
      <c r="I251" s="5" t="inlineStr">
        <is>
          <t>IRB/IEC Notification of Trial Termination</t>
        </is>
      </c>
      <c r="J251" s="5" t="inlineStr">
        <is>
          <t>Submission_Final Report to local EC_2025; 15Dec2025</t>
        </is>
      </c>
      <c r="K251" s="6" t="n">
        <v>58</v>
      </c>
      <c r="L251" s="7" t="n">
        <v>46006</v>
      </c>
      <c r="M251" s="11" t="n">
        <v>46064</v>
      </c>
      <c r="N251" s="5" t="inlineStr">
        <is>
          <t>Approved</t>
        </is>
      </c>
      <c r="O251" s="5" t="inlineStr">
        <is>
          <t>Site</t>
        </is>
      </c>
      <c r="P251" s="5" t="inlineStr">
        <is>
          <t>Brazil</t>
        </is>
      </c>
      <c r="Q251" s="13" t="inlineStr">
        <is>
          <t>S10-BR10012</t>
        </is>
      </c>
      <c r="R251" s="5" t="inlineStr">
        <is>
          <t>Maria Gabriela Mouallem Brandão</t>
        </is>
      </c>
      <c r="S251" s="8" t="n">
        <v>46064.83472222222</v>
      </c>
    </row>
    <row r="252" hidden="1" ht="29" customHeight="1">
      <c r="A252" s="15">
        <f>HYPERLINK("https://vtmf.veevavault.com/ui/#doc_info/30970488/1/0", "VTMF-24963845")</f>
        <v/>
      </c>
      <c r="B252" s="20" t="inlineStr">
        <is>
          <t>Yes</t>
        </is>
      </c>
      <c r="C252" s="5" t="inlineStr">
        <is>
          <t>1.0</t>
        </is>
      </c>
      <c r="D252" s="5" t="inlineStr">
        <is>
          <t>GCO</t>
        </is>
      </c>
      <c r="E252" s="5" t="inlineStr">
        <is>
          <t>42847922MDD3003</t>
        </is>
      </c>
      <c r="F252" s="16">
        <f>HYPERLINK("https://vtmf.veevavault.com/ui/#doc_info/30970488/1/0", "42847922MDD3003-BRA-S10-BR10021-IRB/IEC Approval-11 Feb 2025 (v1.0)")</f>
        <v/>
      </c>
      <c r="G252" s="5" t="inlineStr">
        <is>
          <t>IRB/IEC and other Approvals</t>
        </is>
      </c>
      <c r="H252" s="5" t="inlineStr">
        <is>
          <t>IRB/IEC Trial Approval</t>
        </is>
      </c>
      <c r="I252" s="5" t="inlineStr">
        <is>
          <t>IRB/IEC Approval</t>
        </is>
      </c>
      <c r="J252" s="5" t="inlineStr">
        <is>
          <t>IEC_Local Approval_1st Progress Report -Approval letter; 11Aug2025</t>
        </is>
      </c>
      <c r="K252" s="6" t="n">
        <v>365</v>
      </c>
      <c r="L252" s="7" t="n">
        <v>45699</v>
      </c>
      <c r="M252" s="11" t="n">
        <v>46064</v>
      </c>
      <c r="N252" s="5" t="inlineStr">
        <is>
          <t>Approved</t>
        </is>
      </c>
      <c r="O252" s="5" t="inlineStr">
        <is>
          <t>Site</t>
        </is>
      </c>
      <c r="P252" s="5" t="inlineStr">
        <is>
          <t>Brazil</t>
        </is>
      </c>
      <c r="Q252" s="13" t="inlineStr">
        <is>
          <t>S10-BR10021</t>
        </is>
      </c>
      <c r="R252" s="5" t="inlineStr">
        <is>
          <t>Maria Gabriela Mouallem Brandão</t>
        </is>
      </c>
      <c r="S252" s="8" t="n">
        <v>46064.85359953704</v>
      </c>
    </row>
    <row r="253" hidden="1" ht="29" customHeight="1">
      <c r="A253" s="15">
        <f>HYPERLINK("https://vtmf.veevavault.com/ui/#doc_info/30970562/1/0", "VTMF-24963866")</f>
        <v/>
      </c>
      <c r="B253" s="20" t="inlineStr">
        <is>
          <t>Yes</t>
        </is>
      </c>
      <c r="C253" s="5" t="inlineStr">
        <is>
          <t>1.0</t>
        </is>
      </c>
      <c r="D253" s="5" t="inlineStr">
        <is>
          <t>GCO</t>
        </is>
      </c>
      <c r="E253" s="5" t="inlineStr">
        <is>
          <t>42847922MDD3003</t>
        </is>
      </c>
      <c r="F253" s="16">
        <f>HYPERLINK("https://vtmf.veevavault.com/ui/#doc_info/30970562/1/0", "42847922MDD3003-BRA-S10-BR10021-IRB/IEC Approval-27 Nov 2025 (v1.0)")</f>
        <v/>
      </c>
      <c r="G253" s="5" t="inlineStr">
        <is>
          <t>IRB/IEC and other Approvals</t>
        </is>
      </c>
      <c r="H253" s="5" t="inlineStr">
        <is>
          <t>IRB/IEC Trial Approval</t>
        </is>
      </c>
      <c r="I253" s="5" t="inlineStr">
        <is>
          <t>IRB/IEC Approval</t>
        </is>
      </c>
      <c r="J253" s="5" t="inlineStr">
        <is>
          <t>IEC_Local Approval_2st Progress Report -Approval letter; 27Nov2025</t>
        </is>
      </c>
      <c r="K253" s="6" t="n">
        <v>76</v>
      </c>
      <c r="L253" s="7" t="n">
        <v>45988</v>
      </c>
      <c r="M253" s="11" t="n">
        <v>46064</v>
      </c>
      <c r="N253" s="5" t="inlineStr">
        <is>
          <t>Approved</t>
        </is>
      </c>
      <c r="O253" s="5" t="inlineStr">
        <is>
          <t>Site</t>
        </is>
      </c>
      <c r="P253" s="5" t="inlineStr">
        <is>
          <t>Brazil</t>
        </is>
      </c>
      <c r="Q253" s="13" t="inlineStr">
        <is>
          <t>S10-BR10021</t>
        </is>
      </c>
      <c r="R253" s="5" t="inlineStr">
        <is>
          <t>Maria Gabriela Mouallem Brandão</t>
        </is>
      </c>
      <c r="S253" s="8" t="n">
        <v>46064.85695601852</v>
      </c>
    </row>
    <row r="254" hidden="1">
      <c r="A254" s="15">
        <f>HYPERLINK("https://vtmf.veevavault.com/ui/#doc_info/30971744/1/0", "VTMF-24964763")</f>
        <v/>
      </c>
      <c r="B254" s="20" t="inlineStr">
        <is>
          <t>Yes</t>
        </is>
      </c>
      <c r="C254" s="5" t="inlineStr">
        <is>
          <t>1.0</t>
        </is>
      </c>
      <c r="D254" s="5" t="inlineStr">
        <is>
          <t>GCO</t>
        </is>
      </c>
      <c r="E254" s="5" t="inlineStr">
        <is>
          <t>42847922MDD3003, 42847922MDD3014</t>
        </is>
      </c>
      <c r="F254" s="16">
        <f>HYPERLINK("https://vtmf.veevavault.com/ui/#doc_info/30971744/1/0", "42847922MDD3003---Relevant Communications-03 Dec 2025 (v1.0)")</f>
        <v/>
      </c>
      <c r="G254" s="5" t="inlineStr">
        <is>
          <t>Third Parties</t>
        </is>
      </c>
      <c r="H254" s="5" t="inlineStr">
        <is>
          <t>General</t>
        </is>
      </c>
      <c r="I254" s="5" t="inlineStr">
        <is>
          <t>Relevant Communications</t>
        </is>
      </c>
      <c r="J254" s="5" t="inlineStr">
        <is>
          <t>NTF_Training Requirement Complete_Site US1004</t>
        </is>
      </c>
      <c r="K254" s="6" t="n">
        <v>71</v>
      </c>
      <c r="L254" s="7" t="n">
        <v>45994</v>
      </c>
      <c r="M254" s="11" t="n">
        <v>46065</v>
      </c>
      <c r="N254" s="5" t="inlineStr">
        <is>
          <t>Approved</t>
        </is>
      </c>
      <c r="O254" s="5" t="inlineStr">
        <is>
          <t>Study</t>
        </is>
      </c>
      <c r="P254" s="5" t="inlineStr"/>
      <c r="Q254" s="13" t="inlineStr"/>
      <c r="R254" s="5" t="inlineStr">
        <is>
          <t>Debhora Garcia</t>
        </is>
      </c>
      <c r="S254" s="8" t="n">
        <v>46064.98847222222</v>
      </c>
    </row>
    <row r="255" hidden="1">
      <c r="A255" s="15">
        <f>HYPERLINK("https://vtmf.veevavault.com/ui/#doc_info/30971746/1/0", "VTMF-24964767")</f>
        <v/>
      </c>
      <c r="B255" s="20" t="inlineStr">
        <is>
          <t>Yes</t>
        </is>
      </c>
      <c r="C255" s="5" t="inlineStr">
        <is>
          <t>1.0</t>
        </is>
      </c>
      <c r="D255" s="5" t="inlineStr">
        <is>
          <t>GCO</t>
        </is>
      </c>
      <c r="E255" s="5" t="inlineStr">
        <is>
          <t>42847922MDD3003, 42847922MDD3014</t>
        </is>
      </c>
      <c r="F255" s="16">
        <f>HYPERLINK("https://vtmf.veevavault.com/ui/#doc_info/30971746/1/0", "42847922MDD3003---Relevant Communications-21 Nov 2025 (v1.0)")</f>
        <v/>
      </c>
      <c r="G255" s="5" t="inlineStr">
        <is>
          <t>Third Parties</t>
        </is>
      </c>
      <c r="H255" s="5" t="inlineStr">
        <is>
          <t>General</t>
        </is>
      </c>
      <c r="I255" s="5" t="inlineStr">
        <is>
          <t>Relevant Communications</t>
        </is>
      </c>
      <c r="J255" s="5" t="inlineStr">
        <is>
          <t>NTF_Training Requirement Complete_Site US10002</t>
        </is>
      </c>
      <c r="K255" s="6" t="n">
        <v>83</v>
      </c>
      <c r="L255" s="7" t="n">
        <v>45982</v>
      </c>
      <c r="M255" s="11" t="n">
        <v>46065</v>
      </c>
      <c r="N255" s="5" t="inlineStr">
        <is>
          <t>Approved</t>
        </is>
      </c>
      <c r="O255" s="5" t="inlineStr">
        <is>
          <t>Study</t>
        </is>
      </c>
      <c r="P255" s="5" t="inlineStr"/>
      <c r="Q255" s="13" t="inlineStr"/>
      <c r="R255" s="5" t="inlineStr">
        <is>
          <t>Debhora Garcia</t>
        </is>
      </c>
      <c r="S255" s="8" t="n">
        <v>46064.99002314815</v>
      </c>
    </row>
    <row r="256" hidden="1" ht="58" customHeight="1">
      <c r="A256" s="15">
        <f>HYPERLINK("https://vtmf.veevavault.com/ui/#doc_info/30977588/1/0", "VTMF-24969911")</f>
        <v/>
      </c>
      <c r="B256" s="20" t="inlineStr">
        <is>
          <t>Yes</t>
        </is>
      </c>
      <c r="C256" s="5" t="inlineStr">
        <is>
          <t>1.0</t>
        </is>
      </c>
      <c r="D256" s="5" t="inlineStr">
        <is>
          <t>GCO</t>
        </is>
      </c>
      <c r="E256" s="5" t="inlineStr">
        <is>
          <t>42847922MDD3003</t>
        </is>
      </c>
      <c r="F256" s="16">
        <f>HYPERLINK("https://vtmf.veevavault.com/ui/#doc_info/30977588/1/0", "42847922MDD3003-USA-S10-US10002-Relevant Communications-18 Dec 2024 (v1.0)")</f>
        <v/>
      </c>
      <c r="G256" s="5" t="inlineStr">
        <is>
          <t>Site Management</t>
        </is>
      </c>
      <c r="H256" s="5" t="inlineStr">
        <is>
          <t>General</t>
        </is>
      </c>
      <c r="I256" s="5" t="inlineStr">
        <is>
          <t>Relevant Communications</t>
        </is>
      </c>
      <c r="J256" s="5" t="inlineStr">
        <is>
          <t>MDD3003_PI: Anderson, Donald M.D._Site: S10-US10002(United States)_Subject ID: US100020002_Visit: VISIT 3 /_Alert: ECG_FIRST DEGREE AV BLOCK</t>
        </is>
      </c>
      <c r="K256" s="6" t="n">
        <v>421</v>
      </c>
      <c r="L256" s="7" t="n">
        <v>45644</v>
      </c>
      <c r="M256" s="11" t="n">
        <v>46065</v>
      </c>
      <c r="N256" s="5" t="inlineStr">
        <is>
          <t>Approved</t>
        </is>
      </c>
      <c r="O256" s="5" t="inlineStr">
        <is>
          <t>Site</t>
        </is>
      </c>
      <c r="P256" s="5" t="inlineStr">
        <is>
          <t>United States</t>
        </is>
      </c>
      <c r="Q256" s="13" t="inlineStr">
        <is>
          <t>S10-US10002</t>
        </is>
      </c>
      <c r="R256" s="5" t="inlineStr">
        <is>
          <t>Gabriela Dluska</t>
        </is>
      </c>
      <c r="S256" s="8" t="n">
        <v>46065.63153935185</v>
      </c>
    </row>
    <row r="257" hidden="1" ht="58" customHeight="1">
      <c r="A257" s="15">
        <f>HYPERLINK("https://vtmf.veevavault.com/ui/#doc_info/30977589/1/0", "VTMF-24969912")</f>
        <v/>
      </c>
      <c r="B257" s="20" t="inlineStr">
        <is>
          <t>Yes</t>
        </is>
      </c>
      <c r="C257" s="5" t="inlineStr">
        <is>
          <t>1.0</t>
        </is>
      </c>
      <c r="D257" s="5" t="inlineStr">
        <is>
          <t>GCO</t>
        </is>
      </c>
      <c r="E257" s="5" t="inlineStr">
        <is>
          <t>42847922MDD3003</t>
        </is>
      </c>
      <c r="F257" s="16">
        <f>HYPERLINK("https://vtmf.veevavault.com/ui/#doc_info/30977589/1/0", "42847922MDD3003-ARG-S10-AR10010-Relevant Communications-19 Mar 2025 (v1.0)")</f>
        <v/>
      </c>
      <c r="G257" s="5" t="inlineStr">
        <is>
          <t>Site Management</t>
        </is>
      </c>
      <c r="H257" s="5" t="inlineStr">
        <is>
          <t>General</t>
        </is>
      </c>
      <c r="I257" s="5" t="inlineStr">
        <is>
          <t>Relevant Communications</t>
        </is>
      </c>
      <c r="J257" s="5" t="inlineStr">
        <is>
          <t>MDD3003_PI: Dr. Hernan David 
Ruggeri M.D._Site: AR10010(Argentina)_Subject ID: AR100100002/F _Visit: ADT Compliance _Alert: SSRI- not detected</t>
        </is>
      </c>
      <c r="K257" s="6" t="n">
        <v>330</v>
      </c>
      <c r="L257" s="7" t="n">
        <v>45735</v>
      </c>
      <c r="M257" s="11" t="n">
        <v>46065</v>
      </c>
      <c r="N257" s="5" t="inlineStr">
        <is>
          <t>Approved</t>
        </is>
      </c>
      <c r="O257" s="5" t="inlineStr">
        <is>
          <t>Site</t>
        </is>
      </c>
      <c r="P257" s="5" t="inlineStr">
        <is>
          <t>Argentina</t>
        </is>
      </c>
      <c r="Q257" s="13" t="inlineStr">
        <is>
          <t>S10-AR10010</t>
        </is>
      </c>
      <c r="R257" s="5" t="inlineStr">
        <is>
          <t>Gabriela Dluska</t>
        </is>
      </c>
      <c r="S257" s="8" t="n">
        <v>46065.63153935185</v>
      </c>
    </row>
    <row r="258" hidden="1" ht="58" customHeight="1">
      <c r="A258" s="15">
        <f>HYPERLINK("https://vtmf.veevavault.com/ui/#doc_info/30977590/1/0", "VTMF-24969913")</f>
        <v/>
      </c>
      <c r="B258" s="20" t="inlineStr">
        <is>
          <t>Yes</t>
        </is>
      </c>
      <c r="C258" s="5" t="inlineStr">
        <is>
          <t>1.0</t>
        </is>
      </c>
      <c r="D258" s="5" t="inlineStr">
        <is>
          <t>GCO</t>
        </is>
      </c>
      <c r="E258" s="5" t="inlineStr">
        <is>
          <t>42847922MDD3003</t>
        </is>
      </c>
      <c r="F258" s="16">
        <f>HYPERLINK("https://vtmf.veevavault.com/ui/#doc_info/30977590/1/0", "42847922MDD3003-USA-S10-US10005-Relevant Communications-10 Feb 2025 (v1.0)")</f>
        <v/>
      </c>
      <c r="G258" s="5" t="inlineStr">
        <is>
          <t>Site Management</t>
        </is>
      </c>
      <c r="H258" s="5" t="inlineStr">
        <is>
          <t>General</t>
        </is>
      </c>
      <c r="I258" s="5" t="inlineStr">
        <is>
          <t>Relevant Communications</t>
        </is>
      </c>
      <c r="J258" s="5" t="inlineStr">
        <is>
          <t>MDD3003_PI: Dr. Kamath, Jayesh_Site: US10005
(United States)_Subject ID: US100050001/F_Visit: Early Withdrawal / _Alert: Ur WBC, Ur Bacteria , Ur 
Leukocyte Esterase</t>
        </is>
      </c>
      <c r="K258" s="6" t="n">
        <v>367</v>
      </c>
      <c r="L258" s="7" t="n">
        <v>45698</v>
      </c>
      <c r="M258" s="11" t="n">
        <v>46065</v>
      </c>
      <c r="N258" s="5" t="inlineStr">
        <is>
          <t>Approved</t>
        </is>
      </c>
      <c r="O258" s="5" t="inlineStr">
        <is>
          <t>Site</t>
        </is>
      </c>
      <c r="P258" s="5" t="inlineStr">
        <is>
          <t>United States</t>
        </is>
      </c>
      <c r="Q258" s="13" t="inlineStr">
        <is>
          <t>S10-US10005</t>
        </is>
      </c>
      <c r="R258" s="5" t="inlineStr">
        <is>
          <t>Gabriela Dluska</t>
        </is>
      </c>
      <c r="S258" s="8" t="n">
        <v>46065.63153935185</v>
      </c>
    </row>
    <row r="259" hidden="1" ht="43.5" customHeight="1">
      <c r="A259" s="15">
        <f>HYPERLINK("https://vtmf.veevavault.com/ui/#doc_info/30977591/1/0", "VTMF-24969914")</f>
        <v/>
      </c>
      <c r="B259" s="20" t="inlineStr">
        <is>
          <t>Yes</t>
        </is>
      </c>
      <c r="C259" s="5" t="inlineStr">
        <is>
          <t>1.0</t>
        </is>
      </c>
      <c r="D259" s="5" t="inlineStr">
        <is>
          <t>GCO</t>
        </is>
      </c>
      <c r="E259" s="5" t="inlineStr">
        <is>
          <t>42847922MDD3003</t>
        </is>
      </c>
      <c r="F259" s="16">
        <f>HYPERLINK("https://vtmf.veevavault.com/ui/#doc_info/30977591/1/0", "42847922MDD3003-USA-S10-US10046-Relevant Communications-13 Sep 2024 (v1.0)")</f>
        <v/>
      </c>
      <c r="G259" s="5" t="inlineStr">
        <is>
          <t>Site Management</t>
        </is>
      </c>
      <c r="H259" s="5" t="inlineStr">
        <is>
          <t>General</t>
        </is>
      </c>
      <c r="I259" s="5" t="inlineStr">
        <is>
          <t>Relevant Communications</t>
        </is>
      </c>
      <c r="J259" s="5" t="inlineStr">
        <is>
          <t>MDD3003_PI: Dr. Moraima Trujillo_Site: US10046 (United States)_Subject ID: US100460004/F_Visit: Part 1 Screening_Alert: Urine glucose</t>
        </is>
      </c>
      <c r="K259" s="6" t="n">
        <v>517</v>
      </c>
      <c r="L259" s="7" t="n">
        <v>45548</v>
      </c>
      <c r="M259" s="11" t="n">
        <v>46065</v>
      </c>
      <c r="N259" s="5" t="inlineStr">
        <is>
          <t>Approved</t>
        </is>
      </c>
      <c r="O259" s="5" t="inlineStr">
        <is>
          <t>Site</t>
        </is>
      </c>
      <c r="P259" s="5" t="inlineStr">
        <is>
          <t>United States</t>
        </is>
      </c>
      <c r="Q259" s="13" t="inlineStr">
        <is>
          <t>S10-US10046</t>
        </is>
      </c>
      <c r="R259" s="5" t="inlineStr">
        <is>
          <t>Gabriela Dluska</t>
        </is>
      </c>
      <c r="S259" s="8" t="n">
        <v>46065.63153935185</v>
      </c>
    </row>
    <row r="260" hidden="1" ht="58" customHeight="1">
      <c r="A260" s="15">
        <f>HYPERLINK("https://vtmf.veevavault.com/ui/#doc_info/30977592/1/0", "VTMF-24969915")</f>
        <v/>
      </c>
      <c r="B260" s="20" t="inlineStr">
        <is>
          <t>Yes</t>
        </is>
      </c>
      <c r="C260" s="5" t="inlineStr">
        <is>
          <t>1.0</t>
        </is>
      </c>
      <c r="D260" s="5" t="inlineStr">
        <is>
          <t>GCO</t>
        </is>
      </c>
      <c r="E260" s="5" t="inlineStr">
        <is>
          <t>42847922MDD3003</t>
        </is>
      </c>
      <c r="F260" s="16">
        <f>HYPERLINK("https://vtmf.veevavault.com/ui/#doc_info/30977592/1/0", "42847922MDD3003-USA-S10-US10108-Relevant Communications-03 Jan 2025 (v1.0)")</f>
        <v/>
      </c>
      <c r="G260" s="5" t="inlineStr">
        <is>
          <t>Site Management</t>
        </is>
      </c>
      <c r="H260" s="5" t="inlineStr">
        <is>
          <t>General</t>
        </is>
      </c>
      <c r="I260" s="5" t="inlineStr">
        <is>
          <t>Relevant Communications</t>
        </is>
      </c>
      <c r="J260" s="5" t="inlineStr">
        <is>
          <t>MDD3003_PI: Malik, Fareeha M.D._Site: S10-US10108(United States)_Subject ID: US101080003_Visit: Part 1 Screening /_Alert: LDH-cancelled</t>
        </is>
      </c>
      <c r="K260" s="6" t="n">
        <v>405</v>
      </c>
      <c r="L260" s="7" t="n">
        <v>45660</v>
      </c>
      <c r="M260" s="11" t="n">
        <v>46065</v>
      </c>
      <c r="N260" s="5" t="inlineStr">
        <is>
          <t>Approved</t>
        </is>
      </c>
      <c r="O260" s="5" t="inlineStr">
        <is>
          <t>Site</t>
        </is>
      </c>
      <c r="P260" s="5" t="inlineStr">
        <is>
          <t>United States</t>
        </is>
      </c>
      <c r="Q260" s="13" t="inlineStr">
        <is>
          <t>S10-US10108</t>
        </is>
      </c>
      <c r="R260" s="5" t="inlineStr">
        <is>
          <t>Gabriela Dluska</t>
        </is>
      </c>
      <c r="S260" s="8" t="n">
        <v>46065.63153935185</v>
      </c>
    </row>
    <row r="261" hidden="1" ht="29" customHeight="1">
      <c r="A261" s="15">
        <f>HYPERLINK("https://vtmf.veevavault.com/ui/#doc_info/30977593/1/0", "VTMF-24969916")</f>
        <v/>
      </c>
      <c r="B261" s="20" t="inlineStr">
        <is>
          <t>Yes</t>
        </is>
      </c>
      <c r="C261" s="5" t="inlineStr">
        <is>
          <t>1.0</t>
        </is>
      </c>
      <c r="D261" s="5" t="inlineStr">
        <is>
          <t>GCO</t>
        </is>
      </c>
      <c r="E261" s="5" t="inlineStr">
        <is>
          <t>42847922MDD3003</t>
        </is>
      </c>
      <c r="F261" s="16">
        <f>HYPERLINK("https://vtmf.veevavault.com/ui/#doc_info/30977593/1/0", "42847922MDD3003-ARG-S10-AR10012-Relevant Communications-30 Jan 2025 (v1.0)")</f>
        <v/>
      </c>
      <c r="G261" s="5" t="inlineStr">
        <is>
          <t>Site Management</t>
        </is>
      </c>
      <c r="H261" s="5" t="inlineStr">
        <is>
          <t>General</t>
        </is>
      </c>
      <c r="I261" s="5" t="inlineStr">
        <is>
          <t>Relevant Communications</t>
        </is>
      </c>
      <c r="J261" s="5" t="inlineStr">
        <is>
          <t>MDD3003 Subject AR100120004 randomized into Part 1 at site S10-AR10012 - no MDR approval</t>
        </is>
      </c>
      <c r="K261" s="6" t="n">
        <v>378</v>
      </c>
      <c r="L261" s="7" t="n">
        <v>45687</v>
      </c>
      <c r="M261" s="11" t="n">
        <v>46065</v>
      </c>
      <c r="N261" s="5" t="inlineStr">
        <is>
          <t>Approved</t>
        </is>
      </c>
      <c r="O261" s="5" t="inlineStr">
        <is>
          <t>Site</t>
        </is>
      </c>
      <c r="P261" s="5" t="inlineStr">
        <is>
          <t>Argentina</t>
        </is>
      </c>
      <c r="Q261" s="13" t="inlineStr">
        <is>
          <t>S10-AR10012</t>
        </is>
      </c>
      <c r="R261" s="5" t="inlineStr">
        <is>
          <t>Gabriela Dluska</t>
        </is>
      </c>
      <c r="S261" s="8" t="n">
        <v>46065.63153935185</v>
      </c>
    </row>
    <row r="262" hidden="1" ht="29" customHeight="1">
      <c r="A262" s="15">
        <f>HYPERLINK("https://vtmf.veevavault.com/ui/#doc_info/30977594/1/0", "VTMF-24969917")</f>
        <v/>
      </c>
      <c r="B262" s="20" t="inlineStr">
        <is>
          <t>Yes</t>
        </is>
      </c>
      <c r="C262" s="5" t="inlineStr">
        <is>
          <t>1.0</t>
        </is>
      </c>
      <c r="D262" s="5" t="inlineStr">
        <is>
          <t>GCO</t>
        </is>
      </c>
      <c r="E262" s="5" t="inlineStr">
        <is>
          <t>42847922MDD3003</t>
        </is>
      </c>
      <c r="F262" s="16">
        <f>HYPERLINK("https://vtmf.veevavault.com/ui/#doc_info/30977594/1/0", "42847922MDD3003-ARG-S10-AR10015-Relevant Communications-22 Jan 2025 (v1.0)")</f>
        <v/>
      </c>
      <c r="G262" s="5" t="inlineStr">
        <is>
          <t>Site Management</t>
        </is>
      </c>
      <c r="H262" s="5" t="inlineStr">
        <is>
          <t>General</t>
        </is>
      </c>
      <c r="I262" s="5" t="inlineStr">
        <is>
          <t>Relevant Communications</t>
        </is>
      </c>
      <c r="J262" s="5" t="inlineStr">
        <is>
          <t>MDD3003 participant AR100150005, C-SSRS suicide attempt history</t>
        </is>
      </c>
      <c r="K262" s="6" t="n">
        <v>386</v>
      </c>
      <c r="L262" s="7" t="n">
        <v>45679</v>
      </c>
      <c r="M262" s="11" t="n">
        <v>46065</v>
      </c>
      <c r="N262" s="5" t="inlineStr">
        <is>
          <t>Approved</t>
        </is>
      </c>
      <c r="O262" s="5" t="inlineStr">
        <is>
          <t>Site</t>
        </is>
      </c>
      <c r="P262" s="5" t="inlineStr">
        <is>
          <t>Argentina</t>
        </is>
      </c>
      <c r="Q262" s="13" t="inlineStr">
        <is>
          <t>S10-AR10015</t>
        </is>
      </c>
      <c r="R262" s="5" t="inlineStr">
        <is>
          <t>Gabriela Dluska</t>
        </is>
      </c>
      <c r="S262" s="8" t="n">
        <v>46065.63153935185</v>
      </c>
    </row>
    <row r="263" hidden="1" ht="58" customHeight="1">
      <c r="A263" s="15">
        <f>HYPERLINK("https://vtmf.veevavault.com/ui/#doc_info/30977595/1/0", "VTMF-24969918")</f>
        <v/>
      </c>
      <c r="B263" s="20" t="inlineStr">
        <is>
          <t>Yes</t>
        </is>
      </c>
      <c r="C263" s="5" t="inlineStr">
        <is>
          <t>1.0</t>
        </is>
      </c>
      <c r="D263" s="5" t="inlineStr">
        <is>
          <t>GCO</t>
        </is>
      </c>
      <c r="E263" s="5" t="inlineStr">
        <is>
          <t>42847922MDD3003</t>
        </is>
      </c>
      <c r="F263" s="16">
        <f>HYPERLINK("https://vtmf.veevavault.com/ui/#doc_info/30977595/1/0", "42847922MDD3003-USA-S10-US10013-Relevant Communications-11 Mar 2025 (v1.0)")</f>
        <v/>
      </c>
      <c r="G263" s="5" t="inlineStr">
        <is>
          <t>Site Management</t>
        </is>
      </c>
      <c r="H263" s="5" t="inlineStr">
        <is>
          <t>General</t>
        </is>
      </c>
      <c r="I263" s="5" t="inlineStr">
        <is>
          <t>Relevant Communications</t>
        </is>
      </c>
      <c r="J263" s="5" t="inlineStr">
        <is>
          <t>MDD3003_PI: Dr. Michael Thase M.D.._Site: US10013(United States)_Subject ID: US100130006/M_Visit: Part 1 Screening_Alert: Glucose Fasting</t>
        </is>
      </c>
      <c r="K263" s="6" t="n">
        <v>338</v>
      </c>
      <c r="L263" s="7" t="n">
        <v>45727</v>
      </c>
      <c r="M263" s="11" t="n">
        <v>46065</v>
      </c>
      <c r="N263" s="5" t="inlineStr">
        <is>
          <t>Approved</t>
        </is>
      </c>
      <c r="O263" s="5" t="inlineStr">
        <is>
          <t>Site</t>
        </is>
      </c>
      <c r="P263" s="5" t="inlineStr">
        <is>
          <t>United States</t>
        </is>
      </c>
      <c r="Q263" s="13" t="inlineStr">
        <is>
          <t>S10-US10013</t>
        </is>
      </c>
      <c r="R263" s="5" t="inlineStr">
        <is>
          <t>Gabriela Dluska</t>
        </is>
      </c>
      <c r="S263" s="8" t="n">
        <v>46065.63153935185</v>
      </c>
    </row>
    <row r="264" hidden="1" ht="58" customHeight="1">
      <c r="A264" s="15">
        <f>HYPERLINK("https://vtmf.veevavault.com/ui/#doc_info/30977596/1/0", "VTMF-24969919")</f>
        <v/>
      </c>
      <c r="B264" s="20" t="inlineStr">
        <is>
          <t>Yes</t>
        </is>
      </c>
      <c r="C264" s="5" t="inlineStr">
        <is>
          <t>1.0</t>
        </is>
      </c>
      <c r="D264" s="5" t="inlineStr">
        <is>
          <t>GCO</t>
        </is>
      </c>
      <c r="E264" s="5" t="inlineStr">
        <is>
          <t>42847922MDD3003</t>
        </is>
      </c>
      <c r="F264" s="16">
        <f>HYPERLINK("https://vtmf.veevavault.com/ui/#doc_info/30977596/1/0", "42847922MDD3003-USA-S10-US10103-Relevant Communications-16 Sep 2024 (v1.0)")</f>
        <v/>
      </c>
      <c r="G264" s="5" t="inlineStr">
        <is>
          <t>Site Management</t>
        </is>
      </c>
      <c r="H264" s="5" t="inlineStr">
        <is>
          <t>General</t>
        </is>
      </c>
      <c r="I264" s="5" t="inlineStr">
        <is>
          <t>Relevant Communications</t>
        </is>
      </c>
      <c r="J264" s="5" t="inlineStr">
        <is>
          <t>MDD3003_PI: Dr. Americo Padilla M.D._Site: US10103(United 
States)_Subject ID: US101030007_Visit: Part 1 Screening_Alert: Triglycerides (GPO)</t>
        </is>
      </c>
      <c r="K264" s="6" t="n">
        <v>514</v>
      </c>
      <c r="L264" s="7" t="n">
        <v>45551</v>
      </c>
      <c r="M264" s="11" t="n">
        <v>46065</v>
      </c>
      <c r="N264" s="5" t="inlineStr">
        <is>
          <t>Approved</t>
        </is>
      </c>
      <c r="O264" s="5" t="inlineStr">
        <is>
          <t>Site</t>
        </is>
      </c>
      <c r="P264" s="5" t="inlineStr">
        <is>
          <t>United States</t>
        </is>
      </c>
      <c r="Q264" s="13" t="inlineStr">
        <is>
          <t>S10-US10103</t>
        </is>
      </c>
      <c r="R264" s="5" t="inlineStr">
        <is>
          <t>Gabriela Dluska</t>
        </is>
      </c>
      <c r="S264" s="8" t="n">
        <v>46065.63153935185</v>
      </c>
    </row>
    <row r="265" hidden="1" ht="43.5" customHeight="1">
      <c r="A265" s="15">
        <f>HYPERLINK("https://vtmf.veevavault.com/ui/#doc_info/30977597/1/0", "VTMF-24969920")</f>
        <v/>
      </c>
      <c r="B265" s="20" t="inlineStr">
        <is>
          <t>Yes</t>
        </is>
      </c>
      <c r="C265" s="5" t="inlineStr">
        <is>
          <t>1.0</t>
        </is>
      </c>
      <c r="D265" s="5" t="inlineStr">
        <is>
          <t>GCO</t>
        </is>
      </c>
      <c r="E265" s="5" t="inlineStr">
        <is>
          <t>42847922MDD3003</t>
        </is>
      </c>
      <c r="F265" s="16">
        <f>HYPERLINK("https://vtmf.veevavault.com/ui/#doc_info/30977597/1/0", "42847922MDD3003-USA-S10-US10103-Relevant Communications-12 Sep 2024 (v1.0)")</f>
        <v/>
      </c>
      <c r="G265" s="5" t="inlineStr">
        <is>
          <t>Site Management</t>
        </is>
      </c>
      <c r="H265" s="5" t="inlineStr">
        <is>
          <t>General</t>
        </is>
      </c>
      <c r="I265" s="5" t="inlineStr">
        <is>
          <t>Relevant Communications</t>
        </is>
      </c>
      <c r="J265" s="5" t="inlineStr">
        <is>
          <t>MDD3003_PI: Dr. Americo Padilla M.D._Site: US10103 (United States)_Subject ID: US101030004_Visit: Part 1 Screening_Alert: Glucose Fasting/Ur Glucose</t>
        </is>
      </c>
      <c r="K265" s="6" t="n">
        <v>518</v>
      </c>
      <c r="L265" s="7" t="n">
        <v>45547</v>
      </c>
      <c r="M265" s="11" t="n">
        <v>46065</v>
      </c>
      <c r="N265" s="5" t="inlineStr">
        <is>
          <t>Approved</t>
        </is>
      </c>
      <c r="O265" s="5" t="inlineStr">
        <is>
          <t>Site</t>
        </is>
      </c>
      <c r="P265" s="5" t="inlineStr">
        <is>
          <t>United States</t>
        </is>
      </c>
      <c r="Q265" s="13" t="inlineStr">
        <is>
          <t>S10-US10103</t>
        </is>
      </c>
      <c r="R265" s="5" t="inlineStr">
        <is>
          <t>Gabriela Dluska</t>
        </is>
      </c>
      <c r="S265" s="8" t="n">
        <v>46065.63153935185</v>
      </c>
    </row>
    <row r="266" hidden="1" ht="43.5" customHeight="1">
      <c r="A266" s="15">
        <f>HYPERLINK("https://vtmf.veevavault.com/ui/#doc_info/30977598/1/0", "VTMF-24969921")</f>
        <v/>
      </c>
      <c r="B266" s="20" t="inlineStr">
        <is>
          <t>Yes</t>
        </is>
      </c>
      <c r="C266" s="5" t="inlineStr">
        <is>
          <t>1.0</t>
        </is>
      </c>
      <c r="D266" s="5" t="inlineStr">
        <is>
          <t>GCO</t>
        </is>
      </c>
      <c r="E266" s="5" t="inlineStr">
        <is>
          <t>42847922MDD3003</t>
        </is>
      </c>
      <c r="F266" s="16">
        <f>HYPERLINK("https://vtmf.veevavault.com/ui/#doc_info/30977598/1/0", "42847922MDD3003-ARG-S10-AR10010-Relevant Communications-16 Jan 2025 (v1.0)")</f>
        <v/>
      </c>
      <c r="G266" s="5" t="inlineStr">
        <is>
          <t>Site Management</t>
        </is>
      </c>
      <c r="H266" s="5" t="inlineStr">
        <is>
          <t>General</t>
        </is>
      </c>
      <c r="I266" s="5" t="inlineStr">
        <is>
          <t>Relevant Communications</t>
        </is>
      </c>
      <c r="J266" s="5" t="inlineStr">
        <is>
          <t>MDD3003_PI: Dr Ruggeri, Hernan_Site: S10- 
AR10010(Argentina)_Subject ID: AR100100004_Visit: Part 1 Screening_Alert-BenzodiazepineConf-</t>
        </is>
      </c>
      <c r="K266" s="6" t="n">
        <v>392</v>
      </c>
      <c r="L266" s="7" t="n">
        <v>45673</v>
      </c>
      <c r="M266" s="11" t="n">
        <v>46065</v>
      </c>
      <c r="N266" s="5" t="inlineStr">
        <is>
          <t>Approved</t>
        </is>
      </c>
      <c r="O266" s="5" t="inlineStr">
        <is>
          <t>Site</t>
        </is>
      </c>
      <c r="P266" s="5" t="inlineStr">
        <is>
          <t>Argentina</t>
        </is>
      </c>
      <c r="Q266" s="13" t="inlineStr">
        <is>
          <t>S10-AR10010</t>
        </is>
      </c>
      <c r="R266" s="5" t="inlineStr">
        <is>
          <t>Gabriela Dluska</t>
        </is>
      </c>
      <c r="S266" s="8" t="n">
        <v>46065.63153935185</v>
      </c>
    </row>
    <row r="267" hidden="1" ht="43.5" customHeight="1">
      <c r="A267" s="15">
        <f>HYPERLINK("https://vtmf.veevavault.com/ui/#doc_info/30977599/1/0", "VTMF-24969922")</f>
        <v/>
      </c>
      <c r="B267" s="20" t="inlineStr">
        <is>
          <t>Yes</t>
        </is>
      </c>
      <c r="C267" s="5" t="inlineStr">
        <is>
          <t>1.0</t>
        </is>
      </c>
      <c r="D267" s="5" t="inlineStr">
        <is>
          <t>GCO</t>
        </is>
      </c>
      <c r="E267" s="5" t="inlineStr">
        <is>
          <t>42847922MDD3003</t>
        </is>
      </c>
      <c r="F267" s="16">
        <f>HYPERLINK("https://vtmf.veevavault.com/ui/#doc_info/30977599/1/0", "42847922MDD3003-ARG-S10-AR10012-Relevant Communications-30 Jan 2025 (v1.0)")</f>
        <v/>
      </c>
      <c r="G267" s="5" t="inlineStr">
        <is>
          <t>Site Management</t>
        </is>
      </c>
      <c r="H267" s="5" t="inlineStr">
        <is>
          <t>General</t>
        </is>
      </c>
      <c r="I267" s="5" t="inlineStr">
        <is>
          <t>Relevant Communications</t>
        </is>
      </c>
      <c r="J267" s="5" t="inlineStr">
        <is>
          <t>MDD3003_PI: Dr. Lupo, Christian_Site: S10-AR10012 (Argentina)_Subject ID: AR100120004_Visit: VISIT 1 / _ Alert-ECG-T Waves: Flat</t>
        </is>
      </c>
      <c r="K267" s="6" t="n">
        <v>378</v>
      </c>
      <c r="L267" s="7" t="n">
        <v>45687</v>
      </c>
      <c r="M267" s="11" t="n">
        <v>46065</v>
      </c>
      <c r="N267" s="5" t="inlineStr">
        <is>
          <t>Approved</t>
        </is>
      </c>
      <c r="O267" s="5" t="inlineStr">
        <is>
          <t>Site</t>
        </is>
      </c>
      <c r="P267" s="5" t="inlineStr">
        <is>
          <t>Argentina</t>
        </is>
      </c>
      <c r="Q267" s="13" t="inlineStr">
        <is>
          <t>S10-AR10012</t>
        </is>
      </c>
      <c r="R267" s="5" t="inlineStr">
        <is>
          <t>Gabriela Dluska</t>
        </is>
      </c>
      <c r="S267" s="8" t="n">
        <v>46065.63153935185</v>
      </c>
    </row>
    <row r="268" hidden="1" ht="58" customHeight="1">
      <c r="A268" s="15">
        <f>HYPERLINK("https://vtmf.veevavault.com/ui/#doc_info/30977600/1/0", "VTMF-24969923")</f>
        <v/>
      </c>
      <c r="B268" s="20" t="inlineStr">
        <is>
          <t>Yes</t>
        </is>
      </c>
      <c r="C268" s="5" t="inlineStr">
        <is>
          <t>1.0</t>
        </is>
      </c>
      <c r="D268" s="5" t="inlineStr">
        <is>
          <t>GCO</t>
        </is>
      </c>
      <c r="E268" s="5" t="inlineStr">
        <is>
          <t>42847922MDD3003</t>
        </is>
      </c>
      <c r="F268" s="16">
        <f>HYPERLINK("https://vtmf.veevavault.com/ui/#doc_info/30977600/1/0", "42847922MDD3003-USA-S10-US10108-Relevant Communications-26 Feb 2025 (v1.0)")</f>
        <v/>
      </c>
      <c r="G268" s="5" t="inlineStr">
        <is>
          <t>Site Management</t>
        </is>
      </c>
      <c r="H268" s="5" t="inlineStr">
        <is>
          <t>General</t>
        </is>
      </c>
      <c r="I268" s="5" t="inlineStr">
        <is>
          <t>Relevant Communications</t>
        </is>
      </c>
      <c r="J268" s="5" t="inlineStr">
        <is>
          <t>MDD3003_PI: Malik, Fareeha M.D._Site: S10- 
US10108(United States)_Subject ID: US101080004_Visit: Retest /_Alert: CreatininClearancCockcrftGault</t>
        </is>
      </c>
      <c r="K268" s="6" t="n">
        <v>351</v>
      </c>
      <c r="L268" s="7" t="n">
        <v>45714</v>
      </c>
      <c r="M268" s="11" t="n">
        <v>46065</v>
      </c>
      <c r="N268" s="5" t="inlineStr">
        <is>
          <t>Approved</t>
        </is>
      </c>
      <c r="O268" s="5" t="inlineStr">
        <is>
          <t>Site</t>
        </is>
      </c>
      <c r="P268" s="5" t="inlineStr">
        <is>
          <t>United States</t>
        </is>
      </c>
      <c r="Q268" s="13" t="inlineStr">
        <is>
          <t>S10-US10108</t>
        </is>
      </c>
      <c r="R268" s="5" t="inlineStr">
        <is>
          <t>Gabriela Dluska</t>
        </is>
      </c>
      <c r="S268" s="8" t="n">
        <v>46065.63153935185</v>
      </c>
    </row>
    <row r="269" hidden="1" ht="29" customHeight="1">
      <c r="A269" s="15">
        <f>HYPERLINK("https://vtmf.veevavault.com/ui/#doc_info/30977701/1/0", "VTMF-24969924")</f>
        <v/>
      </c>
      <c r="B269" s="20" t="inlineStr">
        <is>
          <t>Yes</t>
        </is>
      </c>
      <c r="C269" s="5" t="inlineStr">
        <is>
          <t>1.0</t>
        </is>
      </c>
      <c r="D269" s="5" t="inlineStr">
        <is>
          <t>GCO</t>
        </is>
      </c>
      <c r="E269" s="5" t="inlineStr">
        <is>
          <t>42847922MDD3003</t>
        </is>
      </c>
      <c r="F269" s="16">
        <f>HYPERLINK("https://vtmf.veevavault.com/ui/#doc_info/30977701/1/0", "42847922MDD3003-ARG-S10-AR10002-Relevant Communications-28 Feb 2025 (v1.0)")</f>
        <v/>
      </c>
      <c r="G269" s="5" t="inlineStr">
        <is>
          <t>Site Management</t>
        </is>
      </c>
      <c r="H269" s="5" t="inlineStr">
        <is>
          <t>General</t>
        </is>
      </c>
      <c r="I269" s="5" t="inlineStr">
        <is>
          <t>Relevant Communications</t>
        </is>
      </c>
      <c r="J269" s="5" t="inlineStr">
        <is>
          <t>MDD3003_PI_Gerardo Marcelo Garcia Bonetto­ ­ _ Site_AR10002_Subject_AR100020002</t>
        </is>
      </c>
      <c r="K269" s="6" t="n">
        <v>349</v>
      </c>
      <c r="L269" s="7" t="n">
        <v>45716</v>
      </c>
      <c r="M269" s="11" t="n">
        <v>46065</v>
      </c>
      <c r="N269" s="5" t="inlineStr">
        <is>
          <t>Approved</t>
        </is>
      </c>
      <c r="O269" s="5" t="inlineStr">
        <is>
          <t>Site</t>
        </is>
      </c>
      <c r="P269" s="5" t="inlineStr">
        <is>
          <t>Argentina</t>
        </is>
      </c>
      <c r="Q269" s="13" t="inlineStr">
        <is>
          <t>S10-AR10002</t>
        </is>
      </c>
      <c r="R269" s="5" t="inlineStr">
        <is>
          <t>Gabriela Dluska</t>
        </is>
      </c>
      <c r="S269" s="8" t="n">
        <v>46065.63153935185</v>
      </c>
    </row>
    <row r="270" hidden="1" ht="29" customHeight="1">
      <c r="A270" s="15">
        <f>HYPERLINK("https://vtmf.veevavault.com/ui/#doc_info/30977702/1/0", "VTMF-24969925")</f>
        <v/>
      </c>
      <c r="B270" s="20" t="inlineStr">
        <is>
          <t>Yes</t>
        </is>
      </c>
      <c r="C270" s="5" t="inlineStr">
        <is>
          <t>1.0</t>
        </is>
      </c>
      <c r="D270" s="5" t="inlineStr">
        <is>
          <t>GCO</t>
        </is>
      </c>
      <c r="E270" s="5" t="inlineStr">
        <is>
          <t>42847922MDD3003</t>
        </is>
      </c>
      <c r="F270" s="16">
        <f>HYPERLINK("https://vtmf.veevavault.com/ui/#doc_info/30977702/1/0", "42847922MDD3003-USA-S10-US10058-Relevant Communications-18 Dec 2024 (v1.0)")</f>
        <v/>
      </c>
      <c r="G270" s="5" t="inlineStr">
        <is>
          <t>Site Management</t>
        </is>
      </c>
      <c r="H270" s="5" t="inlineStr">
        <is>
          <t>General</t>
        </is>
      </c>
      <c r="I270" s="5" t="inlineStr">
        <is>
          <t>Relevant Communications</t>
        </is>
      </c>
      <c r="J270" s="5" t="inlineStr">
        <is>
          <t>MDD3003 S10- US10058 EDC Open Queries</t>
        </is>
      </c>
      <c r="K270" s="6" t="n">
        <v>421</v>
      </c>
      <c r="L270" s="7" t="n">
        <v>45644</v>
      </c>
      <c r="M270" s="11" t="n">
        <v>46065</v>
      </c>
      <c r="N270" s="5" t="inlineStr">
        <is>
          <t>Approved</t>
        </is>
      </c>
      <c r="O270" s="5" t="inlineStr">
        <is>
          <t>Site</t>
        </is>
      </c>
      <c r="P270" s="5" t="inlineStr">
        <is>
          <t>United States</t>
        </is>
      </c>
      <c r="Q270" s="13" t="inlineStr">
        <is>
          <t>S10-US10058</t>
        </is>
      </c>
      <c r="R270" s="5" t="inlineStr">
        <is>
          <t>Gabriela Dluska</t>
        </is>
      </c>
      <c r="S270" s="8" t="n">
        <v>46065.63153935185</v>
      </c>
    </row>
    <row r="271" hidden="1" ht="58" customHeight="1">
      <c r="A271" s="15">
        <f>HYPERLINK("https://vtmf.veevavault.com/ui/#doc_info/30977703/1/0", "VTMF-24969926")</f>
        <v/>
      </c>
      <c r="B271" s="20" t="inlineStr">
        <is>
          <t>Yes</t>
        </is>
      </c>
      <c r="C271" s="5" t="inlineStr">
        <is>
          <t>1.0</t>
        </is>
      </c>
      <c r="D271" s="5" t="inlineStr">
        <is>
          <t>GCO</t>
        </is>
      </c>
      <c r="E271" s="5" t="inlineStr">
        <is>
          <t>42847922MDD3003</t>
        </is>
      </c>
      <c r="F271" s="16">
        <f>HYPERLINK("https://vtmf.veevavault.com/ui/#doc_info/30977703/1/0", "42847922MDD3003-USA-S10-US10002-Relevant Communications-26 Feb 2025 (v1.0)")</f>
        <v/>
      </c>
      <c r="G271" s="5" t="inlineStr">
        <is>
          <t>Site Management</t>
        </is>
      </c>
      <c r="H271" s="5" t="inlineStr">
        <is>
          <t>General</t>
        </is>
      </c>
      <c r="I271" s="5" t="inlineStr">
        <is>
          <t>Relevant Communications</t>
        </is>
      </c>
      <c r="J271" s="5" t="inlineStr">
        <is>
          <t>MDD3003_PI: Anderson, Donald M.D._Site: S10-US10002(United States)_Subject ID: US100020002_Visit: VISIT 1.5/_Alert: ECG_FIRST DEGREE AV BLOCK</t>
        </is>
      </c>
      <c r="K271" s="6" t="n">
        <v>351</v>
      </c>
      <c r="L271" s="7" t="n">
        <v>45714</v>
      </c>
      <c r="M271" s="11" t="n">
        <v>46065</v>
      </c>
      <c r="N271" s="5" t="inlineStr">
        <is>
          <t>Approved</t>
        </is>
      </c>
      <c r="O271" s="5" t="inlineStr">
        <is>
          <t>Site</t>
        </is>
      </c>
      <c r="P271" s="5" t="inlineStr">
        <is>
          <t>United States</t>
        </is>
      </c>
      <c r="Q271" s="13" t="inlineStr">
        <is>
          <t>S10-US10002</t>
        </is>
      </c>
      <c r="R271" s="5" t="inlineStr">
        <is>
          <t>Gabriela Dluska</t>
        </is>
      </c>
      <c r="S271" s="8" t="n">
        <v>46065.63153935185</v>
      </c>
    </row>
    <row r="272" hidden="1" ht="58" customHeight="1">
      <c r="A272" s="15">
        <f>HYPERLINK("https://vtmf.veevavault.com/ui/#doc_info/30977704/1/0", "VTMF-24969927")</f>
        <v/>
      </c>
      <c r="B272" s="20" t="inlineStr">
        <is>
          <t>Yes</t>
        </is>
      </c>
      <c r="C272" s="5" t="inlineStr">
        <is>
          <t>1.0</t>
        </is>
      </c>
      <c r="D272" s="5" t="inlineStr">
        <is>
          <t>GCO</t>
        </is>
      </c>
      <c r="E272" s="5" t="inlineStr">
        <is>
          <t>42847922MDD3003</t>
        </is>
      </c>
      <c r="F272" s="16">
        <f>HYPERLINK("https://vtmf.veevavault.com/ui/#doc_info/30977704/1/0", "42847922MDD3003-USA-S10-US10206-Relevant Communications-21 Feb 2025 (v1.0)")</f>
        <v/>
      </c>
      <c r="G272" s="5" t="inlineStr">
        <is>
          <t>Site Management</t>
        </is>
      </c>
      <c r="H272" s="5" t="inlineStr">
        <is>
          <t>General</t>
        </is>
      </c>
      <c r="I272" s="5" t="inlineStr">
        <is>
          <t>Relevant Communications</t>
        </is>
      </c>
      <c r="J272" s="5" t="inlineStr">
        <is>
          <t>MDD3003_PI: Dr. Khalid Salim M.D._Site: US10206(United States)_Subject ID: US102060009 _Visit: Part 1 Screening_Alert: Cannabinoid Drug Conf-LDT</t>
        </is>
      </c>
      <c r="K272" s="6" t="n">
        <v>356</v>
      </c>
      <c r="L272" s="7" t="n">
        <v>45709</v>
      </c>
      <c r="M272" s="11" t="n">
        <v>46065</v>
      </c>
      <c r="N272" s="5" t="inlineStr">
        <is>
          <t>Approved</t>
        </is>
      </c>
      <c r="O272" s="5" t="inlineStr">
        <is>
          <t>Site</t>
        </is>
      </c>
      <c r="P272" s="5" t="inlineStr">
        <is>
          <t>United States</t>
        </is>
      </c>
      <c r="Q272" s="13" t="inlineStr">
        <is>
          <t>S10-US10206</t>
        </is>
      </c>
      <c r="R272" s="5" t="inlineStr">
        <is>
          <t>Gabriela Dluska</t>
        </is>
      </c>
      <c r="S272" s="8" t="n">
        <v>46065.63153935185</v>
      </c>
    </row>
    <row r="273" hidden="1" ht="43.5" customHeight="1">
      <c r="A273" s="15">
        <f>HYPERLINK("https://vtmf.veevavault.com/ui/#doc_info/30978682/1/0", "VTMF-24970695")</f>
        <v/>
      </c>
      <c r="B273" s="20" t="inlineStr">
        <is>
          <t>Yes</t>
        </is>
      </c>
      <c r="C273" s="5" t="inlineStr">
        <is>
          <t>1.0</t>
        </is>
      </c>
      <c r="D273" s="5" t="inlineStr">
        <is>
          <t>GCO</t>
        </is>
      </c>
      <c r="E273" s="5" t="inlineStr">
        <is>
          <t>42847922MDD3003</t>
        </is>
      </c>
      <c r="F273" s="16">
        <f>HYPERLINK("https://vtmf.veevavault.com/ui/#doc_info/30978682/1/0", "42847922MDD3003-USA-S10-US10001-Relevant Communications-13 Sep 2024 (v1.0)")</f>
        <v/>
      </c>
      <c r="G273" s="5" t="inlineStr">
        <is>
          <t>Site Management</t>
        </is>
      </c>
      <c r="H273" s="5" t="inlineStr">
        <is>
          <t>General</t>
        </is>
      </c>
      <c r="I273" s="5" t="inlineStr">
        <is>
          <t>Relevant Communications</t>
        </is>
      </c>
      <c r="J273" s="5" t="inlineStr">
        <is>
          <t>MDD3003_PI: Dr. Diana Ghelber_Site: US10001 (United States)_Subject ID: US100010001/F_Visit: Part 1 Screening_Alert: UDS Amphetamines/MDMA</t>
        </is>
      </c>
      <c r="K273" s="6" t="n">
        <v>517</v>
      </c>
      <c r="L273" s="7" t="n">
        <v>45548</v>
      </c>
      <c r="M273" s="11" t="n">
        <v>46065</v>
      </c>
      <c r="N273" s="5" t="inlineStr">
        <is>
          <t>Approved</t>
        </is>
      </c>
      <c r="O273" s="5" t="inlineStr">
        <is>
          <t>Site</t>
        </is>
      </c>
      <c r="P273" s="5" t="inlineStr">
        <is>
          <t>United States</t>
        </is>
      </c>
      <c r="Q273" s="13" t="inlineStr">
        <is>
          <t>S10-US10001</t>
        </is>
      </c>
      <c r="R273" s="5" t="inlineStr">
        <is>
          <t>Gabriela Dluska</t>
        </is>
      </c>
      <c r="S273" s="8" t="n">
        <v>46065.68576388889</v>
      </c>
    </row>
    <row r="274" hidden="1" ht="72.5" customHeight="1">
      <c r="A274" s="15">
        <f>HYPERLINK("https://vtmf.veevavault.com/ui/#doc_info/30978683/1/0", "VTMF-24970696")</f>
        <v/>
      </c>
      <c r="B274" s="20" t="inlineStr">
        <is>
          <t>Yes</t>
        </is>
      </c>
      <c r="C274" s="5" t="inlineStr">
        <is>
          <t>1.0</t>
        </is>
      </c>
      <c r="D274" s="5" t="inlineStr">
        <is>
          <t>GCO</t>
        </is>
      </c>
      <c r="E274" s="5" t="inlineStr">
        <is>
          <t>42847922MDD3003</t>
        </is>
      </c>
      <c r="F274" s="16">
        <f>HYPERLINK("https://vtmf.veevavault.com/ui/#doc_info/30978683/1/0", "42847922MDD3003-USA-S10-US10013-Relevant Communications-26 Mar 2025 (v1.0)")</f>
        <v/>
      </c>
      <c r="G274" s="5" t="inlineStr">
        <is>
          <t>Site Management</t>
        </is>
      </c>
      <c r="H274" s="5" t="inlineStr">
        <is>
          <t>General</t>
        </is>
      </c>
      <c r="I274" s="5" t="inlineStr">
        <is>
          <t>Relevant Communications</t>
        </is>
      </c>
      <c r="J274" s="5" t="inlineStr">
        <is>
          <t>MDD3003_PI: Dr. Michael Thase M.D.._Site: US10013(United 
States)_Subject ID: US100130005/F_Visit: Part 1 Screening_Alert: Ur RBC/HPF, Ur WBC/HPF, Ur Bacteria, Ur Blood, Ur Leukocyte Esterase</t>
        </is>
      </c>
      <c r="K274" s="6" t="n">
        <v>323</v>
      </c>
      <c r="L274" s="7" t="n">
        <v>45742</v>
      </c>
      <c r="M274" s="11" t="n">
        <v>46065</v>
      </c>
      <c r="N274" s="5" t="inlineStr">
        <is>
          <t>Approved</t>
        </is>
      </c>
      <c r="O274" s="5" t="inlineStr">
        <is>
          <t>Site</t>
        </is>
      </c>
      <c r="P274" s="5" t="inlineStr">
        <is>
          <t>United States</t>
        </is>
      </c>
      <c r="Q274" s="13" t="inlineStr">
        <is>
          <t>S10-US10013</t>
        </is>
      </c>
      <c r="R274" s="5" t="inlineStr">
        <is>
          <t>Gabriela Dluska</t>
        </is>
      </c>
      <c r="S274" s="8" t="n">
        <v>46065.68576388889</v>
      </c>
    </row>
    <row r="275" hidden="1" ht="58" customHeight="1">
      <c r="A275" s="15">
        <f>HYPERLINK("https://vtmf.veevavault.com/ui/#doc_info/30978684/1/0", "VTMF-24970697")</f>
        <v/>
      </c>
      <c r="B275" s="20" t="inlineStr">
        <is>
          <t>Yes</t>
        </is>
      </c>
      <c r="C275" s="5" t="inlineStr">
        <is>
          <t>1.0</t>
        </is>
      </c>
      <c r="D275" s="5" t="inlineStr">
        <is>
          <t>GCO</t>
        </is>
      </c>
      <c r="E275" s="5" t="inlineStr">
        <is>
          <t>42847922MDD3003</t>
        </is>
      </c>
      <c r="F275" s="16">
        <f>HYPERLINK("https://vtmf.veevavault.com/ui/#doc_info/30978684/1/0", "42847922MDD3003-USA-S10-US10212-Relevant Communications-05 Jan 2025 (v1.0)")</f>
        <v/>
      </c>
      <c r="G275" s="5" t="inlineStr">
        <is>
          <t>Site Management</t>
        </is>
      </c>
      <c r="H275" s="5" t="inlineStr">
        <is>
          <t>General</t>
        </is>
      </c>
      <c r="I275" s="5" t="inlineStr">
        <is>
          <t>Relevant Communications</t>
        </is>
      </c>
      <c r="J275" s="5" t="inlineStr">
        <is>
          <t>MDD3003_PI: Dr. Mustafa Zaidi M.D._Site: US10212
(United States)_Subject ID: US102120002_Visit:Retest_Alert: Hemoglobhin, Platelet</t>
        </is>
      </c>
      <c r="K275" s="6" t="n">
        <v>403</v>
      </c>
      <c r="L275" s="7" t="n">
        <v>45662</v>
      </c>
      <c r="M275" s="11" t="n">
        <v>46065</v>
      </c>
      <c r="N275" s="5" t="inlineStr">
        <is>
          <t>Approved</t>
        </is>
      </c>
      <c r="O275" s="5" t="inlineStr">
        <is>
          <t>Site</t>
        </is>
      </c>
      <c r="P275" s="5" t="inlineStr">
        <is>
          <t>United States</t>
        </is>
      </c>
      <c r="Q275" s="13" t="inlineStr">
        <is>
          <t>S10-US10212</t>
        </is>
      </c>
      <c r="R275" s="5" t="inlineStr">
        <is>
          <t>Gabriela Dluska</t>
        </is>
      </c>
      <c r="S275" s="8" t="n">
        <v>46065.68576388889</v>
      </c>
    </row>
    <row r="276" hidden="1" ht="58" customHeight="1">
      <c r="A276" s="15">
        <f>HYPERLINK("https://vtmf.veevavault.com/ui/#doc_info/30978685/1/0", "VTMF-24970698")</f>
        <v/>
      </c>
      <c r="B276" s="20" t="inlineStr">
        <is>
          <t>Yes</t>
        </is>
      </c>
      <c r="C276" s="5" t="inlineStr">
        <is>
          <t>1.0</t>
        </is>
      </c>
      <c r="D276" s="5" t="inlineStr">
        <is>
          <t>GCO</t>
        </is>
      </c>
      <c r="E276" s="5" t="inlineStr">
        <is>
          <t>42847922MDD3003</t>
        </is>
      </c>
      <c r="F276" s="16">
        <f>HYPERLINK("https://vtmf.veevavault.com/ui/#doc_info/30978685/1/0", "42847922MDD3003-BRA-S10-BR10002-Relevant Communications-06 Feb 2025 (v1.0)")</f>
        <v/>
      </c>
      <c r="G276" s="5" t="inlineStr">
        <is>
          <t>Site Management</t>
        </is>
      </c>
      <c r="H276" s="5" t="inlineStr">
        <is>
          <t>General</t>
        </is>
      </c>
      <c r="I276" s="5" t="inlineStr">
        <is>
          <t>Relevant Communications</t>
        </is>
      </c>
      <c r="J276" s="5" t="inlineStr">
        <is>
          <t>MDD3003_PI: Dr. Sandra Ruschel M.D.._Site: BR10002
(Brazil)_Subject ID: BR100020009_Visit: Part 1 DB Baseline_ Alert-CPK, Hematology panel, ALT, serum 
bicarbonate, -Cancelled</t>
        </is>
      </c>
      <c r="K276" s="6" t="n">
        <v>371</v>
      </c>
      <c r="L276" s="7" t="n">
        <v>45694</v>
      </c>
      <c r="M276" s="11" t="n">
        <v>46065</v>
      </c>
      <c r="N276" s="5" t="inlineStr">
        <is>
          <t>Approved</t>
        </is>
      </c>
      <c r="O276" s="5" t="inlineStr">
        <is>
          <t>Site</t>
        </is>
      </c>
      <c r="P276" s="5" t="inlineStr">
        <is>
          <t>Brazil</t>
        </is>
      </c>
      <c r="Q276" s="13" t="inlineStr">
        <is>
          <t>S10-BR10002</t>
        </is>
      </c>
      <c r="R276" s="5" t="inlineStr">
        <is>
          <t>Gabriela Dluska</t>
        </is>
      </c>
      <c r="S276" s="8" t="n">
        <v>46065.68576388889</v>
      </c>
    </row>
    <row r="277" hidden="1" ht="43.5" customHeight="1">
      <c r="A277" s="15">
        <f>HYPERLINK("https://vtmf.veevavault.com/ui/#doc_info/30978686/1/0", "VTMF-24970699")</f>
        <v/>
      </c>
      <c r="B277" s="20" t="inlineStr">
        <is>
          <t>Yes</t>
        </is>
      </c>
      <c r="C277" s="5" t="inlineStr">
        <is>
          <t>1.0</t>
        </is>
      </c>
      <c r="D277" s="5" t="inlineStr">
        <is>
          <t>GCO</t>
        </is>
      </c>
      <c r="E277" s="5" t="inlineStr">
        <is>
          <t>42847922MDD3003</t>
        </is>
      </c>
      <c r="F277" s="16">
        <f>HYPERLINK("https://vtmf.veevavault.com/ui/#doc_info/30978686/1/0", "42847922MDD3003-BRA-S10-BR10002-Relevant Communications-20 Mar 2025 (v1.0)")</f>
        <v/>
      </c>
      <c r="G277" s="5" t="inlineStr">
        <is>
          <t>Site Management</t>
        </is>
      </c>
      <c r="H277" s="5" t="inlineStr">
        <is>
          <t>General</t>
        </is>
      </c>
      <c r="I277" s="5" t="inlineStr">
        <is>
          <t>Relevant Communications</t>
        </is>
      </c>
      <c r="J277" s="5" t="inlineStr">
        <is>
          <t>MDD3003_PI: Dr. Sandra Ruschel M.D.._Site: BR10002(Brazil)_Subject ID: BR100020011_Visit: Retest_ Alert- Free Thyroxine-QT &amp; TSH 3rd IS-QT</t>
        </is>
      </c>
      <c r="K277" s="6" t="n">
        <v>329</v>
      </c>
      <c r="L277" s="7" t="n">
        <v>45736</v>
      </c>
      <c r="M277" s="11" t="n">
        <v>46065</v>
      </c>
      <c r="N277" s="5" t="inlineStr">
        <is>
          <t>Approved</t>
        </is>
      </c>
      <c r="O277" s="5" t="inlineStr">
        <is>
          <t>Site</t>
        </is>
      </c>
      <c r="P277" s="5" t="inlineStr">
        <is>
          <t>Brazil</t>
        </is>
      </c>
      <c r="Q277" s="13" t="inlineStr">
        <is>
          <t>S10-BR10002</t>
        </is>
      </c>
      <c r="R277" s="5" t="inlineStr">
        <is>
          <t>Gabriela Dluska</t>
        </is>
      </c>
      <c r="S277" s="8" t="n">
        <v>46065.68576388889</v>
      </c>
    </row>
    <row r="278" hidden="1" ht="58" customHeight="1">
      <c r="A278" s="15">
        <f>HYPERLINK("https://vtmf.veevavault.com/ui/#doc_info/30978687/1/0", "VTMF-24970700")</f>
        <v/>
      </c>
      <c r="B278" s="20" t="inlineStr">
        <is>
          <t>Yes</t>
        </is>
      </c>
      <c r="C278" s="5" t="inlineStr">
        <is>
          <t>1.0</t>
        </is>
      </c>
      <c r="D278" s="5" t="inlineStr">
        <is>
          <t>GCO</t>
        </is>
      </c>
      <c r="E278" s="5" t="inlineStr">
        <is>
          <t>42847922MDD3003</t>
        </is>
      </c>
      <c r="F278" s="16">
        <f>HYPERLINK("https://vtmf.veevavault.com/ui/#doc_info/30978687/1/0", "42847922MDD3003-ARG-S10-AR10014-Relevant Communications-10 Jan 2025 (v1.0)")</f>
        <v/>
      </c>
      <c r="G278" s="5" t="inlineStr">
        <is>
          <t>Site Management</t>
        </is>
      </c>
      <c r="H278" s="5" t="inlineStr">
        <is>
          <t>General</t>
        </is>
      </c>
      <c r="I278" s="5" t="inlineStr">
        <is>
          <t>Relevant Communications</t>
        </is>
      </c>
      <c r="J278" s="5" t="inlineStr">
        <is>
          <t>MDD3003_PI: Dr.Mariano Andres Buteler 
M.D._Site: AR10014(Argentina)_Subject ID:AR100140002 /F_Visit: Part 1 DB Baseline _Alert: Cancelled hematology panel, ALT, Serum bicarbonate</t>
        </is>
      </c>
      <c r="K278" s="6" t="n">
        <v>398</v>
      </c>
      <c r="L278" s="7" t="n">
        <v>45667</v>
      </c>
      <c r="M278" s="11" t="n">
        <v>46065</v>
      </c>
      <c r="N278" s="5" t="inlineStr">
        <is>
          <t>Approved</t>
        </is>
      </c>
      <c r="O278" s="5" t="inlineStr">
        <is>
          <t>Site</t>
        </is>
      </c>
      <c r="P278" s="5" t="inlineStr">
        <is>
          <t>Argentina</t>
        </is>
      </c>
      <c r="Q278" s="13" t="inlineStr">
        <is>
          <t>S10-AR10014</t>
        </is>
      </c>
      <c r="R278" s="5" t="inlineStr">
        <is>
          <t>Gabriela Dluska</t>
        </is>
      </c>
      <c r="S278" s="8" t="n">
        <v>46065.68576388889</v>
      </c>
    </row>
    <row r="279" hidden="1" ht="43.5" customHeight="1">
      <c r="A279" s="15">
        <f>HYPERLINK("https://vtmf.veevavault.com/ui/#doc_info/30978688/1/0", "VTMF-24970701")</f>
        <v/>
      </c>
      <c r="B279" s="20" t="inlineStr">
        <is>
          <t>Yes</t>
        </is>
      </c>
      <c r="C279" s="5" t="inlineStr">
        <is>
          <t>1.0</t>
        </is>
      </c>
      <c r="D279" s="5" t="inlineStr">
        <is>
          <t>GCO</t>
        </is>
      </c>
      <c r="E279" s="5" t="inlineStr">
        <is>
          <t>42847922MDD3003</t>
        </is>
      </c>
      <c r="F279" s="16">
        <f>HYPERLINK("https://vtmf.veevavault.com/ui/#doc_info/30978688/1/0", "42847922MDD3003-USA-S10-US10040-Relevant Communications-26 Feb 2025 (v1.0)")</f>
        <v/>
      </c>
      <c r="G279" s="5" t="inlineStr">
        <is>
          <t>Site Management</t>
        </is>
      </c>
      <c r="H279" s="5" t="inlineStr">
        <is>
          <t>General</t>
        </is>
      </c>
      <c r="I279" s="5" t="inlineStr">
        <is>
          <t>Relevant Communications</t>
        </is>
      </c>
      <c r="J279" s="5" t="inlineStr">
        <is>
          <t>MDD3003 / S10-US10040 / PI Rutrick / Subject US100400013 / Screening 
Period Extension Request</t>
        </is>
      </c>
      <c r="K279" s="6" t="n">
        <v>351</v>
      </c>
      <c r="L279" s="7" t="n">
        <v>45714</v>
      </c>
      <c r="M279" s="11" t="n">
        <v>46065</v>
      </c>
      <c r="N279" s="5" t="inlineStr">
        <is>
          <t>Approved</t>
        </is>
      </c>
      <c r="O279" s="5" t="inlineStr">
        <is>
          <t>Site</t>
        </is>
      </c>
      <c r="P279" s="5" t="inlineStr">
        <is>
          <t>United States</t>
        </is>
      </c>
      <c r="Q279" s="13" t="inlineStr">
        <is>
          <t>S10-US10040</t>
        </is>
      </c>
      <c r="R279" s="5" t="inlineStr">
        <is>
          <t>Gabriela Dluska</t>
        </is>
      </c>
      <c r="S279" s="8" t="n">
        <v>46065.68576388889</v>
      </c>
    </row>
    <row r="280" hidden="1" ht="43.5" customHeight="1">
      <c r="A280" s="15">
        <f>HYPERLINK("https://vtmf.veevavault.com/ui/#doc_info/30978689/1/0", "VTMF-24970702")</f>
        <v/>
      </c>
      <c r="B280" s="20" t="inlineStr">
        <is>
          <t>Yes</t>
        </is>
      </c>
      <c r="C280" s="5" t="inlineStr">
        <is>
          <t>1.0</t>
        </is>
      </c>
      <c r="D280" s="5" t="inlineStr">
        <is>
          <t>GCO</t>
        </is>
      </c>
      <c r="E280" s="5" t="inlineStr">
        <is>
          <t>42847922MDD3003</t>
        </is>
      </c>
      <c r="F280" s="16">
        <f>HYPERLINK("https://vtmf.veevavault.com/ui/#doc_info/30978689/1/0", "42847922MDD3003-USA-S10-US10001-Relevant Communications-28 Jan 2025 (v1.0)")</f>
        <v/>
      </c>
      <c r="G280" s="5" t="inlineStr">
        <is>
          <t>Site Management</t>
        </is>
      </c>
      <c r="H280" s="5" t="inlineStr">
        <is>
          <t>General</t>
        </is>
      </c>
      <c r="I280" s="5" t="inlineStr">
        <is>
          <t>Relevant Communications</t>
        </is>
      </c>
      <c r="J280" s="5" t="inlineStr">
        <is>
          <t>MDD3003_PI: Dr. Diana Ghelber_Site: US10001 (United States)_Subject ID: US100010006/F_Visit: UNSCHEDULED / _Alert: ECG- Low Voltage</t>
        </is>
      </c>
      <c r="K280" s="6" t="n">
        <v>380</v>
      </c>
      <c r="L280" s="7" t="n">
        <v>45685</v>
      </c>
      <c r="M280" s="11" t="n">
        <v>46065</v>
      </c>
      <c r="N280" s="5" t="inlineStr">
        <is>
          <t>Approved</t>
        </is>
      </c>
      <c r="O280" s="5" t="inlineStr">
        <is>
          <t>Site</t>
        </is>
      </c>
      <c r="P280" s="5" t="inlineStr">
        <is>
          <t>United States</t>
        </is>
      </c>
      <c r="Q280" s="13" t="inlineStr">
        <is>
          <t>S10-US10001</t>
        </is>
      </c>
      <c r="R280" s="5" t="inlineStr">
        <is>
          <t>Gabriela Dluska</t>
        </is>
      </c>
      <c r="S280" s="8" t="n">
        <v>46065.68576388889</v>
      </c>
    </row>
    <row r="281" hidden="1" ht="43.5" customHeight="1">
      <c r="A281" s="15">
        <f>HYPERLINK("https://vtmf.veevavault.com/ui/#doc_info/30978690/1/0", "VTMF-24970703")</f>
        <v/>
      </c>
      <c r="B281" s="20" t="inlineStr">
        <is>
          <t>Yes</t>
        </is>
      </c>
      <c r="C281" s="5" t="inlineStr">
        <is>
          <t>1.0</t>
        </is>
      </c>
      <c r="D281" s="5" t="inlineStr">
        <is>
          <t>GCO</t>
        </is>
      </c>
      <c r="E281" s="5" t="inlineStr">
        <is>
          <t>42847922MDD3003</t>
        </is>
      </c>
      <c r="F281" s="16">
        <f>HYPERLINK("https://vtmf.veevavault.com/ui/#doc_info/30978690/1/0", "42847922MDD3003-ARG-S10-AR10002-Relevant Communications-27 Jan 2025 (v1.0)")</f>
        <v/>
      </c>
      <c r="G281" s="5" t="inlineStr">
        <is>
          <t>Site Management</t>
        </is>
      </c>
      <c r="H281" s="5" t="inlineStr">
        <is>
          <t>General</t>
        </is>
      </c>
      <c r="I281" s="5" t="inlineStr">
        <is>
          <t>Relevant Communications</t>
        </is>
      </c>
      <c r="J281" s="5" t="inlineStr">
        <is>
          <t>MDD3003_PI: Dr. Gerardo Marcelo Garcia Bonetto 
M.D.._Site: S10-AR10002 (Argentina)_Subject ID: AR100020002_Visit: Retest _Alert: CPK, LDH-cancelled</t>
        </is>
      </c>
      <c r="K281" s="6" t="n">
        <v>381</v>
      </c>
      <c r="L281" s="7" t="n">
        <v>45684</v>
      </c>
      <c r="M281" s="11" t="n">
        <v>46065</v>
      </c>
      <c r="N281" s="5" t="inlineStr">
        <is>
          <t>Approved</t>
        </is>
      </c>
      <c r="O281" s="5" t="inlineStr">
        <is>
          <t>Site</t>
        </is>
      </c>
      <c r="P281" s="5" t="inlineStr">
        <is>
          <t>Argentina</t>
        </is>
      </c>
      <c r="Q281" s="13" t="inlineStr">
        <is>
          <t>S10-AR10002</t>
        </is>
      </c>
      <c r="R281" s="5" t="inlineStr">
        <is>
          <t>Gabriela Dluska</t>
        </is>
      </c>
      <c r="S281" s="8" t="n">
        <v>46065.68576388889</v>
      </c>
    </row>
    <row r="282" hidden="1" ht="43.5" customHeight="1">
      <c r="A282" s="15">
        <f>HYPERLINK("https://vtmf.veevavault.com/ui/#doc_info/30978691/1/0", "VTMF-24970704")</f>
        <v/>
      </c>
      <c r="B282" s="20" t="inlineStr">
        <is>
          <t>Yes</t>
        </is>
      </c>
      <c r="C282" s="5" t="inlineStr">
        <is>
          <t>1.0</t>
        </is>
      </c>
      <c r="D282" s="5" t="inlineStr">
        <is>
          <t>GCO</t>
        </is>
      </c>
      <c r="E282" s="5" t="inlineStr">
        <is>
          <t>42847922MDD3003</t>
        </is>
      </c>
      <c r="F282" s="16">
        <f>HYPERLINK("https://vtmf.veevavault.com/ui/#doc_info/30978691/1/0", "42847922MDD3003-ARG-S10-AR10002-Relevant Communications-27 Jan 2025 (v1.0)")</f>
        <v/>
      </c>
      <c r="G282" s="5" t="inlineStr">
        <is>
          <t>Site Management</t>
        </is>
      </c>
      <c r="H282" s="5" t="inlineStr">
        <is>
          <t>General</t>
        </is>
      </c>
      <c r="I282" s="5" t="inlineStr">
        <is>
          <t>Relevant Communications</t>
        </is>
      </c>
      <c r="J282" s="5" t="inlineStr">
        <is>
          <t>MDD3003_PI: Dr. Gerardo Marcelo Garcia Bonetto 
M.D.._Site: S10-AR10002 (Argentina)_Subject ID: AR100020002_Visit: Retest _Alert: CPK, LDH-cancelled</t>
        </is>
      </c>
      <c r="K282" s="6" t="n">
        <v>381</v>
      </c>
      <c r="L282" s="7" t="n">
        <v>45684</v>
      </c>
      <c r="M282" s="11" t="n">
        <v>46065</v>
      </c>
      <c r="N282" s="5" t="inlineStr">
        <is>
          <t>Approved</t>
        </is>
      </c>
      <c r="O282" s="5" t="inlineStr">
        <is>
          <t>Site</t>
        </is>
      </c>
      <c r="P282" s="5" t="inlineStr">
        <is>
          <t>Argentina</t>
        </is>
      </c>
      <c r="Q282" s="13" t="inlineStr">
        <is>
          <t>S10-AR10002</t>
        </is>
      </c>
      <c r="R282" s="5" t="inlineStr">
        <is>
          <t>Gabriela Dluska</t>
        </is>
      </c>
      <c r="S282" s="8" t="n">
        <v>46065.68576388889</v>
      </c>
    </row>
    <row r="283" hidden="1" ht="43.5" customHeight="1">
      <c r="A283" s="15">
        <f>HYPERLINK("https://vtmf.veevavault.com/ui/#doc_info/30978692/1/0", "VTMF-24970705")</f>
        <v/>
      </c>
      <c r="B283" s="20" t="inlineStr">
        <is>
          <t>Yes</t>
        </is>
      </c>
      <c r="C283" s="5" t="inlineStr">
        <is>
          <t>1.0</t>
        </is>
      </c>
      <c r="D283" s="5" t="inlineStr">
        <is>
          <t>GCO</t>
        </is>
      </c>
      <c r="E283" s="5" t="inlineStr">
        <is>
          <t>42847922MDD3003</t>
        </is>
      </c>
      <c r="F283" s="16">
        <f>HYPERLINK("https://vtmf.veevavault.com/ui/#doc_info/30978692/1/0", "42847922MDD3003-USA-S10-US10001-Relevant Communications-10 Sep 2024 (v1.0)")</f>
        <v/>
      </c>
      <c r="G283" s="5" t="inlineStr">
        <is>
          <t>Site Management</t>
        </is>
      </c>
      <c r="H283" s="5" t="inlineStr">
        <is>
          <t>General</t>
        </is>
      </c>
      <c r="I283" s="5" t="inlineStr">
        <is>
          <t>Relevant Communications</t>
        </is>
      </c>
      <c r="J283" s="5" t="inlineStr">
        <is>
          <t>MDD3003_PI: Dr. Diana Ghelber_Site: US10001 (United 
States)_Subject ID: US100010001/F_Visit: Part 1 Screening_Alert: UDS Amphetamines/MDMA</t>
        </is>
      </c>
      <c r="K283" s="6" t="n">
        <v>520</v>
      </c>
      <c r="L283" s="7" t="n">
        <v>45545</v>
      </c>
      <c r="M283" s="11" t="n">
        <v>46065</v>
      </c>
      <c r="N283" s="5" t="inlineStr">
        <is>
          <t>Approved</t>
        </is>
      </c>
      <c r="O283" s="5" t="inlineStr">
        <is>
          <t>Site</t>
        </is>
      </c>
      <c r="P283" s="5" t="inlineStr">
        <is>
          <t>United States</t>
        </is>
      </c>
      <c r="Q283" s="13" t="inlineStr">
        <is>
          <t>S10-US10001</t>
        </is>
      </c>
      <c r="R283" s="5" t="inlineStr">
        <is>
          <t>Gabriela Dluska</t>
        </is>
      </c>
      <c r="S283" s="8" t="n">
        <v>46065.68576388889</v>
      </c>
    </row>
    <row r="284" hidden="1" ht="58" customHeight="1">
      <c r="A284" s="15">
        <f>HYPERLINK("https://vtmf.veevavault.com/ui/#doc_info/30978693/1/0", "VTMF-24970706")</f>
        <v/>
      </c>
      <c r="B284" s="20" t="inlineStr">
        <is>
          <t>Yes</t>
        </is>
      </c>
      <c r="C284" s="5" t="inlineStr">
        <is>
          <t>1.0</t>
        </is>
      </c>
      <c r="D284" s="5" t="inlineStr">
        <is>
          <t>GCO</t>
        </is>
      </c>
      <c r="E284" s="5" t="inlineStr">
        <is>
          <t>42847922MDD3003</t>
        </is>
      </c>
      <c r="F284" s="16">
        <f>HYPERLINK("https://vtmf.veevavault.com/ui/#doc_info/30978693/1/0", "42847922MDD3003-ARG-S10-AR10001-Relevant Communications-15 Jan 2025 (v1.0)")</f>
        <v/>
      </c>
      <c r="G284" s="5" t="inlineStr">
        <is>
          <t>Site Management</t>
        </is>
      </c>
      <c r="H284" s="5" t="inlineStr">
        <is>
          <t>General</t>
        </is>
      </c>
      <c r="I284" s="5" t="inlineStr">
        <is>
          <t>Relevant Communications</t>
        </is>
      </c>
      <c r="J284" s="5" t="inlineStr">
        <is>
          <t>MDD3003_PI: Dr. Hector Fabian 
Lamaison M.D._Site: AR10001(Argentina)_Subject ID: AR100010002_Visit: Part 1 DB Baseline_Alert: 
Glucose fasting</t>
        </is>
      </c>
      <c r="K284" s="6" t="n">
        <v>393</v>
      </c>
      <c r="L284" s="7" t="n">
        <v>45672</v>
      </c>
      <c r="M284" s="11" t="n">
        <v>46065</v>
      </c>
      <c r="N284" s="5" t="inlineStr">
        <is>
          <t>Approved</t>
        </is>
      </c>
      <c r="O284" s="5" t="inlineStr">
        <is>
          <t>Site</t>
        </is>
      </c>
      <c r="P284" s="5" t="inlineStr">
        <is>
          <t>Argentina</t>
        </is>
      </c>
      <c r="Q284" s="13" t="inlineStr">
        <is>
          <t>S10-AR10001</t>
        </is>
      </c>
      <c r="R284" s="5" t="inlineStr">
        <is>
          <t>Gabriela Dluska</t>
        </is>
      </c>
      <c r="S284" s="8" t="n">
        <v>46065.68576388889</v>
      </c>
    </row>
    <row r="285" hidden="1" ht="58" customHeight="1">
      <c r="A285" s="15">
        <f>HYPERLINK("https://vtmf.veevavault.com/ui/#doc_info/30978694/1/0", "VTMF-24970707")</f>
        <v/>
      </c>
      <c r="B285" s="20" t="inlineStr">
        <is>
          <t>Yes</t>
        </is>
      </c>
      <c r="C285" s="5" t="inlineStr">
        <is>
          <t>1.0</t>
        </is>
      </c>
      <c r="D285" s="5" t="inlineStr">
        <is>
          <t>GCO</t>
        </is>
      </c>
      <c r="E285" s="5" t="inlineStr">
        <is>
          <t>42847922MDD3003</t>
        </is>
      </c>
      <c r="F285" s="16">
        <f>HYPERLINK("https://vtmf.veevavault.com/ui/#doc_info/30978694/1/0", "42847922MDD3003-USA-S10-US10013-Relevant Communications-12 Mar 2025 (v1.0)")</f>
        <v/>
      </c>
      <c r="G285" s="5" t="inlineStr">
        <is>
          <t>Site Management</t>
        </is>
      </c>
      <c r="H285" s="5" t="inlineStr">
        <is>
          <t>General</t>
        </is>
      </c>
      <c r="I285" s="5" t="inlineStr">
        <is>
          <t>Relevant Communications</t>
        </is>
      </c>
      <c r="J285" s="5" t="inlineStr">
        <is>
          <t>MDD3003_PI: Dr. Michael Thase M.D.._Site: US10013(United 
States)_Subject ID: US100130002/F_Visit: End of Phase/Treatment_Alert: Lymphocyte absolute</t>
        </is>
      </c>
      <c r="K285" s="6" t="n">
        <v>337</v>
      </c>
      <c r="L285" s="7" t="n">
        <v>45728</v>
      </c>
      <c r="M285" s="11" t="n">
        <v>46065</v>
      </c>
      <c r="N285" s="5" t="inlineStr">
        <is>
          <t>Approved</t>
        </is>
      </c>
      <c r="O285" s="5" t="inlineStr">
        <is>
          <t>Site</t>
        </is>
      </c>
      <c r="P285" s="5" t="inlineStr">
        <is>
          <t>United States</t>
        </is>
      </c>
      <c r="Q285" s="13" t="inlineStr">
        <is>
          <t>S10-US10013</t>
        </is>
      </c>
      <c r="R285" s="5" t="inlineStr">
        <is>
          <t>Gabriela Dluska</t>
        </is>
      </c>
      <c r="S285" s="8" t="n">
        <v>46065.68576388889</v>
      </c>
    </row>
    <row r="286" hidden="1" ht="43.5" customHeight="1">
      <c r="A286" s="15">
        <f>HYPERLINK("https://vtmf.veevavault.com/ui/#doc_info/30978695/1/0", "VTMF-24970708")</f>
        <v/>
      </c>
      <c r="B286" s="20" t="inlineStr">
        <is>
          <t>Yes</t>
        </is>
      </c>
      <c r="C286" s="5" t="inlineStr">
        <is>
          <t>1.0</t>
        </is>
      </c>
      <c r="D286" s="5" t="inlineStr">
        <is>
          <t>GCO</t>
        </is>
      </c>
      <c r="E286" s="5" t="inlineStr">
        <is>
          <t>42847922MDD3003</t>
        </is>
      </c>
      <c r="F286" s="16">
        <f>HYPERLINK("https://vtmf.veevavault.com/ui/#doc_info/30978695/1/0", "42847922MDD3003-USA-S10-US10013-Relevant Communications-31 Jan 2025 (v1.0)")</f>
        <v/>
      </c>
      <c r="G286" s="5" t="inlineStr">
        <is>
          <t>Site Management</t>
        </is>
      </c>
      <c r="H286" s="5" t="inlineStr">
        <is>
          <t>General</t>
        </is>
      </c>
      <c r="I286" s="5" t="inlineStr">
        <is>
          <t>Relevant Communications</t>
        </is>
      </c>
      <c r="J286" s="5" t="inlineStr">
        <is>
          <t>MDD3003_PI: Dr. Michael Thase M.D.._Site: US10013(United States)_Subject ID: US100130004/F_Visit: Part 1 Screening_Alert: FSH</t>
        </is>
      </c>
      <c r="K286" s="6" t="n">
        <v>377</v>
      </c>
      <c r="L286" s="7" t="n">
        <v>45688</v>
      </c>
      <c r="M286" s="11" t="n">
        <v>46065</v>
      </c>
      <c r="N286" s="5" t="inlineStr">
        <is>
          <t>Approved</t>
        </is>
      </c>
      <c r="O286" s="5" t="inlineStr">
        <is>
          <t>Site</t>
        </is>
      </c>
      <c r="P286" s="5" t="inlineStr">
        <is>
          <t>United States</t>
        </is>
      </c>
      <c r="Q286" s="13" t="inlineStr">
        <is>
          <t>S10-US10013</t>
        </is>
      </c>
      <c r="R286" s="5" t="inlineStr">
        <is>
          <t>Gabriela Dluska</t>
        </is>
      </c>
      <c r="S286" s="8" t="n">
        <v>46065.68576388889</v>
      </c>
    </row>
    <row r="287" hidden="1" ht="43.5" customHeight="1">
      <c r="A287" s="15">
        <f>HYPERLINK("https://vtmf.veevavault.com/ui/#doc_info/30978696/1/0", "VTMF-24970709")</f>
        <v/>
      </c>
      <c r="B287" s="20" t="inlineStr">
        <is>
          <t>Yes</t>
        </is>
      </c>
      <c r="C287" s="5" t="inlineStr">
        <is>
          <t>1.0</t>
        </is>
      </c>
      <c r="D287" s="5" t="inlineStr">
        <is>
          <t>GCO</t>
        </is>
      </c>
      <c r="E287" s="5" t="inlineStr">
        <is>
          <t>42847922MDD3003</t>
        </is>
      </c>
      <c r="F287" s="16">
        <f>HYPERLINK("https://vtmf.veevavault.com/ui/#doc_info/30978696/1/0", "42847922MDD3003-USA-S10-US10013-Relevant Communications-01 Feb 2025 (v1.0)")</f>
        <v/>
      </c>
      <c r="G287" s="5" t="inlineStr">
        <is>
          <t>Site Management</t>
        </is>
      </c>
      <c r="H287" s="5" t="inlineStr">
        <is>
          <t>General</t>
        </is>
      </c>
      <c r="I287" s="5" t="inlineStr">
        <is>
          <t>Relevant Communications</t>
        </is>
      </c>
      <c r="J287" s="5" t="inlineStr">
        <is>
          <t>MDD3003_PI: Dr. Michael Thase M.D._Site: US10013(US)_Subject ID: US100130003_Visit: Part 1 Screening_Alert: Triglycerides (GPO)</t>
        </is>
      </c>
      <c r="K287" s="6" t="n">
        <v>376</v>
      </c>
      <c r="L287" s="7" t="n">
        <v>45689</v>
      </c>
      <c r="M287" s="11" t="n">
        <v>46065</v>
      </c>
      <c r="N287" s="5" t="inlineStr">
        <is>
          <t>Approved</t>
        </is>
      </c>
      <c r="O287" s="5" t="inlineStr">
        <is>
          <t>Site</t>
        </is>
      </c>
      <c r="P287" s="5" t="inlineStr">
        <is>
          <t>United States</t>
        </is>
      </c>
      <c r="Q287" s="13" t="inlineStr">
        <is>
          <t>S10-US10013</t>
        </is>
      </c>
      <c r="R287" s="5" t="inlineStr">
        <is>
          <t>Gabriela Dluska</t>
        </is>
      </c>
      <c r="S287" s="8" t="n">
        <v>46065.68576388889</v>
      </c>
    </row>
    <row r="288" hidden="1" ht="43.5" customHeight="1">
      <c r="A288" s="15">
        <f>HYPERLINK("https://vtmf.veevavault.com/ui/#doc_info/30978697/1/0", "VTMF-24970710")</f>
        <v/>
      </c>
      <c r="B288" s="20" t="inlineStr">
        <is>
          <t>Yes</t>
        </is>
      </c>
      <c r="C288" s="5" t="inlineStr">
        <is>
          <t>1.0</t>
        </is>
      </c>
      <c r="D288" s="5" t="inlineStr">
        <is>
          <t>GCO</t>
        </is>
      </c>
      <c r="E288" s="5" t="inlineStr">
        <is>
          <t>42847922MDD3003</t>
        </is>
      </c>
      <c r="F288" s="16">
        <f>HYPERLINK("https://vtmf.veevavault.com/ui/#doc_info/30978697/1/0", "42847922MDD3003-ARG-S10-AR10010-Relevant Communications-05 Feb 2025 (v1.0)")</f>
        <v/>
      </c>
      <c r="G288" s="5" t="inlineStr">
        <is>
          <t>Site Management</t>
        </is>
      </c>
      <c r="H288" s="5" t="inlineStr">
        <is>
          <t>General</t>
        </is>
      </c>
      <c r="I288" s="5" t="inlineStr">
        <is>
          <t>Relevant Communications</t>
        </is>
      </c>
      <c r="J288" s="5" t="inlineStr">
        <is>
          <t>MDD3003-Subject ID: 
AR100100006_Visit: Part 1 Screening _Alert: confirmed Benzodiazepine result not available</t>
        </is>
      </c>
      <c r="K288" s="6" t="n">
        <v>372</v>
      </c>
      <c r="L288" s="7" t="n">
        <v>45693</v>
      </c>
      <c r="M288" s="11" t="n">
        <v>46065</v>
      </c>
      <c r="N288" s="5" t="inlineStr">
        <is>
          <t>Approved</t>
        </is>
      </c>
      <c r="O288" s="5" t="inlineStr">
        <is>
          <t>Site</t>
        </is>
      </c>
      <c r="P288" s="5" t="inlineStr">
        <is>
          <t>Argentina</t>
        </is>
      </c>
      <c r="Q288" s="13" t="inlineStr">
        <is>
          <t>S10-AR10010</t>
        </is>
      </c>
      <c r="R288" s="5" t="inlineStr">
        <is>
          <t>Gabriela Dluska</t>
        </is>
      </c>
      <c r="S288" s="8" t="n">
        <v>46065.68576388889</v>
      </c>
    </row>
    <row r="289" hidden="1" ht="29" customHeight="1">
      <c r="A289" s="15">
        <f>HYPERLINK("https://vtmf.veevavault.com/ui/#doc_info/30979216/1/0", "VTMF-24971166")</f>
        <v/>
      </c>
      <c r="B289" s="20" t="inlineStr">
        <is>
          <t>Yes</t>
        </is>
      </c>
      <c r="C289" s="5" t="inlineStr">
        <is>
          <t>1.0</t>
        </is>
      </c>
      <c r="D289" s="5" t="inlineStr">
        <is>
          <t>GCO</t>
        </is>
      </c>
      <c r="E289" s="5" t="inlineStr">
        <is>
          <t>42847922MDD3003</t>
        </is>
      </c>
      <c r="F289" s="16">
        <f>HYPERLINK("https://vtmf.veevavault.com/ui/#doc_info/30979216/1/0", "42847922MDD3003-USA-S10-US10001-Acceptance of Investigator Brochure-03 Mar 2025 (v1.0)")</f>
        <v/>
      </c>
      <c r="G289" s="5" t="inlineStr">
        <is>
          <t>Site Management</t>
        </is>
      </c>
      <c r="H289" s="5" t="inlineStr">
        <is>
          <t>Site Set-up Documentation</t>
        </is>
      </c>
      <c r="I289" s="5" t="inlineStr">
        <is>
          <t>Acceptance of Investigator Brochure</t>
        </is>
      </c>
      <c r="J289" s="5" t="inlineStr">
        <is>
          <t>IB AoR_Seltorexant_Ed. 13 Addendum 1</t>
        </is>
      </c>
      <c r="K289" s="6" t="n">
        <v>346</v>
      </c>
      <c r="L289" s="7" t="n">
        <v>45719</v>
      </c>
      <c r="M289" s="11" t="n">
        <v>46065</v>
      </c>
      <c r="N289" s="5" t="inlineStr">
        <is>
          <t>Approved</t>
        </is>
      </c>
      <c r="O289" s="5" t="inlineStr">
        <is>
          <t>Site</t>
        </is>
      </c>
      <c r="P289" s="5" t="inlineStr">
        <is>
          <t>United States</t>
        </is>
      </c>
      <c r="Q289" s="13" t="inlineStr">
        <is>
          <t>S10-US10001</t>
        </is>
      </c>
      <c r="R289" s="5" t="inlineStr">
        <is>
          <t>Daniel Woodland</t>
        </is>
      </c>
      <c r="S289" s="8" t="n">
        <v>46065.70099537037</v>
      </c>
    </row>
    <row r="290" hidden="1" ht="29" customHeight="1">
      <c r="A290" s="15">
        <f>HYPERLINK("https://vtmf.veevavault.com/ui/#doc_info/30979228/1/0", "VTMF-24971189")</f>
        <v/>
      </c>
      <c r="B290" s="20" t="inlineStr">
        <is>
          <t>Yes</t>
        </is>
      </c>
      <c r="C290" s="5" t="inlineStr">
        <is>
          <t>1.0</t>
        </is>
      </c>
      <c r="D290" s="5" t="inlineStr">
        <is>
          <t>GCO</t>
        </is>
      </c>
      <c r="E290" s="5" t="inlineStr">
        <is>
          <t>42847922MDD3003</t>
        </is>
      </c>
      <c r="F290" s="16">
        <f>HYPERLINK("https://vtmf.veevavault.com/ui/#doc_info/30979228/1/0", "42847922MDD3003-USA-S10-US10001-Financial Disclosure Form-13 Aug 2024 (v1.0)")</f>
        <v/>
      </c>
      <c r="G290" s="5" t="inlineStr">
        <is>
          <t>Site Management</t>
        </is>
      </c>
      <c r="H290" s="5" t="inlineStr">
        <is>
          <t>Site Set-up Documentation</t>
        </is>
      </c>
      <c r="I290" s="5" t="inlineStr">
        <is>
          <t>Financial Disclosure Form</t>
        </is>
      </c>
      <c r="J290" s="5" t="inlineStr">
        <is>
          <t>Sub-I FDF_Fontenot, J_Initial</t>
        </is>
      </c>
      <c r="K290" s="6" t="n">
        <v>548</v>
      </c>
      <c r="L290" s="7" t="n">
        <v>45517</v>
      </c>
      <c r="M290" s="11" t="n">
        <v>46065</v>
      </c>
      <c r="N290" s="5" t="inlineStr">
        <is>
          <t>Approved</t>
        </is>
      </c>
      <c r="O290" s="5" t="inlineStr">
        <is>
          <t>Site</t>
        </is>
      </c>
      <c r="P290" s="5" t="inlineStr">
        <is>
          <t>United States</t>
        </is>
      </c>
      <c r="Q290" s="13" t="inlineStr">
        <is>
          <t>S10-US10001</t>
        </is>
      </c>
      <c r="R290" s="5" t="inlineStr">
        <is>
          <t>Daniel Woodland</t>
        </is>
      </c>
      <c r="S290" s="8" t="n">
        <v>46065.70351851852</v>
      </c>
    </row>
    <row r="291" hidden="1" ht="29" customHeight="1">
      <c r="A291" s="15">
        <f>HYPERLINK("https://vtmf.veevavault.com/ui/#doc_info/30978961/1/0", "VTMF-24971265")</f>
        <v/>
      </c>
      <c r="B291" s="19" t="inlineStr">
        <is>
          <t>No</t>
        </is>
      </c>
      <c r="C291" s="5" t="inlineStr">
        <is>
          <t>1.0</t>
        </is>
      </c>
      <c r="D291" s="5" t="inlineStr">
        <is>
          <t>GCO</t>
        </is>
      </c>
      <c r="E291" s="5" t="inlineStr">
        <is>
          <t>42847922MDD3003</t>
        </is>
      </c>
      <c r="F291" s="16">
        <f>HYPERLINK("https://vtmf.veevavault.com/ui/#doc_info/30978961/1/0", "42847922MDD3003-USA-S10-US10001-Sub-Investigator Curriculum Vitae-30 May 2024 (v1.0)")</f>
        <v/>
      </c>
      <c r="G291" s="5" t="inlineStr">
        <is>
          <t>Site Management</t>
        </is>
      </c>
      <c r="H291" s="5" t="inlineStr">
        <is>
          <t>Site Set-up Documentation</t>
        </is>
      </c>
      <c r="I291" s="5" t="inlineStr">
        <is>
          <t>Sub-Investigator Curriculum Vitae</t>
        </is>
      </c>
      <c r="J291" s="5" t="inlineStr">
        <is>
          <t>Sub-I CV_ENG_Fontenot, J_Initial</t>
        </is>
      </c>
      <c r="K291" s="6" t="n">
        <v>623</v>
      </c>
      <c r="L291" s="7" t="n">
        <v>45442</v>
      </c>
      <c r="M291" s="11" t="n">
        <v>46065</v>
      </c>
      <c r="N291" s="5" t="inlineStr">
        <is>
          <t>Approved</t>
        </is>
      </c>
      <c r="O291" s="5" t="inlineStr">
        <is>
          <t>Site</t>
        </is>
      </c>
      <c r="P291" s="5" t="inlineStr">
        <is>
          <t>United States</t>
        </is>
      </c>
      <c r="Q291" s="13" t="inlineStr">
        <is>
          <t>S10-US10001</t>
        </is>
      </c>
      <c r="R291" s="5" t="inlineStr">
        <is>
          <t>Daniel Woodland</t>
        </is>
      </c>
      <c r="S291" s="8" t="n">
        <v>46065.7106712963</v>
      </c>
    </row>
    <row r="292" hidden="1" ht="43.5" customHeight="1">
      <c r="A292" s="15">
        <f>HYPERLINK("https://vtmf.veevavault.com/ui/#doc_info/30986811/1/0", "VTMF-24977699")</f>
        <v/>
      </c>
      <c r="B292" s="20" t="inlineStr">
        <is>
          <t>Yes</t>
        </is>
      </c>
      <c r="C292" s="5" t="inlineStr">
        <is>
          <t>1.0</t>
        </is>
      </c>
      <c r="D292" s="5" t="inlineStr">
        <is>
          <t>GCO</t>
        </is>
      </c>
      <c r="E292" s="5" t="inlineStr">
        <is>
          <t>42847922MDD3003</t>
        </is>
      </c>
      <c r="F292" s="16">
        <f>HYPERLINK("https://vtmf.veevavault.com/ui/#doc_info/30986811/1/0", "42847922MDD3003-ITA-S10-IT10014-Relevant Communications-16 Oct 2025 (v1.0)")</f>
        <v/>
      </c>
      <c r="G292" s="5" t="inlineStr">
        <is>
          <t>Site Management</t>
        </is>
      </c>
      <c r="H292" s="5" t="inlineStr">
        <is>
          <t>General</t>
        </is>
      </c>
      <c r="I292" s="5" t="inlineStr">
        <is>
          <t>Relevant Communications</t>
        </is>
      </c>
      <c r="J292" s="5" t="inlineStr">
        <is>
          <t>Studio clinico JnJ 42847922MDD3003 (OARS-7)_Site Activation Confirmation_IT10014/PI Prof. 
Pompili_16ott2025</t>
        </is>
      </c>
      <c r="K292" s="6" t="n">
        <v>120</v>
      </c>
      <c r="L292" s="7" t="n">
        <v>45946</v>
      </c>
      <c r="M292" s="11" t="n">
        <v>46066</v>
      </c>
      <c r="N292" s="5" t="inlineStr">
        <is>
          <t>Approved</t>
        </is>
      </c>
      <c r="O292" s="5" t="inlineStr">
        <is>
          <t>Site</t>
        </is>
      </c>
      <c r="P292" s="5" t="inlineStr">
        <is>
          <t>Italy</t>
        </is>
      </c>
      <c r="Q292" s="13" t="inlineStr">
        <is>
          <t>S10-IT10014</t>
        </is>
      </c>
      <c r="R292" s="5" t="inlineStr">
        <is>
          <t>Francesca Reversi</t>
        </is>
      </c>
      <c r="S292" s="8" t="n">
        <v>46066.49105324074</v>
      </c>
    </row>
    <row r="293" hidden="1" ht="29" customHeight="1">
      <c r="A293" s="15">
        <f>HYPERLINK("https://vtmf.veevavault.com/ui/#doc_info/30990835/1/0", "VTMF-24980817")</f>
        <v/>
      </c>
      <c r="B293" s="20" t="inlineStr">
        <is>
          <t>Yes</t>
        </is>
      </c>
      <c r="C293" s="5" t="inlineStr">
        <is>
          <t>1.0</t>
        </is>
      </c>
      <c r="D293" s="5" t="inlineStr">
        <is>
          <t>GCO</t>
        </is>
      </c>
      <c r="E293" s="5" t="inlineStr">
        <is>
          <t>42847922MDD3003</t>
        </is>
      </c>
      <c r="F293" s="16">
        <f>HYPERLINK("https://vtmf.veevavault.com/ui/#doc_info/30990835/1/0", "42847922MDD3003---Relevant Communications-07 Oct 2025 (v1.0)")</f>
        <v/>
      </c>
      <c r="G293" s="5" t="inlineStr">
        <is>
          <t>Third Parties</t>
        </is>
      </c>
      <c r="H293" s="5" t="inlineStr">
        <is>
          <t>General</t>
        </is>
      </c>
      <c r="I293" s="5" t="inlineStr">
        <is>
          <t>Relevant Communications</t>
        </is>
      </c>
      <c r="J293" s="5" t="inlineStr">
        <is>
          <t>NTF_Participant ID Correction_Site BR10002_06Oct - 07Oct2025 (part 1)</t>
        </is>
      </c>
      <c r="K293" s="6" t="n">
        <v>129</v>
      </c>
      <c r="L293" s="7" t="n">
        <v>45937</v>
      </c>
      <c r="M293" s="11" t="n">
        <v>46066</v>
      </c>
      <c r="N293" s="5" t="inlineStr">
        <is>
          <t>Approved</t>
        </is>
      </c>
      <c r="O293" s="5" t="inlineStr">
        <is>
          <t>Study</t>
        </is>
      </c>
      <c r="P293" s="5" t="inlineStr"/>
      <c r="Q293" s="13" t="inlineStr"/>
      <c r="R293" s="5" t="inlineStr">
        <is>
          <t>Debhora Garcia</t>
        </is>
      </c>
      <c r="S293" s="8" t="n">
        <v>46066.84855324074</v>
      </c>
    </row>
    <row r="294" hidden="1" ht="29" customHeight="1">
      <c r="A294" s="15">
        <f>HYPERLINK("https://vtmf.veevavault.com/ui/#doc_info/30990842/1/0", "VTMF-24980826")</f>
        <v/>
      </c>
      <c r="B294" s="20" t="inlineStr">
        <is>
          <t>Yes</t>
        </is>
      </c>
      <c r="C294" s="5" t="inlineStr">
        <is>
          <t>1.0</t>
        </is>
      </c>
      <c r="D294" s="5" t="inlineStr">
        <is>
          <t>GCO</t>
        </is>
      </c>
      <c r="E294" s="5" t="inlineStr">
        <is>
          <t>42847922MDD3003</t>
        </is>
      </c>
      <c r="F294" s="16">
        <f>HYPERLINK("https://vtmf.veevavault.com/ui/#doc_info/30990842/1/0", "42847922MDD3003---Relevant Communications-07 Oct 2025 (v1.0)")</f>
        <v/>
      </c>
      <c r="G294" s="5" t="inlineStr">
        <is>
          <t>Third Parties</t>
        </is>
      </c>
      <c r="H294" s="5" t="inlineStr">
        <is>
          <t>General</t>
        </is>
      </c>
      <c r="I294" s="5" t="inlineStr">
        <is>
          <t>Relevant Communications</t>
        </is>
      </c>
      <c r="J294" s="5" t="inlineStr">
        <is>
          <t>NTF_Participant ID Correction_Site BR10002_06Oct - 07Oct2025- audit</t>
        </is>
      </c>
      <c r="K294" s="6" t="n">
        <v>129</v>
      </c>
      <c r="L294" s="7" t="n">
        <v>45937</v>
      </c>
      <c r="M294" s="11" t="n">
        <v>46066</v>
      </c>
      <c r="N294" s="5" t="inlineStr">
        <is>
          <t>Approved</t>
        </is>
      </c>
      <c r="O294" s="5" t="inlineStr">
        <is>
          <t>Study</t>
        </is>
      </c>
      <c r="P294" s="5" t="inlineStr"/>
      <c r="Q294" s="13" t="inlineStr"/>
      <c r="R294" s="5" t="inlineStr">
        <is>
          <t>Debhora Garcia</t>
        </is>
      </c>
      <c r="S294" s="8" t="n">
        <v>46066.84990740741</v>
      </c>
    </row>
    <row r="295" hidden="1" ht="29" customHeight="1">
      <c r="A295" s="15">
        <f>HYPERLINK("https://vtmf.veevavault.com/ui/#doc_info/30990855/1/0", "VTMF-24980840")</f>
        <v/>
      </c>
      <c r="B295" s="20" t="inlineStr">
        <is>
          <t>Yes</t>
        </is>
      </c>
      <c r="C295" s="5" t="inlineStr">
        <is>
          <t>1.0</t>
        </is>
      </c>
      <c r="D295" s="5" t="inlineStr">
        <is>
          <t>GCO</t>
        </is>
      </c>
      <c r="E295" s="5" t="inlineStr">
        <is>
          <t>42847922MDD3003</t>
        </is>
      </c>
      <c r="F295" s="16">
        <f>HYPERLINK("https://vtmf.veevavault.com/ui/#doc_info/30990855/1/0", "42847922MDD3003---Relevant Communications-03 Jul 2025 (v1.0)")</f>
        <v/>
      </c>
      <c r="G295" s="5" t="inlineStr">
        <is>
          <t>Third Parties</t>
        </is>
      </c>
      <c r="H295" s="5" t="inlineStr">
        <is>
          <t>General</t>
        </is>
      </c>
      <c r="I295" s="5" t="inlineStr">
        <is>
          <t>Relevant Communications</t>
        </is>
      </c>
      <c r="J295" s="5" t="inlineStr">
        <is>
          <t>NTF_Participant ID Correction_Site US10212_03Ju1.docx (1) (part 1) - signed</t>
        </is>
      </c>
      <c r="K295" s="6" t="n">
        <v>225</v>
      </c>
      <c r="L295" s="7" t="n">
        <v>45841</v>
      </c>
      <c r="M295" s="11" t="n">
        <v>46066</v>
      </c>
      <c r="N295" s="5" t="inlineStr">
        <is>
          <t>Approved</t>
        </is>
      </c>
      <c r="O295" s="5" t="inlineStr">
        <is>
          <t>Study</t>
        </is>
      </c>
      <c r="P295" s="5" t="inlineStr"/>
      <c r="Q295" s="13" t="inlineStr"/>
      <c r="R295" s="5" t="inlineStr">
        <is>
          <t>Debhora Garcia</t>
        </is>
      </c>
      <c r="S295" s="8" t="n">
        <v>46066.85197916667</v>
      </c>
    </row>
    <row r="296" hidden="1" ht="29" customHeight="1">
      <c r="A296" s="15">
        <f>HYPERLINK("https://vtmf.veevavault.com/ui/#doc_info/30990860/1/0", "VTMF-24980849")</f>
        <v/>
      </c>
      <c r="B296" s="20" t="inlineStr">
        <is>
          <t>Yes</t>
        </is>
      </c>
      <c r="C296" s="5" t="inlineStr">
        <is>
          <t>1.0</t>
        </is>
      </c>
      <c r="D296" s="5" t="inlineStr">
        <is>
          <t>GCO</t>
        </is>
      </c>
      <c r="E296" s="5" t="inlineStr">
        <is>
          <t>42847922MDD3003</t>
        </is>
      </c>
      <c r="F296" s="16">
        <f>HYPERLINK("https://vtmf.veevavault.com/ui/#doc_info/30990860/1/0", "42847922MDD3003---Relevant Communications-03 Jul 2025 (v1.0)")</f>
        <v/>
      </c>
      <c r="G296" s="5" t="inlineStr">
        <is>
          <t>Third Parties</t>
        </is>
      </c>
      <c r="H296" s="5" t="inlineStr">
        <is>
          <t>General</t>
        </is>
      </c>
      <c r="I296" s="5" t="inlineStr">
        <is>
          <t>Relevant Communications</t>
        </is>
      </c>
      <c r="J296" s="5" t="inlineStr">
        <is>
          <t>NTF_Participant ID Correction_Site US10212_03Ju1.docx (1) - audit</t>
        </is>
      </c>
      <c r="K296" s="6" t="n">
        <v>225</v>
      </c>
      <c r="L296" s="7" t="n">
        <v>45841</v>
      </c>
      <c r="M296" s="11" t="n">
        <v>46066</v>
      </c>
      <c r="N296" s="5" t="inlineStr">
        <is>
          <t>Approved</t>
        </is>
      </c>
      <c r="O296" s="5" t="inlineStr">
        <is>
          <t>Study</t>
        </is>
      </c>
      <c r="P296" s="5" t="inlineStr"/>
      <c r="Q296" s="13" t="inlineStr"/>
      <c r="R296" s="5" t="inlineStr">
        <is>
          <t>Debhora Garcia</t>
        </is>
      </c>
      <c r="S296" s="8" t="n">
        <v>46066.85289351852</v>
      </c>
    </row>
    <row r="297" hidden="1" ht="29" customHeight="1">
      <c r="A297" s="15">
        <f>HYPERLINK("https://vtmf.veevavault.com/ui/#doc_info/30996341/1/0", "VTMF-24985711")</f>
        <v/>
      </c>
      <c r="B297" s="20" t="inlineStr">
        <is>
          <t>Yes</t>
        </is>
      </c>
      <c r="C297" s="5" t="inlineStr">
        <is>
          <t>1.0</t>
        </is>
      </c>
      <c r="D297" s="5" t="inlineStr">
        <is>
          <t>GCO</t>
        </is>
      </c>
      <c r="E297" s="5" t="inlineStr">
        <is>
          <t>42847922MDD3003</t>
        </is>
      </c>
      <c r="F297" s="16">
        <f>HYPERLINK("https://vtmf.veevavault.com/ui/#doc_info/30996341/1/0", "42847922MDD3003-TUR-S10-TR10012-Financial Disclosure Form-27 Oct 2025 (v1.0)")</f>
        <v/>
      </c>
      <c r="G297" s="5" t="inlineStr">
        <is>
          <t>Site Management</t>
        </is>
      </c>
      <c r="H297" s="5" t="inlineStr">
        <is>
          <t>Site Set-up Documentation</t>
        </is>
      </c>
      <c r="I297" s="5" t="inlineStr">
        <is>
          <t>Financial Disclosure Form</t>
        </is>
      </c>
      <c r="J297" s="5" t="inlineStr">
        <is>
          <t>IFDF_Koroglu, R</t>
        </is>
      </c>
      <c r="K297" s="6" t="n">
        <v>112</v>
      </c>
      <c r="L297" s="7" t="n">
        <v>45957</v>
      </c>
      <c r="M297" s="11" t="n">
        <v>46069</v>
      </c>
      <c r="N297" s="5" t="inlineStr">
        <is>
          <t>Approved</t>
        </is>
      </c>
      <c r="O297" s="5" t="inlineStr">
        <is>
          <t>Site</t>
        </is>
      </c>
      <c r="P297" s="5" t="inlineStr">
        <is>
          <t>Türkiye</t>
        </is>
      </c>
      <c r="Q297" s="13" t="inlineStr">
        <is>
          <t>S10-TR10012</t>
        </is>
      </c>
      <c r="R297" s="5" t="inlineStr">
        <is>
          <t>Gozde Mermer (VeevaID)</t>
        </is>
      </c>
      <c r="S297" s="8" t="n">
        <v>46069.39800925926</v>
      </c>
    </row>
    <row r="298" hidden="1" ht="29" customHeight="1">
      <c r="A298" s="15">
        <f>HYPERLINK("https://vtmf.veevavault.com/ui/#doc_info/30998270/1/0", "VTMF-24987160")</f>
        <v/>
      </c>
      <c r="B298" s="19" t="inlineStr">
        <is>
          <t>No</t>
        </is>
      </c>
      <c r="C298" s="5" t="inlineStr">
        <is>
          <t>1.0</t>
        </is>
      </c>
      <c r="D298" s="5" t="inlineStr">
        <is>
          <t>GCO</t>
        </is>
      </c>
      <c r="E298" s="5" t="inlineStr">
        <is>
          <t>42847922MDD3003</t>
        </is>
      </c>
      <c r="F298" s="16">
        <f>HYPERLINK("https://vtmf.veevavault.com/ui/#doc_info/30998270/1/0", "42847922MDD3003-COL-S10-CO10002-Non-IP Shipment Documentation-27 Oct 2025 (v1.0)")</f>
        <v/>
      </c>
      <c r="G298" s="5" t="inlineStr">
        <is>
          <t>IP and Trial Supplies</t>
        </is>
      </c>
      <c r="H298" s="5" t="inlineStr">
        <is>
          <t>Non-IP Documentation</t>
        </is>
      </c>
      <c r="I298" s="5" t="inlineStr">
        <is>
          <t>Non-IP Shipment Documentation</t>
        </is>
      </c>
      <c r="J298" s="5" t="inlineStr">
        <is>
          <t>Non-IP Shipment documentation_Recruitment material_27 Oct 2025</t>
        </is>
      </c>
      <c r="K298" s="6" t="n">
        <v>112</v>
      </c>
      <c r="L298" s="7" t="n">
        <v>45957</v>
      </c>
      <c r="M298" s="11" t="n">
        <v>46069</v>
      </c>
      <c r="N298" s="5" t="inlineStr">
        <is>
          <t>Approved</t>
        </is>
      </c>
      <c r="O298" s="5" t="inlineStr">
        <is>
          <t>Site</t>
        </is>
      </c>
      <c r="P298" s="5" t="inlineStr">
        <is>
          <t>Colombia</t>
        </is>
      </c>
      <c r="Q298" s="13" t="inlineStr">
        <is>
          <t>S10-CO10002</t>
        </is>
      </c>
      <c r="R298" s="5" t="inlineStr">
        <is>
          <t>Monica Romero</t>
        </is>
      </c>
      <c r="S298" s="8" t="n">
        <v>46069.62881944444</v>
      </c>
    </row>
    <row r="299" hidden="1" ht="29" customHeight="1">
      <c r="A299" s="15">
        <f>HYPERLINK("https://vtmf.veevavault.com/ui/#doc_info/30998643/1/0", "VTMF-24987477")</f>
        <v/>
      </c>
      <c r="B299" s="19" t="inlineStr">
        <is>
          <t>No</t>
        </is>
      </c>
      <c r="C299" s="5" t="inlineStr">
        <is>
          <t>1.0</t>
        </is>
      </c>
      <c r="D299" s="5" t="inlineStr">
        <is>
          <t>GCO</t>
        </is>
      </c>
      <c r="E299" s="5" t="inlineStr">
        <is>
          <t>42847922MDD3003, 42847922MDD3011</t>
        </is>
      </c>
      <c r="F299" s="16">
        <f>HYPERLINK("https://vtmf.veevavault.com/ui/#doc_info/30998643/1/0", "42847922MDD3003-COL-S10-CO10002-Local Laboratory Normal Ranges-11 Oct 2025 (v1.0)")</f>
        <v/>
      </c>
      <c r="G299" s="5" t="inlineStr">
        <is>
          <t>Site Management</t>
        </is>
      </c>
      <c r="H299" s="5" t="inlineStr">
        <is>
          <t>Site Set-up Documentation</t>
        </is>
      </c>
      <c r="I299" s="5" t="inlineStr">
        <is>
          <t>Local Laboratory Normal Ranges</t>
        </is>
      </c>
      <c r="J299" s="5" t="inlineStr">
        <is>
          <t>Local laboratory normal ranges_11 Oct 2025</t>
        </is>
      </c>
      <c r="K299" s="6" t="n">
        <v>128</v>
      </c>
      <c r="L299" s="7" t="n">
        <v>45941</v>
      </c>
      <c r="M299" s="11" t="n">
        <v>46069</v>
      </c>
      <c r="N299" s="5" t="inlineStr">
        <is>
          <t>Approved</t>
        </is>
      </c>
      <c r="O299" s="5" t="inlineStr">
        <is>
          <t>Site</t>
        </is>
      </c>
      <c r="P299" s="5" t="inlineStr">
        <is>
          <t>Colombia, Colombia</t>
        </is>
      </c>
      <c r="Q299" s="13" t="inlineStr">
        <is>
          <t>DG1-CO10002, S10-CO10002</t>
        </is>
      </c>
      <c r="R299" s="5" t="inlineStr">
        <is>
          <t>Monica Romero</t>
        </is>
      </c>
      <c r="S299" s="8" t="n">
        <v>46069.67438657407</v>
      </c>
    </row>
    <row r="300" hidden="1" ht="29" customHeight="1">
      <c r="A300" s="15">
        <f>HYPERLINK("https://vtmf.veevavault.com/ui/#doc_info/31000055/1/0", "VTMF-24988543")</f>
        <v/>
      </c>
      <c r="B300" s="19" t="inlineStr">
        <is>
          <t>No</t>
        </is>
      </c>
      <c r="C300" s="5" t="inlineStr">
        <is>
          <t>1.0</t>
        </is>
      </c>
      <c r="D300" s="5" t="inlineStr">
        <is>
          <t>GCO</t>
        </is>
      </c>
      <c r="E300" s="5" t="inlineStr">
        <is>
          <t>42847922MDD3003</t>
        </is>
      </c>
      <c r="F300" s="16">
        <f>HYPERLINK("https://vtmf.veevavault.com/ui/#doc_info/31000055/1/0", "42847922MDD3003-MEX-S10-MX10005-Non-IP Shipment Documentation-05 Dec 2025 (v1.0)")</f>
        <v/>
      </c>
      <c r="G300" s="5" t="inlineStr">
        <is>
          <t>IP and Trial Supplies</t>
        </is>
      </c>
      <c r="H300" s="5" t="inlineStr">
        <is>
          <t>Non-IP Documentation</t>
        </is>
      </c>
      <c r="I300" s="5" t="inlineStr">
        <is>
          <t>Non-IP Shipment Documentation</t>
        </is>
      </c>
      <c r="J300" s="5" t="inlineStr">
        <is>
          <t>Non-IP Shipment Form_MIP, Site instruction manual, Subject ID card_05Dec2025</t>
        </is>
      </c>
      <c r="K300" s="6" t="n">
        <v>73</v>
      </c>
      <c r="L300" s="7" t="n">
        <v>45996</v>
      </c>
      <c r="M300" s="11" t="n">
        <v>46069</v>
      </c>
      <c r="N300" s="5" t="inlineStr">
        <is>
          <t>Approved</t>
        </is>
      </c>
      <c r="O300" s="5" t="inlineStr">
        <is>
          <t>Site</t>
        </is>
      </c>
      <c r="P300" s="5" t="inlineStr">
        <is>
          <t>Mexico</t>
        </is>
      </c>
      <c r="Q300" s="13" t="inlineStr">
        <is>
          <t>S10-MX10005</t>
        </is>
      </c>
      <c r="R300" s="5" t="inlineStr">
        <is>
          <t>Karla Melisa Rodríguez Bautista</t>
        </is>
      </c>
      <c r="S300" s="8" t="n">
        <v>46070.01354166667</v>
      </c>
    </row>
    <row r="301" hidden="1" ht="29" customHeight="1">
      <c r="A301" s="15">
        <f>HYPERLINK("https://vtmf.veevavault.com/ui/#doc_info/31004165/1/0", "VTMF-24992081")</f>
        <v/>
      </c>
      <c r="B301" s="19" t="inlineStr">
        <is>
          <t>No</t>
        </is>
      </c>
      <c r="C301" s="5" t="inlineStr">
        <is>
          <t>1.0</t>
        </is>
      </c>
      <c r="D301" s="5" t="inlineStr">
        <is>
          <t>GCO</t>
        </is>
      </c>
      <c r="E301" s="5" t="inlineStr">
        <is>
          <t>42847922MDD3003</t>
        </is>
      </c>
      <c r="F301" s="16">
        <f>HYPERLINK("https://vtmf.veevavault.com/ui/#doc_info/31004165/1/0", "42847922MDD3003-ROU-S10-RO10013-IP Destruction Form-28 Oct 2025 (v1.0)")</f>
        <v/>
      </c>
      <c r="G301" s="5" t="inlineStr">
        <is>
          <t>IP and Trial Supplies</t>
        </is>
      </c>
      <c r="H301" s="5" t="inlineStr">
        <is>
          <t>IP Documentation</t>
        </is>
      </c>
      <c r="I301" s="5" t="inlineStr">
        <is>
          <t>IP Destruction Form</t>
        </is>
      </c>
      <c r="J301" s="5" t="inlineStr">
        <is>
          <t>IP Destruction Form</t>
        </is>
      </c>
      <c r="K301" s="6" t="n">
        <v>112</v>
      </c>
      <c r="L301" s="7" t="n">
        <v>45958</v>
      </c>
      <c r="M301" s="11" t="n">
        <v>46070</v>
      </c>
      <c r="N301" s="5" t="inlineStr">
        <is>
          <t>Approved</t>
        </is>
      </c>
      <c r="O301" s="5" t="inlineStr">
        <is>
          <t>Site</t>
        </is>
      </c>
      <c r="P301" s="5" t="inlineStr">
        <is>
          <t>Romania</t>
        </is>
      </c>
      <c r="Q301" s="13" t="inlineStr">
        <is>
          <t>S10-RO10013</t>
        </is>
      </c>
      <c r="R301" s="5" t="inlineStr">
        <is>
          <t>Alexandra Matache</t>
        </is>
      </c>
      <c r="S301" s="8" t="n">
        <v>46070.62791666666</v>
      </c>
    </row>
    <row r="302" hidden="1" ht="29" customHeight="1">
      <c r="A302" s="15">
        <f>HYPERLINK("https://vtmf.veevavault.com/ui/#doc_info/31004191/1/0", "VTMF-24992163")</f>
        <v/>
      </c>
      <c r="B302" s="19" t="inlineStr">
        <is>
          <t>No</t>
        </is>
      </c>
      <c r="C302" s="5" t="inlineStr">
        <is>
          <t>1.0</t>
        </is>
      </c>
      <c r="D302" s="5" t="inlineStr">
        <is>
          <t>GCO</t>
        </is>
      </c>
      <c r="E302" s="5" t="inlineStr">
        <is>
          <t>42847922MDD3003</t>
        </is>
      </c>
      <c r="F302" s="16">
        <f>HYPERLINK("https://vtmf.veevavault.com/ui/#doc_info/31004191/1/0", "42847922MDD3003-ROU-S10-RO10022-IP Destruction Form-02 Dec 2025 (v1.0)")</f>
        <v/>
      </c>
      <c r="G302" s="5" t="inlineStr">
        <is>
          <t>IP and Trial Supplies</t>
        </is>
      </c>
      <c r="H302" s="5" t="inlineStr">
        <is>
          <t>IP Documentation</t>
        </is>
      </c>
      <c r="I302" s="5" t="inlineStr">
        <is>
          <t>IP Destruction Form</t>
        </is>
      </c>
      <c r="J302" s="5" t="inlineStr">
        <is>
          <t>IP Destruction Form</t>
        </is>
      </c>
      <c r="K302" s="6" t="n">
        <v>77</v>
      </c>
      <c r="L302" s="7" t="n">
        <v>45993</v>
      </c>
      <c r="M302" s="11" t="n">
        <v>46070</v>
      </c>
      <c r="N302" s="5" t="inlineStr">
        <is>
          <t>Approved</t>
        </is>
      </c>
      <c r="O302" s="5" t="inlineStr">
        <is>
          <t>Site</t>
        </is>
      </c>
      <c r="P302" s="5" t="inlineStr">
        <is>
          <t>Romania</t>
        </is>
      </c>
      <c r="Q302" s="13" t="inlineStr">
        <is>
          <t>S10-RO10022</t>
        </is>
      </c>
      <c r="R302" s="5" t="inlineStr">
        <is>
          <t>Alexandra Matache</t>
        </is>
      </c>
      <c r="S302" s="8" t="n">
        <v>46070.6343287037</v>
      </c>
    </row>
    <row r="303" hidden="1" ht="43.5" customHeight="1">
      <c r="A303" s="15">
        <f>HYPERLINK("https://vtmf.veevavault.com/ui/#doc_info/31007520/1/0", "VTMF-24994805")</f>
        <v/>
      </c>
      <c r="B303" s="20" t="inlineStr">
        <is>
          <t>Yes</t>
        </is>
      </c>
      <c r="C303" s="5" t="inlineStr">
        <is>
          <t>1.0</t>
        </is>
      </c>
      <c r="D303" s="5" t="inlineStr">
        <is>
          <t>GCO</t>
        </is>
      </c>
      <c r="E303" s="5" t="inlineStr">
        <is>
          <t>42847922MDD3003</t>
        </is>
      </c>
      <c r="F303" s="16">
        <f>HYPERLINK("https://vtmf.veevavault.com/ui/#doc_info/31007520/1/0", "42847922MDD3003-SWE-S10-SE10001-Relevant Communications-17 Jul 2025 (v1.0)")</f>
        <v/>
      </c>
      <c r="G303" s="5" t="inlineStr">
        <is>
          <t>Site Management</t>
        </is>
      </c>
      <c r="H303" s="5" t="inlineStr">
        <is>
          <t>General</t>
        </is>
      </c>
      <c r="I303" s="5" t="inlineStr">
        <is>
          <t>Relevant Communications</t>
        </is>
      </c>
      <c r="J303" s="5" t="inlineStr">
        <is>
          <t>PI_ Dr_ Anders Luts_Site_ S10-SE10001(Sweden)_Subject ID_ SE100010008_M_Visit_ Part 1 Screening</t>
        </is>
      </c>
      <c r="K303" s="6" t="n">
        <v>216</v>
      </c>
      <c r="L303" s="7" t="n">
        <v>45855</v>
      </c>
      <c r="M303" s="11" t="n">
        <v>46071</v>
      </c>
      <c r="N303" s="5" t="inlineStr">
        <is>
          <t>Approved</t>
        </is>
      </c>
      <c r="O303" s="5" t="inlineStr">
        <is>
          <t>Site</t>
        </is>
      </c>
      <c r="P303" s="5" t="inlineStr">
        <is>
          <t>Sweden</t>
        </is>
      </c>
      <c r="Q303" s="13" t="inlineStr">
        <is>
          <t>S10-SE10001</t>
        </is>
      </c>
      <c r="R303" s="5" t="inlineStr">
        <is>
          <t>Debhora Garcia</t>
        </is>
      </c>
      <c r="S303" s="8" t="n">
        <v>46071.03267361111</v>
      </c>
    </row>
    <row r="304" hidden="1" ht="29" customHeight="1">
      <c r="A304" s="15">
        <f>HYPERLINK("https://vtmf.veevavault.com/ui/#doc_info/31007533/1/0", "VTMF-24994829")</f>
        <v/>
      </c>
      <c r="B304" s="20" t="inlineStr">
        <is>
          <t>Yes</t>
        </is>
      </c>
      <c r="C304" s="5" t="inlineStr">
        <is>
          <t>1.0</t>
        </is>
      </c>
      <c r="D304" s="5" t="inlineStr">
        <is>
          <t>GCO</t>
        </is>
      </c>
      <c r="E304" s="5" t="inlineStr">
        <is>
          <t>42847922MDD3003</t>
        </is>
      </c>
      <c r="F304" s="16">
        <f>HYPERLINK("https://vtmf.veevavault.com/ui/#doc_info/31007533/1/0", "42847922MDD3003-ESP-S10-ES10003-Relevant Communications-05 Jun 2025 (v1.0)")</f>
        <v/>
      </c>
      <c r="G304" s="5" t="inlineStr">
        <is>
          <t>Site Management</t>
        </is>
      </c>
      <c r="H304" s="5" t="inlineStr">
        <is>
          <t>General</t>
        </is>
      </c>
      <c r="I304" s="5" t="inlineStr">
        <is>
          <t>Relevant Communications</t>
        </is>
      </c>
      <c r="J304" s="5" t="inlineStr">
        <is>
          <t>Eligibility Approval needed for patient ES100030005</t>
        </is>
      </c>
      <c r="K304" s="6" t="n">
        <v>258</v>
      </c>
      <c r="L304" s="7" t="n">
        <v>45813</v>
      </c>
      <c r="M304" s="11" t="n">
        <v>46071</v>
      </c>
      <c r="N304" s="5" t="inlineStr">
        <is>
          <t>Approved</t>
        </is>
      </c>
      <c r="O304" s="5" t="inlineStr">
        <is>
          <t>Site</t>
        </is>
      </c>
      <c r="P304" s="5" t="inlineStr">
        <is>
          <t>Spain</t>
        </is>
      </c>
      <c r="Q304" s="13" t="inlineStr">
        <is>
          <t>S10-ES10003</t>
        </is>
      </c>
      <c r="R304" s="5" t="inlineStr">
        <is>
          <t>Debhora Garcia</t>
        </is>
      </c>
      <c r="S304" s="8" t="n">
        <v>46071.0422800926</v>
      </c>
    </row>
    <row r="305" hidden="1" ht="29" customHeight="1">
      <c r="A305" s="15">
        <f>HYPERLINK("https://vtmf.veevavault.com/ui/#doc_info/31007536/1/0", "VTMF-24994834")</f>
        <v/>
      </c>
      <c r="B305" s="20" t="inlineStr">
        <is>
          <t>Yes</t>
        </is>
      </c>
      <c r="C305" s="5" t="inlineStr">
        <is>
          <t>1.0</t>
        </is>
      </c>
      <c r="D305" s="5" t="inlineStr">
        <is>
          <t>GCO</t>
        </is>
      </c>
      <c r="E305" s="5" t="inlineStr">
        <is>
          <t>42847922MDD3003</t>
        </is>
      </c>
      <c r="F305" s="16">
        <f>HYPERLINK("https://vtmf.veevavault.com/ui/#doc_info/31007536/1/0", "42847922MDD3003-ESP-S10-ES10003-Relevant Communications-05 Jun 2025 (v1.0)")</f>
        <v/>
      </c>
      <c r="G305" s="5" t="inlineStr">
        <is>
          <t>Site Management</t>
        </is>
      </c>
      <c r="H305" s="5" t="inlineStr">
        <is>
          <t>General</t>
        </is>
      </c>
      <c r="I305" s="5" t="inlineStr">
        <is>
          <t>Relevant Communications</t>
        </is>
      </c>
      <c r="J305" s="5" t="inlineStr">
        <is>
          <t>URGENT_Eligibility Approval needed for patient ES100030005</t>
        </is>
      </c>
      <c r="K305" s="6" t="n">
        <v>258</v>
      </c>
      <c r="L305" s="7" t="n">
        <v>45813</v>
      </c>
      <c r="M305" s="11" t="n">
        <v>46071</v>
      </c>
      <c r="N305" s="5" t="inlineStr">
        <is>
          <t>Approved</t>
        </is>
      </c>
      <c r="O305" s="5" t="inlineStr">
        <is>
          <t>Site</t>
        </is>
      </c>
      <c r="P305" s="5" t="inlineStr">
        <is>
          <t>Spain</t>
        </is>
      </c>
      <c r="Q305" s="13" t="inlineStr">
        <is>
          <t>S10-ES10003</t>
        </is>
      </c>
      <c r="R305" s="5" t="inlineStr">
        <is>
          <t>Debhora Garcia</t>
        </is>
      </c>
      <c r="S305" s="8" t="n">
        <v>46071.04446759259</v>
      </c>
    </row>
    <row r="306" hidden="1" ht="29" customHeight="1">
      <c r="A306" s="15">
        <f>HYPERLINK("https://vtmf.veevavault.com/ui/#doc_info/31010105/1/0", "VTMF-24997109")</f>
        <v/>
      </c>
      <c r="B306" s="19" t="inlineStr">
        <is>
          <t>No</t>
        </is>
      </c>
      <c r="C306" s="5" t="inlineStr">
        <is>
          <t>1.0</t>
        </is>
      </c>
      <c r="D306" s="5" t="inlineStr">
        <is>
          <t>GCO</t>
        </is>
      </c>
      <c r="E306" s="5" t="inlineStr">
        <is>
          <t>42847922MDD3003</t>
        </is>
      </c>
      <c r="F306" s="16">
        <f>HYPERLINK("https://vtmf.veevavault.com/ui/#doc_info/31010105/1/0", "42847922MDD3003-CZE-S10-CZ10011-Certification of Electronic Signature-20 Jun 2025 (v1.0)")</f>
        <v/>
      </c>
      <c r="G306" s="5" t="inlineStr">
        <is>
          <t>Data Management</t>
        </is>
      </c>
      <c r="H306" s="5" t="inlineStr">
        <is>
          <t>EDC Management</t>
        </is>
      </c>
      <c r="I306" s="5" t="inlineStr">
        <is>
          <t>Certification of Electronic Signature</t>
        </is>
      </c>
      <c r="J306" s="5" t="inlineStr">
        <is>
          <t>Certification of eSignature_Lendlova M._20Jun2025</t>
        </is>
      </c>
      <c r="K306" s="6" t="n">
        <v>243</v>
      </c>
      <c r="L306" s="7" t="n">
        <v>45828</v>
      </c>
      <c r="M306" s="11" t="n">
        <v>46071</v>
      </c>
      <c r="N306" s="5" t="inlineStr">
        <is>
          <t>Approved</t>
        </is>
      </c>
      <c r="O306" s="5" t="inlineStr">
        <is>
          <t>Site</t>
        </is>
      </c>
      <c r="P306" s="5" t="inlineStr">
        <is>
          <t>Czech Republic</t>
        </is>
      </c>
      <c r="Q306" s="13" t="inlineStr">
        <is>
          <t>S10-CZ10011</t>
        </is>
      </c>
      <c r="R306" s="5" t="inlineStr">
        <is>
          <t>Marketa Hanzalova</t>
        </is>
      </c>
      <c r="S306" s="8" t="n">
        <v>46071.4109375</v>
      </c>
    </row>
    <row r="307" hidden="1" ht="43.5" customHeight="1">
      <c r="A307" s="15">
        <f>HYPERLINK("https://vtmf.veevavault.com/ui/#doc_info/31011123/1/0", "VTMF-24998051")</f>
        <v/>
      </c>
      <c r="B307" s="20" t="inlineStr">
        <is>
          <t>Yes</t>
        </is>
      </c>
      <c r="C307" s="5" t="inlineStr">
        <is>
          <t>1.0</t>
        </is>
      </c>
      <c r="D307" s="5" t="inlineStr">
        <is>
          <t>GCO</t>
        </is>
      </c>
      <c r="E307" s="5" t="inlineStr">
        <is>
          <t>42847922MDD3003</t>
        </is>
      </c>
      <c r="F307" s="16">
        <f>HYPERLINK("https://vtmf.veevavault.com/ui/#doc_info/31011123/1/0", "42847922MDD3003-CZE-S10-CZ10008-Relevant Communications-29 Sep 2025 (v1.0)")</f>
        <v/>
      </c>
      <c r="G307" s="5" t="inlineStr">
        <is>
          <t>Site Management</t>
        </is>
      </c>
      <c r="H307" s="5" t="inlineStr">
        <is>
          <t>General</t>
        </is>
      </c>
      <c r="I307" s="5" t="inlineStr">
        <is>
          <t>Relevant Communications</t>
        </is>
      </c>
      <c r="J307" s="5" t="inlineStr">
        <is>
          <t>IQVIA Eligibility Review_Approved_Subject_CZ100080006_PI: Zdenek Solle_29Sep2025</t>
        </is>
      </c>
      <c r="K307" s="6" t="n">
        <v>147</v>
      </c>
      <c r="L307" s="7" t="n">
        <v>45929</v>
      </c>
      <c r="M307" s="11" t="n">
        <v>46076</v>
      </c>
      <c r="N307" s="5" t="inlineStr">
        <is>
          <t>Approved</t>
        </is>
      </c>
      <c r="O307" s="5" t="inlineStr">
        <is>
          <t>Site</t>
        </is>
      </c>
      <c r="P307" s="5" t="inlineStr">
        <is>
          <t>Czech Republic</t>
        </is>
      </c>
      <c r="Q307" s="13" t="inlineStr">
        <is>
          <t>S10-CZ10008</t>
        </is>
      </c>
      <c r="R307" s="5" t="inlineStr">
        <is>
          <t>Vera Matousková</t>
        </is>
      </c>
      <c r="S307" s="8" t="n">
        <v>46071.55143518518</v>
      </c>
    </row>
    <row r="308" hidden="1" ht="29" customHeight="1">
      <c r="A308" s="15">
        <f>HYPERLINK("https://vtmf.veevavault.com/ui/#doc_info/30858280/1/0", "VTMF-24998358")</f>
        <v/>
      </c>
      <c r="B308" s="20" t="inlineStr">
        <is>
          <t>Yes</t>
        </is>
      </c>
      <c r="C308" s="5" t="inlineStr">
        <is>
          <t>1.0</t>
        </is>
      </c>
      <c r="D308" s="5" t="inlineStr">
        <is>
          <t>GCO</t>
        </is>
      </c>
      <c r="E308" s="5" t="inlineStr">
        <is>
          <t>42847922MDD3003</t>
        </is>
      </c>
      <c r="F308" s="16">
        <f>HYPERLINK("https://vtmf.veevavault.com/ui/#doc_info/30858280/1/0", "42847922MDD3003-ARG-S10-AR10002-Non-IP Return Documentation-11 Nov 2025 (v1.0)")</f>
        <v/>
      </c>
      <c r="G308" s="5" t="inlineStr">
        <is>
          <t>IP and Trial Supplies</t>
        </is>
      </c>
      <c r="H308" s="5" t="inlineStr">
        <is>
          <t>Non-IP Documentation</t>
        </is>
      </c>
      <c r="I308" s="5" t="inlineStr">
        <is>
          <t>Non-IP Return Documentation</t>
        </is>
      </c>
      <c r="J308" s="5" t="inlineStr">
        <is>
          <t>Non ip return ECG</t>
        </is>
      </c>
      <c r="K308" s="6" t="n">
        <v>99</v>
      </c>
      <c r="L308" s="7" t="n">
        <v>45972</v>
      </c>
      <c r="M308" s="11" t="n">
        <v>46071</v>
      </c>
      <c r="N308" s="5" t="inlineStr">
        <is>
          <t>Approved</t>
        </is>
      </c>
      <c r="O308" s="5" t="inlineStr">
        <is>
          <t>Site</t>
        </is>
      </c>
      <c r="P308" s="5" t="inlineStr">
        <is>
          <t>Argentina</t>
        </is>
      </c>
      <c r="Q308" s="13" t="inlineStr">
        <is>
          <t>S10-AR10002</t>
        </is>
      </c>
      <c r="R308" s="5" t="inlineStr">
        <is>
          <t>LEANDRO LOPEZ</t>
        </is>
      </c>
      <c r="S308" s="8" t="n">
        <v>46049.71825231481</v>
      </c>
    </row>
    <row r="309" hidden="1" ht="43.5" customHeight="1">
      <c r="A309" s="15">
        <f>HYPERLINK("https://vtmf.veevavault.com/ui/#doc_info/31011558/1/0", "VTMF-24998499")</f>
        <v/>
      </c>
      <c r="B309" s="20" t="inlineStr">
        <is>
          <t>Yes</t>
        </is>
      </c>
      <c r="C309" s="5" t="inlineStr">
        <is>
          <t>1.0</t>
        </is>
      </c>
      <c r="D309" s="5" t="inlineStr">
        <is>
          <t>GCO</t>
        </is>
      </c>
      <c r="E309" s="5" t="inlineStr">
        <is>
          <t>42847922MDD3003</t>
        </is>
      </c>
      <c r="F309" s="16">
        <f>HYPERLINK("https://vtmf.veevavault.com/ui/#doc_info/31011558/1/0", "42847922MDD3003-CZE-S10-CZ10008-Relevant Communications-18 Jul 2025 (v1.0)")</f>
        <v/>
      </c>
      <c r="G309" s="5" t="inlineStr">
        <is>
          <t>Site Management</t>
        </is>
      </c>
      <c r="H309" s="5" t="inlineStr">
        <is>
          <t>General</t>
        </is>
      </c>
      <c r="I309" s="5" t="inlineStr">
        <is>
          <t>Relevant Communications</t>
        </is>
      </c>
      <c r="J309" s="5" t="inlineStr">
        <is>
          <t>IQVIA Eligibility Review_Approved_Subject_CZ100080001_PI Zdenek Solle_18July2025</t>
        </is>
      </c>
      <c r="K309" s="6" t="n">
        <v>215</v>
      </c>
      <c r="L309" s="7" t="n">
        <v>45856</v>
      </c>
      <c r="M309" s="11" t="n">
        <v>46071</v>
      </c>
      <c r="N309" s="5" t="inlineStr">
        <is>
          <t>Approved</t>
        </is>
      </c>
      <c r="O309" s="5" t="inlineStr">
        <is>
          <t>Site</t>
        </is>
      </c>
      <c r="P309" s="5" t="inlineStr">
        <is>
          <t>Czech Republic</t>
        </is>
      </c>
      <c r="Q309" s="13" t="inlineStr">
        <is>
          <t>S10-CZ10008</t>
        </is>
      </c>
      <c r="R309" s="5" t="inlineStr">
        <is>
          <t>Vera Matousková</t>
        </is>
      </c>
      <c r="S309" s="8" t="n">
        <v>46071.6046875</v>
      </c>
    </row>
    <row r="310" hidden="1" ht="43.5" customHeight="1">
      <c r="A310" s="15">
        <f>HYPERLINK("https://vtmf.veevavault.com/ui/#doc_info/31011569/1/0", "VTMF-24998528")</f>
        <v/>
      </c>
      <c r="B310" s="20" t="inlineStr">
        <is>
          <t>Yes</t>
        </is>
      </c>
      <c r="C310" s="5" t="inlineStr">
        <is>
          <t>1.0</t>
        </is>
      </c>
      <c r="D310" s="5" t="inlineStr">
        <is>
          <t>GCO</t>
        </is>
      </c>
      <c r="E310" s="5" t="inlineStr">
        <is>
          <t>42847922MDD3003</t>
        </is>
      </c>
      <c r="F310" s="16">
        <f>HYPERLINK("https://vtmf.veevavault.com/ui/#doc_info/31011569/1/0", "42847922MDD3003-CZE-S10-CZ10008-Relevant Communications-14 Aug 2025 (v1.0)")</f>
        <v/>
      </c>
      <c r="G310" s="5" t="inlineStr">
        <is>
          <t>Site Management</t>
        </is>
      </c>
      <c r="H310" s="5" t="inlineStr">
        <is>
          <t>General</t>
        </is>
      </c>
      <c r="I310" s="5" t="inlineStr">
        <is>
          <t>Relevant Communications</t>
        </is>
      </c>
      <c r="J310" s="5" t="inlineStr">
        <is>
          <t>IQVIA Eligibility Review_Approved_Subject_CZ100080003_PI Zdenek Solle_14Aug2025</t>
        </is>
      </c>
      <c r="K310" s="6" t="n">
        <v>188</v>
      </c>
      <c r="L310" s="7" t="n">
        <v>45883</v>
      </c>
      <c r="M310" s="11" t="n">
        <v>46071</v>
      </c>
      <c r="N310" s="5" t="inlineStr">
        <is>
          <t>Approved</t>
        </is>
      </c>
      <c r="O310" s="5" t="inlineStr">
        <is>
          <t>Site</t>
        </is>
      </c>
      <c r="P310" s="5" t="inlineStr">
        <is>
          <t>Czech Republic</t>
        </is>
      </c>
      <c r="Q310" s="13" t="inlineStr">
        <is>
          <t>S10-CZ10008</t>
        </is>
      </c>
      <c r="R310" s="5" t="inlineStr">
        <is>
          <t>Vera Matousková</t>
        </is>
      </c>
      <c r="S310" s="8" t="n">
        <v>46071.60763888889</v>
      </c>
    </row>
    <row r="311" hidden="1" ht="43.5" customHeight="1">
      <c r="A311" s="15">
        <f>HYPERLINK("https://vtmf.veevavault.com/ui/#doc_info/31011599/1/0", "VTMF-24998552")</f>
        <v/>
      </c>
      <c r="B311" s="20" t="inlineStr">
        <is>
          <t>Yes</t>
        </is>
      </c>
      <c r="C311" s="5" t="inlineStr">
        <is>
          <t>1.0</t>
        </is>
      </c>
      <c r="D311" s="5" t="inlineStr">
        <is>
          <t>GCO</t>
        </is>
      </c>
      <c r="E311" s="5" t="inlineStr">
        <is>
          <t>42847922MDD3003</t>
        </is>
      </c>
      <c r="F311" s="16">
        <f>HYPERLINK("https://vtmf.veevavault.com/ui/#doc_info/31011599/1/0", "42847922MDD3003-CZE-S10-CZ10008-Relevant Communications-26 Aug 2025 (v1.0)")</f>
        <v/>
      </c>
      <c r="G311" s="5" t="inlineStr">
        <is>
          <t>Site Management</t>
        </is>
      </c>
      <c r="H311" s="5" t="inlineStr">
        <is>
          <t>General</t>
        </is>
      </c>
      <c r="I311" s="5" t="inlineStr">
        <is>
          <t>Relevant Communications</t>
        </is>
      </c>
      <c r="J311" s="5" t="inlineStr">
        <is>
          <t>IQVIA Eligibility Review_Approved_Subject_CZ100080002_PI Zdenek Solle_26Aug2025</t>
        </is>
      </c>
      <c r="K311" s="6" t="n">
        <v>176</v>
      </c>
      <c r="L311" s="7" t="n">
        <v>45895</v>
      </c>
      <c r="M311" s="11" t="n">
        <v>46071</v>
      </c>
      <c r="N311" s="5" t="inlineStr">
        <is>
          <t>Approved</t>
        </is>
      </c>
      <c r="O311" s="5" t="inlineStr">
        <is>
          <t>Site</t>
        </is>
      </c>
      <c r="P311" s="5" t="inlineStr">
        <is>
          <t>Czech Republic</t>
        </is>
      </c>
      <c r="Q311" s="13" t="inlineStr">
        <is>
          <t>S10-CZ10008</t>
        </is>
      </c>
      <c r="R311" s="5" t="inlineStr">
        <is>
          <t>Vera Matousková</t>
        </is>
      </c>
      <c r="S311" s="8" t="n">
        <v>46071.61177083333</v>
      </c>
    </row>
    <row r="312" hidden="1" ht="29" customHeight="1">
      <c r="A312" s="15">
        <f>HYPERLINK("https://vtmf.veevavault.com/ui/#doc_info/31011692/1/0", "VTMF-24998622")</f>
        <v/>
      </c>
      <c r="B312" s="20" t="inlineStr">
        <is>
          <t>Yes</t>
        </is>
      </c>
      <c r="C312" s="5" t="inlineStr">
        <is>
          <t>1.0</t>
        </is>
      </c>
      <c r="D312" s="5" t="inlineStr">
        <is>
          <t>GCO</t>
        </is>
      </c>
      <c r="E312" s="5" t="inlineStr">
        <is>
          <t>42847922MDD3003</t>
        </is>
      </c>
      <c r="F312" s="16">
        <f>HYPERLINK("https://vtmf.veevavault.com/ui/#doc_info/31011692/1/0", "42847922MDD3003-CZE-S10-CZ10011-Relevant Communications-29 Jul 2025 (v1.0)")</f>
        <v/>
      </c>
      <c r="G312" s="5" t="inlineStr">
        <is>
          <t>Site Management</t>
        </is>
      </c>
      <c r="H312" s="5" t="inlineStr">
        <is>
          <t>General</t>
        </is>
      </c>
      <c r="I312" s="5" t="inlineStr">
        <is>
          <t>Relevant Communications</t>
        </is>
      </c>
      <c r="J312" s="5" t="inlineStr">
        <is>
          <t>IQVIA Eligibility Review_Subject_CZ100110002_PI Marta Lendlova_29Jul2025</t>
        </is>
      </c>
      <c r="K312" s="6" t="n">
        <v>204</v>
      </c>
      <c r="L312" s="7" t="n">
        <v>45867</v>
      </c>
      <c r="M312" s="11" t="n">
        <v>46071</v>
      </c>
      <c r="N312" s="5" t="inlineStr">
        <is>
          <t>Approved</t>
        </is>
      </c>
      <c r="O312" s="5" t="inlineStr">
        <is>
          <t>Site</t>
        </is>
      </c>
      <c r="P312" s="5" t="inlineStr">
        <is>
          <t>Czech Republic</t>
        </is>
      </c>
      <c r="Q312" s="13" t="inlineStr">
        <is>
          <t>S10-CZ10011</t>
        </is>
      </c>
      <c r="R312" s="5" t="inlineStr">
        <is>
          <t>Vera Matousková</t>
        </is>
      </c>
      <c r="S312" s="8" t="n">
        <v>46071.61789351852</v>
      </c>
    </row>
    <row r="313" hidden="1" ht="43.5" customHeight="1">
      <c r="A313" s="15">
        <f>HYPERLINK("https://vtmf.veevavault.com/ui/#doc_info/31011809/1/0", "VTMF-24998651")</f>
        <v/>
      </c>
      <c r="B313" s="20" t="inlineStr">
        <is>
          <t>Yes</t>
        </is>
      </c>
      <c r="C313" s="5" t="inlineStr">
        <is>
          <t>1.0</t>
        </is>
      </c>
      <c r="D313" s="5" t="inlineStr">
        <is>
          <t>GCO</t>
        </is>
      </c>
      <c r="E313" s="5" t="inlineStr">
        <is>
          <t>42847922MDD3003</t>
        </is>
      </c>
      <c r="F313" s="16">
        <f>HYPERLINK("https://vtmf.veevavault.com/ui/#doc_info/31011809/1/0", "42847922MDD3003-CZE-S10-CZ10011-Relevant Communications-25 Aug 2025 (v1.0)")</f>
        <v/>
      </c>
      <c r="G313" s="5" t="inlineStr">
        <is>
          <t>Site Management</t>
        </is>
      </c>
      <c r="H313" s="5" t="inlineStr">
        <is>
          <t>General</t>
        </is>
      </c>
      <c r="I313" s="5" t="inlineStr">
        <is>
          <t>Relevant Communications</t>
        </is>
      </c>
      <c r="J313" s="5" t="inlineStr">
        <is>
          <t>IQVIA Eligibility Review_Approved_Subject_CZ100110001_PI Marta Lendlova_25Aug2025</t>
        </is>
      </c>
      <c r="K313" s="6" t="n">
        <v>177</v>
      </c>
      <c r="L313" s="7" t="n">
        <v>45894</v>
      </c>
      <c r="M313" s="11" t="n">
        <v>46071</v>
      </c>
      <c r="N313" s="5" t="inlineStr">
        <is>
          <t>Approved</t>
        </is>
      </c>
      <c r="O313" s="5" t="inlineStr">
        <is>
          <t>Site</t>
        </is>
      </c>
      <c r="P313" s="5" t="inlineStr">
        <is>
          <t>Czech Republic</t>
        </is>
      </c>
      <c r="Q313" s="13" t="inlineStr">
        <is>
          <t>S10-CZ10011</t>
        </is>
      </c>
      <c r="R313" s="5" t="inlineStr">
        <is>
          <t>Vera Matousková</t>
        </is>
      </c>
      <c r="S313" s="8" t="n">
        <v>46071.62149305556</v>
      </c>
    </row>
    <row r="314" hidden="1" ht="43.5" customHeight="1">
      <c r="A314" s="15">
        <f>HYPERLINK("https://vtmf.veevavault.com/ui/#doc_info/31011855/1/0", "VTMF-24998737")</f>
        <v/>
      </c>
      <c r="B314" s="20" t="inlineStr">
        <is>
          <t>Yes</t>
        </is>
      </c>
      <c r="C314" s="5" t="inlineStr">
        <is>
          <t>1.0</t>
        </is>
      </c>
      <c r="D314" s="5" t="inlineStr">
        <is>
          <t>GCO</t>
        </is>
      </c>
      <c r="E314" s="5" t="inlineStr">
        <is>
          <t>42847922MDD3003</t>
        </is>
      </c>
      <c r="F314" s="16">
        <f>HYPERLINK("https://vtmf.veevavault.com/ui/#doc_info/31011855/1/0", "42847922MDD3003-CZE-S10-CZ10008-Relevant Communications-11 Sep 2025 (v1.0)")</f>
        <v/>
      </c>
      <c r="G314" s="5" t="inlineStr">
        <is>
          <t>Site Management</t>
        </is>
      </c>
      <c r="H314" s="5" t="inlineStr">
        <is>
          <t>General</t>
        </is>
      </c>
      <c r="I314" s="5" t="inlineStr">
        <is>
          <t>Relevant Communications</t>
        </is>
      </c>
      <c r="J314" s="5" t="inlineStr">
        <is>
          <t>IQVIA Eligibility Review_Approved_Subject_CZ100080004_PI Zdenek Solle_11Sep2025</t>
        </is>
      </c>
      <c r="K314" s="6" t="n">
        <v>160</v>
      </c>
      <c r="L314" s="7" t="n">
        <v>45911</v>
      </c>
      <c r="M314" s="11" t="n">
        <v>46071</v>
      </c>
      <c r="N314" s="5" t="inlineStr">
        <is>
          <t>Approved</t>
        </is>
      </c>
      <c r="O314" s="5" t="inlineStr">
        <is>
          <t>Site</t>
        </is>
      </c>
      <c r="P314" s="5" t="inlineStr">
        <is>
          <t>Czech Republic</t>
        </is>
      </c>
      <c r="Q314" s="13" t="inlineStr">
        <is>
          <t>S10-CZ10008</t>
        </is>
      </c>
      <c r="R314" s="5" t="inlineStr">
        <is>
          <t>Vera Matousková</t>
        </is>
      </c>
      <c r="S314" s="8" t="n">
        <v>46071.63049768518</v>
      </c>
    </row>
    <row r="315" hidden="1" ht="43.5" customHeight="1">
      <c r="A315" s="15">
        <f>HYPERLINK("https://vtmf.veevavault.com/ui/#doc_info/31012530/1/0", "VTMF-24999172")</f>
        <v/>
      </c>
      <c r="B315" s="20" t="inlineStr">
        <is>
          <t>Yes</t>
        </is>
      </c>
      <c r="C315" s="5" t="inlineStr">
        <is>
          <t>1.0</t>
        </is>
      </c>
      <c r="D315" s="5" t="inlineStr">
        <is>
          <t>GCO</t>
        </is>
      </c>
      <c r="E315" s="5" t="inlineStr">
        <is>
          <t>42847922MDD3003</t>
        </is>
      </c>
      <c r="F315" s="16">
        <f>HYPERLINK("https://vtmf.veevavault.com/ui/#doc_info/31012530/1/0", "42847922MDD3003-CZE-S10-CZ10011-Relevant Communications-15 Oct 2025 (v1.0)")</f>
        <v/>
      </c>
      <c r="G315" s="5" t="inlineStr">
        <is>
          <t>Site Management</t>
        </is>
      </c>
      <c r="H315" s="5" t="inlineStr">
        <is>
          <t>General</t>
        </is>
      </c>
      <c r="I315" s="5" t="inlineStr">
        <is>
          <t>Relevant Communications</t>
        </is>
      </c>
      <c r="J315" s="5" t="inlineStr">
        <is>
          <t>IQVIA Eligibility Review_Approved_Subject_CZ100110003_PI Marta Lendlova_15Oct2025</t>
        </is>
      </c>
      <c r="K315" s="6" t="n">
        <v>126</v>
      </c>
      <c r="L315" s="7" t="n">
        <v>45945</v>
      </c>
      <c r="M315" s="11" t="n">
        <v>46071</v>
      </c>
      <c r="N315" s="5" t="inlineStr">
        <is>
          <t>Approved</t>
        </is>
      </c>
      <c r="O315" s="5" t="inlineStr">
        <is>
          <t>Site</t>
        </is>
      </c>
      <c r="P315" s="5" t="inlineStr">
        <is>
          <t>Czech Republic</t>
        </is>
      </c>
      <c r="Q315" s="13" t="inlineStr">
        <is>
          <t>S10-CZ10011</t>
        </is>
      </c>
      <c r="R315" s="5" t="inlineStr">
        <is>
          <t>Vera Matousková</t>
        </is>
      </c>
      <c r="S315" s="8" t="n">
        <v>46071.66934027777</v>
      </c>
    </row>
    <row r="316" hidden="1" ht="29" customHeight="1">
      <c r="A316" s="15">
        <f>HYPERLINK("https://vtmf.veevavault.com/ui/#doc_info/31012553/1/0", "VTMF-24999202")</f>
        <v/>
      </c>
      <c r="B316" s="20" t="inlineStr">
        <is>
          <t>Yes</t>
        </is>
      </c>
      <c r="C316" s="5" t="inlineStr">
        <is>
          <t>1.0</t>
        </is>
      </c>
      <c r="D316" s="5" t="inlineStr">
        <is>
          <t>GCO</t>
        </is>
      </c>
      <c r="E316" s="5" t="inlineStr">
        <is>
          <t>42847922MDD3003</t>
        </is>
      </c>
      <c r="F316" s="16">
        <f>HYPERLINK("https://vtmf.veevavault.com/ui/#doc_info/31012553/1/0", "42847922MDD3003-CZE-S10-CZ10012-Relevant Communications-21 Oct 2025 (v1.0)")</f>
        <v/>
      </c>
      <c r="G316" s="5" t="inlineStr">
        <is>
          <t>Site Management</t>
        </is>
      </c>
      <c r="H316" s="5" t="inlineStr">
        <is>
          <t>General</t>
        </is>
      </c>
      <c r="I316" s="5" t="inlineStr">
        <is>
          <t>Relevant Communications</t>
        </is>
      </c>
      <c r="J316" s="5" t="inlineStr">
        <is>
          <t>IQVIA Eligibility Review_ Approved_Subject_CZ100120004_21Oct2025</t>
        </is>
      </c>
      <c r="K316" s="6" t="n">
        <v>120</v>
      </c>
      <c r="L316" s="7" t="n">
        <v>45951</v>
      </c>
      <c r="M316" s="11" t="n">
        <v>46071</v>
      </c>
      <c r="N316" s="5" t="inlineStr">
        <is>
          <t>Approved</t>
        </is>
      </c>
      <c r="O316" s="5" t="inlineStr">
        <is>
          <t>Site</t>
        </is>
      </c>
      <c r="P316" s="5" t="inlineStr">
        <is>
          <t>Czech Republic</t>
        </is>
      </c>
      <c r="Q316" s="13" t="inlineStr">
        <is>
          <t>S10-CZ10012</t>
        </is>
      </c>
      <c r="R316" s="5" t="inlineStr">
        <is>
          <t>Vera Matousková</t>
        </is>
      </c>
      <c r="S316" s="8" t="n">
        <v>46071.67194444445</v>
      </c>
    </row>
    <row r="317" hidden="1" ht="43.5" customHeight="1">
      <c r="A317" s="15">
        <f>HYPERLINK("https://vtmf.veevavault.com/ui/#doc_info/31012639/1/0", "VTMF-24999265")</f>
        <v/>
      </c>
      <c r="B317" s="20" t="inlineStr">
        <is>
          <t>Yes</t>
        </is>
      </c>
      <c r="C317" s="5" t="inlineStr">
        <is>
          <t>1.0</t>
        </is>
      </c>
      <c r="D317" s="5" t="inlineStr">
        <is>
          <t>GCO</t>
        </is>
      </c>
      <c r="E317" s="5" t="inlineStr">
        <is>
          <t>42847922MDD3003</t>
        </is>
      </c>
      <c r="F317" s="16">
        <f>HYPERLINK("https://vtmf.veevavault.com/ui/#doc_info/31012639/1/0", "42847922MDD3003-CZE-S10-CZ10008-Relevant Communications-07 Jan 2026 (v1.0)")</f>
        <v/>
      </c>
      <c r="G317" s="5" t="inlineStr">
        <is>
          <t>Site Management</t>
        </is>
      </c>
      <c r="H317" s="5" t="inlineStr">
        <is>
          <t>General</t>
        </is>
      </c>
      <c r="I317" s="5" t="inlineStr">
        <is>
          <t>Relevant Communications</t>
        </is>
      </c>
      <c r="J317" s="5" t="inlineStr">
        <is>
          <t>IQVIA Eligibility Review_Approval_Subject_CZ100080007_PI Zdenek Solle_07Jan2026</t>
        </is>
      </c>
      <c r="K317" s="6" t="n">
        <v>42</v>
      </c>
      <c r="L317" s="7" t="n">
        <v>46029</v>
      </c>
      <c r="M317" s="11" t="n">
        <v>46071</v>
      </c>
      <c r="N317" s="5" t="inlineStr">
        <is>
          <t>Approved</t>
        </is>
      </c>
      <c r="O317" s="5" t="inlineStr">
        <is>
          <t>Site</t>
        </is>
      </c>
      <c r="P317" s="5" t="inlineStr">
        <is>
          <t>Czech Republic</t>
        </is>
      </c>
      <c r="Q317" s="13" t="inlineStr">
        <is>
          <t>S10-CZ10008</t>
        </is>
      </c>
      <c r="R317" s="5" t="inlineStr">
        <is>
          <t>Vera Matousková</t>
        </is>
      </c>
      <c r="S317" s="8" t="n">
        <v>46071.67813657408</v>
      </c>
    </row>
    <row r="318" hidden="1" ht="29" customHeight="1">
      <c r="A318" s="15">
        <f>HYPERLINK("https://vtmf.veevavault.com/ui/#doc_info/31012772/1/0", "VTMF-24999395")</f>
        <v/>
      </c>
      <c r="B318" s="20" t="inlineStr">
        <is>
          <t>Yes</t>
        </is>
      </c>
      <c r="C318" s="5" t="inlineStr">
        <is>
          <t>1.0</t>
        </is>
      </c>
      <c r="D318" s="5" t="inlineStr">
        <is>
          <t>GCO</t>
        </is>
      </c>
      <c r="E318" s="5" t="inlineStr">
        <is>
          <t>42847922MDD3003</t>
        </is>
      </c>
      <c r="F318" s="16">
        <f>HYPERLINK("https://vtmf.veevavault.com/ui/#doc_info/31012772/1/0", "42847922MDD3003-CZE-S10-CZ10011-Relevant Communications-21 Nov 2025 (v1.0)")</f>
        <v/>
      </c>
      <c r="G318" s="5" t="inlineStr">
        <is>
          <t>Site Management</t>
        </is>
      </c>
      <c r="H318" s="5" t="inlineStr">
        <is>
          <t>General</t>
        </is>
      </c>
      <c r="I318" s="5" t="inlineStr">
        <is>
          <t>Relevant Communications</t>
        </is>
      </c>
      <c r="J318" s="5" t="inlineStr">
        <is>
          <t>IQVIA Eligibility Review_Approved_Subject_ CZ100110006 _PI Marta Lendlova_21Nov2025</t>
        </is>
      </c>
      <c r="K318" s="6" t="n">
        <v>89</v>
      </c>
      <c r="L318" s="7" t="n">
        <v>45982</v>
      </c>
      <c r="M318" s="11" t="n">
        <v>46071</v>
      </c>
      <c r="N318" s="5" t="inlineStr">
        <is>
          <t>Approved</t>
        </is>
      </c>
      <c r="O318" s="5" t="inlineStr">
        <is>
          <t>Site</t>
        </is>
      </c>
      <c r="P318" s="5" t="inlineStr">
        <is>
          <t>Czech Republic</t>
        </is>
      </c>
      <c r="Q318" s="13" t="inlineStr">
        <is>
          <t>S10-CZ10011</t>
        </is>
      </c>
      <c r="R318" s="5" t="inlineStr">
        <is>
          <t>Vera Matousková</t>
        </is>
      </c>
      <c r="S318" s="8" t="n">
        <v>46071.69</v>
      </c>
    </row>
    <row r="319" hidden="1" ht="29" customHeight="1">
      <c r="A319" s="15">
        <f>HYPERLINK("https://vtmf.veevavault.com/ui/#doc_info/31012977/1/0", "VTMF-24999521")</f>
        <v/>
      </c>
      <c r="B319" s="20" t="inlineStr">
        <is>
          <t>Yes</t>
        </is>
      </c>
      <c r="C319" s="5" t="inlineStr">
        <is>
          <t>1.0</t>
        </is>
      </c>
      <c r="D319" s="5" t="inlineStr">
        <is>
          <t>GCO</t>
        </is>
      </c>
      <c r="E319" s="5" t="inlineStr">
        <is>
          <t>42847922MDD3003</t>
        </is>
      </c>
      <c r="F319" s="16">
        <f>HYPERLINK("https://vtmf.veevavault.com/ui/#doc_info/31012977/1/0", "42847922MDD3003-CZE-S10-CZ10011-Relevant Communications-05 Dec 2025 (v1.0)")</f>
        <v/>
      </c>
      <c r="G319" s="5" t="inlineStr">
        <is>
          <t>Site Management</t>
        </is>
      </c>
      <c r="H319" s="5" t="inlineStr">
        <is>
          <t>General</t>
        </is>
      </c>
      <c r="I319" s="5" t="inlineStr">
        <is>
          <t>Relevant Communications</t>
        </is>
      </c>
      <c r="J319" s="5" t="inlineStr">
        <is>
          <t>IQVIA Eligibility Review_Approved_Subject CZ100110007_PI Marta Lendlova_05Dec2025</t>
        </is>
      </c>
      <c r="K319" s="6" t="n">
        <v>75</v>
      </c>
      <c r="L319" s="7" t="n">
        <v>45996</v>
      </c>
      <c r="M319" s="11" t="n">
        <v>46071</v>
      </c>
      <c r="N319" s="5" t="inlineStr">
        <is>
          <t>Approved</t>
        </is>
      </c>
      <c r="O319" s="5" t="inlineStr">
        <is>
          <t>Site</t>
        </is>
      </c>
      <c r="P319" s="5" t="inlineStr">
        <is>
          <t>Czech Republic</t>
        </is>
      </c>
      <c r="Q319" s="13" t="inlineStr">
        <is>
          <t>S10-CZ10011</t>
        </is>
      </c>
      <c r="R319" s="5" t="inlineStr">
        <is>
          <t>Vera Matousková</t>
        </is>
      </c>
      <c r="S319" s="8" t="n">
        <v>46071.69314814815</v>
      </c>
    </row>
    <row r="320" hidden="1" ht="29" customHeight="1">
      <c r="A320" s="15">
        <f>HYPERLINK("https://vtmf.veevavault.com/ui/#doc_info/31013305/1/0", "VTMF-24999767")</f>
        <v/>
      </c>
      <c r="B320" s="19" t="inlineStr">
        <is>
          <t>No</t>
        </is>
      </c>
      <c r="C320" s="5" t="inlineStr">
        <is>
          <t>1.0</t>
        </is>
      </c>
      <c r="D320" s="5" t="inlineStr">
        <is>
          <t>GCO</t>
        </is>
      </c>
      <c r="E320" s="5" t="inlineStr">
        <is>
          <t>42847922MDD3003</t>
        </is>
      </c>
      <c r="F320" s="16">
        <f>HYPERLINK("https://vtmf.veevavault.com/ui/#doc_info/31013305/1/0", "42847922MDD3003-CZE-S10-CZ10008-Other Curriculum Vitae-09 Jan 2026 (v1.0)")</f>
        <v/>
      </c>
      <c r="G320" s="5" t="inlineStr">
        <is>
          <t>Site Management</t>
        </is>
      </c>
      <c r="H320" s="5" t="inlineStr">
        <is>
          <t>Site Set-up Documentation</t>
        </is>
      </c>
      <c r="I320" s="5" t="inlineStr">
        <is>
          <t>Other Curriculum Vitae</t>
        </is>
      </c>
      <c r="J320" s="5" t="inlineStr">
        <is>
          <t>CV_EN_Pavelcova, L_SC_Initial_09Jan2026</t>
        </is>
      </c>
      <c r="K320" s="6" t="n">
        <v>40</v>
      </c>
      <c r="L320" s="7" t="n">
        <v>46031</v>
      </c>
      <c r="M320" s="11" t="n">
        <v>46071</v>
      </c>
      <c r="N320" s="5" t="inlineStr">
        <is>
          <t>Approved</t>
        </is>
      </c>
      <c r="O320" s="5" t="inlineStr">
        <is>
          <t>Site</t>
        </is>
      </c>
      <c r="P320" s="5" t="inlineStr">
        <is>
          <t>Czech Republic</t>
        </is>
      </c>
      <c r="Q320" s="13" t="inlineStr">
        <is>
          <t>S10-CZ10008</t>
        </is>
      </c>
      <c r="R320" s="5" t="inlineStr">
        <is>
          <t>Vera Matousková</t>
        </is>
      </c>
      <c r="S320" s="8" t="n">
        <v>46071.72481481481</v>
      </c>
    </row>
    <row r="321" hidden="1" ht="29" customHeight="1">
      <c r="A321" s="15">
        <f>HYPERLINK("https://vtmf.veevavault.com/ui/#doc_info/31014239/1/0", "VTMF-25000758")</f>
        <v/>
      </c>
      <c r="B321" s="19" t="inlineStr">
        <is>
          <t>No</t>
        </is>
      </c>
      <c r="C321" s="5" t="inlineStr">
        <is>
          <t>1.0</t>
        </is>
      </c>
      <c r="D321" s="5" t="inlineStr">
        <is>
          <t>GCO</t>
        </is>
      </c>
      <c r="E321" s="5" t="inlineStr">
        <is>
          <t>42847922MDD3003</t>
        </is>
      </c>
      <c r="F321" s="16">
        <f>HYPERLINK("https://vtmf.veevavault.com/ui/#doc_info/31014239/1/0", "42847922MDD3003-CZE-S10-CZ10011-Site Training Documentation-25 Dec 2025 (v1.0)")</f>
        <v/>
      </c>
      <c r="G321" s="5" t="inlineStr">
        <is>
          <t>Site Management</t>
        </is>
      </c>
      <c r="H321" s="5" t="inlineStr">
        <is>
          <t>Site Initiation</t>
        </is>
      </c>
      <c r="I321" s="5" t="inlineStr">
        <is>
          <t>Site Training Documentation</t>
        </is>
      </c>
      <c r="J321" s="5" t="inlineStr">
        <is>
          <t>M1_GCP Training Investigator Lendlova M_MEDIPA_CZ_eng_ 2023-509070-36_25DEC2025_NA</t>
        </is>
      </c>
      <c r="K321" s="6" t="n">
        <v>55</v>
      </c>
      <c r="L321" s="7" t="n">
        <v>46016</v>
      </c>
      <c r="M321" s="11" t="n">
        <v>46071</v>
      </c>
      <c r="N321" s="5" t="inlineStr">
        <is>
          <t>Approved</t>
        </is>
      </c>
      <c r="O321" s="5" t="inlineStr">
        <is>
          <t>Site</t>
        </is>
      </c>
      <c r="P321" s="5" t="inlineStr">
        <is>
          <t>Czech Republic</t>
        </is>
      </c>
      <c r="Q321" s="13" t="inlineStr">
        <is>
          <t>S10-CZ10011</t>
        </is>
      </c>
      <c r="R321" s="5" t="inlineStr">
        <is>
          <t>Vladimir Buzalka</t>
        </is>
      </c>
      <c r="S321" s="8" t="n">
        <v>46071.84605324074</v>
      </c>
    </row>
    <row r="322" hidden="1" ht="29" customHeight="1">
      <c r="A322" s="15">
        <f>HYPERLINK("https://vtmf.veevavault.com/ui/#doc_info/31014682/1/0", "VTMF-25001269")</f>
        <v/>
      </c>
      <c r="B322" s="20" t="inlineStr">
        <is>
          <t>Yes</t>
        </is>
      </c>
      <c r="C322" s="5" t="inlineStr">
        <is>
          <t>1.0</t>
        </is>
      </c>
      <c r="D322" s="5" t="inlineStr">
        <is>
          <t>GCO</t>
        </is>
      </c>
      <c r="E322" s="5" t="inlineStr">
        <is>
          <t>42847922MDD3003</t>
        </is>
      </c>
      <c r="F322" s="16">
        <f>HYPERLINK("https://vtmf.veevavault.com/ui/#doc_info/31014682/1/0", "42847922MDD3003-USA-S10-US10101-Financial Disclosure Form-07 Jan 2026 (v1.0)")</f>
        <v/>
      </c>
      <c r="G322" s="5" t="inlineStr">
        <is>
          <t>Site Management</t>
        </is>
      </c>
      <c r="H322" s="5" t="inlineStr">
        <is>
          <t>Site Set-up Documentation</t>
        </is>
      </c>
      <c r="I322" s="5" t="inlineStr">
        <is>
          <t>Financial Disclosure Form</t>
        </is>
      </c>
      <c r="J322" s="5" t="inlineStr">
        <is>
          <t>Sub- FDF_Washington, L_Initial</t>
        </is>
      </c>
      <c r="K322" s="6" t="n">
        <v>42</v>
      </c>
      <c r="L322" s="7" t="n">
        <v>46029</v>
      </c>
      <c r="M322" s="11" t="n">
        <v>46071</v>
      </c>
      <c r="N322" s="5" t="inlineStr">
        <is>
          <t>Approved</t>
        </is>
      </c>
      <c r="O322" s="5" t="inlineStr">
        <is>
          <t>Site</t>
        </is>
      </c>
      <c r="P322" s="5" t="inlineStr">
        <is>
          <t>United States</t>
        </is>
      </c>
      <c r="Q322" s="13" t="inlineStr">
        <is>
          <t>S10-US10101</t>
        </is>
      </c>
      <c r="R322" s="5" t="inlineStr">
        <is>
          <t>Daniel Woodland</t>
        </is>
      </c>
      <c r="S322" s="8" t="n">
        <v>46071.91922453704</v>
      </c>
    </row>
    <row r="323" hidden="1" ht="29" customHeight="1">
      <c r="A323" s="15">
        <f>HYPERLINK("https://vtmf.veevavault.com/ui/#doc_info/31014836/1/0", "VTMF-25001353")</f>
        <v/>
      </c>
      <c r="B323" s="20" t="inlineStr">
        <is>
          <t>Yes</t>
        </is>
      </c>
      <c r="C323" s="5" t="inlineStr">
        <is>
          <t>1.0</t>
        </is>
      </c>
      <c r="D323" s="5" t="inlineStr">
        <is>
          <t>GCO</t>
        </is>
      </c>
      <c r="E323" s="5" t="inlineStr">
        <is>
          <t>42847922MDD3003</t>
        </is>
      </c>
      <c r="F323" s="16">
        <f>HYPERLINK("https://vtmf.veevavault.com/ui/#doc_info/31014836/1/0", "42847922MDD3003-USA-S10-US10101-Financial Disclosure Form-30 Jun 2025 (v1.0)")</f>
        <v/>
      </c>
      <c r="G323" s="5" t="inlineStr">
        <is>
          <t>Site Management</t>
        </is>
      </c>
      <c r="H323" s="5" t="inlineStr">
        <is>
          <t>Site Set-up Documentation</t>
        </is>
      </c>
      <c r="I323" s="5" t="inlineStr">
        <is>
          <t>Financial Disclosure Form</t>
        </is>
      </c>
      <c r="J323" s="5" t="inlineStr">
        <is>
          <t>Sub-I FDF_Jennings, A_Initial</t>
        </is>
      </c>
      <c r="K323" s="6" t="n">
        <v>233</v>
      </c>
      <c r="L323" s="7" t="n">
        <v>45838</v>
      </c>
      <c r="M323" s="11" t="n">
        <v>46071</v>
      </c>
      <c r="N323" s="5" t="inlineStr">
        <is>
          <t>Approved</t>
        </is>
      </c>
      <c r="O323" s="5" t="inlineStr">
        <is>
          <t>Site</t>
        </is>
      </c>
      <c r="P323" s="5" t="inlineStr">
        <is>
          <t>United States</t>
        </is>
      </c>
      <c r="Q323" s="13" t="inlineStr">
        <is>
          <t>S10-US10101</t>
        </is>
      </c>
      <c r="R323" s="5" t="inlineStr">
        <is>
          <t>Daniel Woodland</t>
        </is>
      </c>
      <c r="S323" s="8" t="n">
        <v>46071.93546296296</v>
      </c>
    </row>
    <row r="324" hidden="1" ht="29" customHeight="1">
      <c r="A324" s="15">
        <f>HYPERLINK("https://vtmf.veevavault.com/ui/#doc_info/31015004/1/0", "VTMF-25001423")</f>
        <v/>
      </c>
      <c r="B324" s="20" t="inlineStr">
        <is>
          <t>Yes</t>
        </is>
      </c>
      <c r="C324" s="5" t="inlineStr">
        <is>
          <t>1.0</t>
        </is>
      </c>
      <c r="D324" s="5" t="inlineStr">
        <is>
          <t>GCO</t>
        </is>
      </c>
      <c r="E324" s="5" t="inlineStr">
        <is>
          <t>42847922MDD3003</t>
        </is>
      </c>
      <c r="F324" s="16">
        <f>HYPERLINK("https://vtmf.veevavault.com/ui/#doc_info/31015004/1/0", "42847922MDD3003-USA-S10-US10101-Financial Disclosure Form-01 Jul 2025 (v1.0)")</f>
        <v/>
      </c>
      <c r="G324" s="5" t="inlineStr">
        <is>
          <t>Site Management</t>
        </is>
      </c>
      <c r="H324" s="5" t="inlineStr">
        <is>
          <t>Site Set-up Documentation</t>
        </is>
      </c>
      <c r="I324" s="5" t="inlineStr">
        <is>
          <t>Financial Disclosure Form</t>
        </is>
      </c>
      <c r="J324" s="5" t="inlineStr">
        <is>
          <t>Sub-I FDF_Thomas, R_Initial</t>
        </is>
      </c>
      <c r="K324" s="6" t="n">
        <v>232</v>
      </c>
      <c r="L324" s="7" t="n">
        <v>45839</v>
      </c>
      <c r="M324" s="11" t="n">
        <v>46071</v>
      </c>
      <c r="N324" s="5" t="inlineStr">
        <is>
          <t>Approved</t>
        </is>
      </c>
      <c r="O324" s="5" t="inlineStr">
        <is>
          <t>Site</t>
        </is>
      </c>
      <c r="P324" s="5" t="inlineStr">
        <is>
          <t>United States</t>
        </is>
      </c>
      <c r="Q324" s="13" t="inlineStr">
        <is>
          <t>S10-US10101</t>
        </is>
      </c>
      <c r="R324" s="5" t="inlineStr">
        <is>
          <t>Daniel Woodland</t>
        </is>
      </c>
      <c r="S324" s="8" t="n">
        <v>46071.94581018519</v>
      </c>
    </row>
    <row r="325" hidden="1" ht="29" customHeight="1">
      <c r="A325" s="15">
        <f>HYPERLINK("https://vtmf.veevavault.com/ui/#doc_info/31014939/1/0", "VTMF-25001509")</f>
        <v/>
      </c>
      <c r="B325" s="19" t="inlineStr">
        <is>
          <t>No</t>
        </is>
      </c>
      <c r="C325" s="5" t="inlineStr">
        <is>
          <t>1.0</t>
        </is>
      </c>
      <c r="D325" s="5" t="inlineStr">
        <is>
          <t>GCO</t>
        </is>
      </c>
      <c r="E325" s="5" t="inlineStr">
        <is>
          <t>42847922MDD3003</t>
        </is>
      </c>
      <c r="F325" s="16">
        <f>HYPERLINK("https://vtmf.veevavault.com/ui/#doc_info/31014939/1/0", "42847922MDD3003-USA-S10-US10101-Sub-Investigator Curriculum Vitae-05 Jan 2026 (v1.0)")</f>
        <v/>
      </c>
      <c r="G325" s="5" t="inlineStr">
        <is>
          <t>Site Management</t>
        </is>
      </c>
      <c r="H325" s="5" t="inlineStr">
        <is>
          <t>Site Set-up Documentation</t>
        </is>
      </c>
      <c r="I325" s="5" t="inlineStr">
        <is>
          <t>Sub-Investigator Curriculum Vitae</t>
        </is>
      </c>
      <c r="J325" s="5" t="inlineStr">
        <is>
          <t>Sub-I CV_ENG_Washington, L_Initial</t>
        </is>
      </c>
      <c r="K325" s="6" t="n">
        <v>44</v>
      </c>
      <c r="L325" s="7" t="n">
        <v>46027</v>
      </c>
      <c r="M325" s="11" t="n">
        <v>46071</v>
      </c>
      <c r="N325" s="5" t="inlineStr">
        <is>
          <t>Approved</t>
        </is>
      </c>
      <c r="O325" s="5" t="inlineStr">
        <is>
          <t>Site</t>
        </is>
      </c>
      <c r="P325" s="5" t="inlineStr">
        <is>
          <t>United States</t>
        </is>
      </c>
      <c r="Q325" s="13" t="inlineStr">
        <is>
          <t>S10-US10101</t>
        </is>
      </c>
      <c r="R325" s="5" t="inlineStr">
        <is>
          <t>Daniel Woodland</t>
        </is>
      </c>
      <c r="S325" s="8" t="n">
        <v>46071.96212962963</v>
      </c>
    </row>
    <row r="326" hidden="1" ht="29" customHeight="1">
      <c r="A326" s="15">
        <f>HYPERLINK("https://vtmf.veevavault.com/ui/#doc_info/31018748/1/0", "VTMF-25004421")</f>
        <v/>
      </c>
      <c r="B326" s="20" t="inlineStr">
        <is>
          <t>Yes</t>
        </is>
      </c>
      <c r="C326" s="5" t="inlineStr">
        <is>
          <t>1.0</t>
        </is>
      </c>
      <c r="D326" s="5" t="inlineStr">
        <is>
          <t>GCO</t>
        </is>
      </c>
      <c r="E326" s="5" t="inlineStr">
        <is>
          <t>42847922MDD3003</t>
        </is>
      </c>
      <c r="F326" s="16">
        <f>HYPERLINK("https://vtmf.veevavault.com/ui/#doc_info/31018748/1/0", "42847922MDD3003-PRT-S10-PT10001-Relevant Communications-13 Nov 2025 (v1.0)")</f>
        <v/>
      </c>
      <c r="G326" s="5" t="inlineStr">
        <is>
          <t>Site Management</t>
        </is>
      </c>
      <c r="H326" s="5" t="inlineStr">
        <is>
          <t>General</t>
        </is>
      </c>
      <c r="I326" s="5" t="inlineStr">
        <is>
          <t>Relevant Communications</t>
        </is>
      </c>
      <c r="J326" s="5" t="inlineStr">
        <is>
          <t>Email_Acknowledgment of Receipt of Participant Expense Card v1.0 Portuguese Version</t>
        </is>
      </c>
      <c r="K326" s="6" t="n">
        <v>98</v>
      </c>
      <c r="L326" s="7" t="n">
        <v>45974</v>
      </c>
      <c r="M326" s="11" t="n">
        <v>46072</v>
      </c>
      <c r="N326" s="5" t="inlineStr">
        <is>
          <t>Approved</t>
        </is>
      </c>
      <c r="O326" s="5" t="inlineStr">
        <is>
          <t>Site</t>
        </is>
      </c>
      <c r="P326" s="5" t="inlineStr">
        <is>
          <t>Portugal</t>
        </is>
      </c>
      <c r="Q326" s="13" t="inlineStr">
        <is>
          <t>S10-PT10001</t>
        </is>
      </c>
      <c r="R326" s="5" t="inlineStr">
        <is>
          <t>Ruben Ayora</t>
        </is>
      </c>
      <c r="S326" s="8" t="n">
        <v>46072.42984953704</v>
      </c>
    </row>
    <row r="327" hidden="1" ht="29" customHeight="1">
      <c r="A327" s="15">
        <f>HYPERLINK("https://vtmf.veevavault.com/ui/#doc_info/31018802/1/0", "VTMF-25004480")</f>
        <v/>
      </c>
      <c r="B327" s="20" t="inlineStr">
        <is>
          <t>Yes</t>
        </is>
      </c>
      <c r="C327" s="5" t="inlineStr">
        <is>
          <t>1.0</t>
        </is>
      </c>
      <c r="D327" s="5" t="inlineStr">
        <is>
          <t>GCO</t>
        </is>
      </c>
      <c r="E327" s="5" t="inlineStr">
        <is>
          <t>42847922MDD3003</t>
        </is>
      </c>
      <c r="F327" s="16">
        <f>HYPERLINK("https://vtmf.veevavault.com/ui/#doc_info/31018802/1/0", "42847922MDD3003-PRT-S10-PT10002-Relevant Communications-13 Nov 2025 (v1.0)")</f>
        <v/>
      </c>
      <c r="G327" s="5" t="inlineStr">
        <is>
          <t>Site Management</t>
        </is>
      </c>
      <c r="H327" s="5" t="inlineStr">
        <is>
          <t>General</t>
        </is>
      </c>
      <c r="I327" s="5" t="inlineStr">
        <is>
          <t>Relevant Communications</t>
        </is>
      </c>
      <c r="J327" s="5" t="inlineStr">
        <is>
          <t>Email_Acknowledgment of Receipt of Participant Expense Card v1.0 Portuguese Version</t>
        </is>
      </c>
      <c r="K327" s="6" t="n">
        <v>98</v>
      </c>
      <c r="L327" s="7" t="n">
        <v>45974</v>
      </c>
      <c r="M327" s="11" t="n">
        <v>46072</v>
      </c>
      <c r="N327" s="5" t="inlineStr">
        <is>
          <t>Approved</t>
        </is>
      </c>
      <c r="O327" s="5" t="inlineStr">
        <is>
          <t>Site</t>
        </is>
      </c>
      <c r="P327" s="5" t="inlineStr">
        <is>
          <t>Portugal</t>
        </is>
      </c>
      <c r="Q327" s="13" t="inlineStr">
        <is>
          <t>S10-PT10002</t>
        </is>
      </c>
      <c r="R327" s="5" t="inlineStr">
        <is>
          <t>Ruben Ayora</t>
        </is>
      </c>
      <c r="S327" s="8" t="n">
        <v>46072.43640046296</v>
      </c>
    </row>
    <row r="328" hidden="1" ht="29" customHeight="1">
      <c r="A328" s="15">
        <f>HYPERLINK("https://vtmf.veevavault.com/ui/#doc_info/31018951/1/0", "VTMF-25004616")</f>
        <v/>
      </c>
      <c r="B328" s="20" t="inlineStr">
        <is>
          <t>Yes</t>
        </is>
      </c>
      <c r="C328" s="5" t="inlineStr">
        <is>
          <t>1.0</t>
        </is>
      </c>
      <c r="D328" s="5" t="inlineStr">
        <is>
          <t>GCO</t>
        </is>
      </c>
      <c r="E328" s="5" t="inlineStr">
        <is>
          <t>42847922MDD3003</t>
        </is>
      </c>
      <c r="F328" s="16">
        <f>HYPERLINK("https://vtmf.veevavault.com/ui/#doc_info/31018951/1/0", "42847922MDD3003-PRT-S10-PT10013-Relevant Communications-24 Nov 2025 (v1.0)")</f>
        <v/>
      </c>
      <c r="G328" s="5" t="inlineStr">
        <is>
          <t>Site Management</t>
        </is>
      </c>
      <c r="H328" s="5" t="inlineStr">
        <is>
          <t>General</t>
        </is>
      </c>
      <c r="I328" s="5" t="inlineStr">
        <is>
          <t>Relevant Communications</t>
        </is>
      </c>
      <c r="J328" s="5" t="inlineStr">
        <is>
          <t>Email_Re-screening Open</t>
        </is>
      </c>
      <c r="K328" s="6" t="n">
        <v>87</v>
      </c>
      <c r="L328" s="7" t="n">
        <v>45985</v>
      </c>
      <c r="M328" s="11" t="n">
        <v>46072</v>
      </c>
      <c r="N328" s="5" t="inlineStr">
        <is>
          <t>Approved</t>
        </is>
      </c>
      <c r="O328" s="5" t="inlineStr">
        <is>
          <t>Site</t>
        </is>
      </c>
      <c r="P328" s="5" t="inlineStr">
        <is>
          <t>Portugal</t>
        </is>
      </c>
      <c r="Q328" s="13" t="inlineStr">
        <is>
          <t>S10-PT10013</t>
        </is>
      </c>
      <c r="R328" s="5" t="inlineStr">
        <is>
          <t>Ruben Ayora</t>
        </is>
      </c>
      <c r="S328" s="8" t="n">
        <v>46072.45046296297</v>
      </c>
    </row>
    <row r="329" hidden="1" ht="29" customHeight="1">
      <c r="A329" s="15">
        <f>HYPERLINK("https://vtmf.veevavault.com/ui/#doc_info/31018952/1/0", "VTMF-25004617")</f>
        <v/>
      </c>
      <c r="B329" s="20" t="inlineStr">
        <is>
          <t>Yes</t>
        </is>
      </c>
      <c r="C329" s="5" t="inlineStr">
        <is>
          <t>1.0</t>
        </is>
      </c>
      <c r="D329" s="5" t="inlineStr">
        <is>
          <t>GCO</t>
        </is>
      </c>
      <c r="E329" s="5" t="inlineStr">
        <is>
          <t>42847922MDD3003</t>
        </is>
      </c>
      <c r="F329" s="16">
        <f>HYPERLINK("https://vtmf.veevavault.com/ui/#doc_info/31018952/1/0", "42847922MDD3003-PRT-S10-PT10013-Relevant Communications-13 Nov 2025 (v1.0)")</f>
        <v/>
      </c>
      <c r="G329" s="5" t="inlineStr">
        <is>
          <t>Site Management</t>
        </is>
      </c>
      <c r="H329" s="5" t="inlineStr">
        <is>
          <t>General</t>
        </is>
      </c>
      <c r="I329" s="5" t="inlineStr">
        <is>
          <t>Relevant Communications</t>
        </is>
      </c>
      <c r="J329" s="5" t="inlineStr">
        <is>
          <t>Email_Acknowledgment of Receipt of Participant Expense Card v1.0 Portuguese Version</t>
        </is>
      </c>
      <c r="K329" s="6" t="n">
        <v>98</v>
      </c>
      <c r="L329" s="7" t="n">
        <v>45974</v>
      </c>
      <c r="M329" s="11" t="n">
        <v>46072</v>
      </c>
      <c r="N329" s="5" t="inlineStr">
        <is>
          <t>Approved</t>
        </is>
      </c>
      <c r="O329" s="5" t="inlineStr">
        <is>
          <t>Site</t>
        </is>
      </c>
      <c r="P329" s="5" t="inlineStr">
        <is>
          <t>Portugal</t>
        </is>
      </c>
      <c r="Q329" s="13" t="inlineStr">
        <is>
          <t>S10-PT10013</t>
        </is>
      </c>
      <c r="R329" s="5" t="inlineStr">
        <is>
          <t>Ruben Ayora</t>
        </is>
      </c>
      <c r="S329" s="8" t="n">
        <v>46072.45046296297</v>
      </c>
    </row>
    <row r="330" hidden="1" ht="29" customHeight="1">
      <c r="A330" s="15">
        <f>HYPERLINK("https://vtmf.veevavault.com/ui/#doc_info/31020333/2/0", "VTMF-25005653")</f>
        <v/>
      </c>
      <c r="B330" s="20" t="inlineStr">
        <is>
          <t>Yes</t>
        </is>
      </c>
      <c r="C330" s="5" t="inlineStr">
        <is>
          <t>2.0</t>
        </is>
      </c>
      <c r="D330" s="5" t="inlineStr">
        <is>
          <t>GCO</t>
        </is>
      </c>
      <c r="E330" s="5" t="inlineStr">
        <is>
          <t>42847922MDD3003</t>
        </is>
      </c>
      <c r="F330" s="16">
        <f>HYPERLINK("https://vtmf.veevavault.com/ui/#doc_info/31020333/2/0", "42847922MDD3003-ARG-S10-AR10012-Investigator Regulatory Agreement-13 Feb 2026 (v2.0)")</f>
        <v/>
      </c>
      <c r="G330" s="5" t="inlineStr">
        <is>
          <t>Site Management</t>
        </is>
      </c>
      <c r="H330" s="5" t="inlineStr">
        <is>
          <t>Site Set-up Documentation</t>
        </is>
      </c>
      <c r="I330" s="5" t="inlineStr">
        <is>
          <t>Investigator Regulatory Agreement</t>
        </is>
      </c>
      <c r="J330" s="5" t="inlineStr">
        <is>
          <t>ANMAT Sworn Declaration_DI 7516- 2025_Dra. Lupo</t>
        </is>
      </c>
      <c r="K330" s="6" t="n">
        <v>62</v>
      </c>
      <c r="L330" s="7" t="n">
        <v>46066</v>
      </c>
      <c r="M330" s="11" t="n">
        <v>46128</v>
      </c>
      <c r="N330" s="5" t="inlineStr">
        <is>
          <t>Approved</t>
        </is>
      </c>
      <c r="O330" s="5" t="inlineStr">
        <is>
          <t>Site</t>
        </is>
      </c>
      <c r="P330" s="5" t="inlineStr">
        <is>
          <t>Argentina</t>
        </is>
      </c>
      <c r="Q330" s="13" t="inlineStr">
        <is>
          <t>S10-AR10012</t>
        </is>
      </c>
      <c r="R330" s="5" t="inlineStr">
        <is>
          <t>Cintia Rodriguez</t>
        </is>
      </c>
      <c r="S330" s="8" t="n">
        <v>46128.66561342592</v>
      </c>
    </row>
    <row r="331" hidden="1" ht="29" customHeight="1">
      <c r="A331" s="15">
        <f>HYPERLINK("https://vtmf.veevavault.com/ui/#doc_info/31020393/1/0", "VTMF-25005764")</f>
        <v/>
      </c>
      <c r="B331" s="20" t="inlineStr">
        <is>
          <t>Yes</t>
        </is>
      </c>
      <c r="C331" s="5" t="inlineStr">
        <is>
          <t>1.0</t>
        </is>
      </c>
      <c r="D331" s="5" t="inlineStr">
        <is>
          <t>GCO</t>
        </is>
      </c>
      <c r="E331" s="5" t="inlineStr">
        <is>
          <t>42847922MDD3003</t>
        </is>
      </c>
      <c r="F331" s="16">
        <f>HYPERLINK("https://vtmf.veevavault.com/ui/#doc_info/31020393/1/0", "42847922MDD3003-USA-S10-US10101-Form FDA1572-07 Jan 2026 (v1.0)")</f>
        <v/>
      </c>
      <c r="G331" s="5" t="inlineStr">
        <is>
          <t>Site Management</t>
        </is>
      </c>
      <c r="H331" s="5" t="inlineStr">
        <is>
          <t>Site Set-up Documentation</t>
        </is>
      </c>
      <c r="I331" s="5" t="inlineStr">
        <is>
          <t>Form FDA1572</t>
        </is>
      </c>
      <c r="J331" s="5" t="inlineStr">
        <is>
          <t>1572_Revised</t>
        </is>
      </c>
      <c r="K331" s="6" t="n">
        <v>43</v>
      </c>
      <c r="L331" s="7" t="n">
        <v>46029</v>
      </c>
      <c r="M331" s="11" t="n">
        <v>46072</v>
      </c>
      <c r="N331" s="5" t="inlineStr">
        <is>
          <t>Approved</t>
        </is>
      </c>
      <c r="O331" s="5" t="inlineStr">
        <is>
          <t>Site</t>
        </is>
      </c>
      <c r="P331" s="5" t="inlineStr">
        <is>
          <t>United States</t>
        </is>
      </c>
      <c r="Q331" s="13" t="inlineStr">
        <is>
          <t>S10-US10101</t>
        </is>
      </c>
      <c r="R331" s="5" t="inlineStr">
        <is>
          <t>Daniel Woodland</t>
        </is>
      </c>
      <c r="S331" s="8" t="n">
        <v>46072.59515046296</v>
      </c>
    </row>
    <row r="332" hidden="1" ht="43.5" customHeight="1">
      <c r="A332" s="15">
        <f>HYPERLINK("https://vtmf.veevavault.com/ui/#doc_info/31020564/1/0", "VTMF-25005945")</f>
        <v/>
      </c>
      <c r="B332" s="20" t="inlineStr">
        <is>
          <t>Yes</t>
        </is>
      </c>
      <c r="C332" s="5" t="inlineStr">
        <is>
          <t>1.0</t>
        </is>
      </c>
      <c r="D332" s="5" t="inlineStr">
        <is>
          <t>GCO</t>
        </is>
      </c>
      <c r="E332" s="5" t="inlineStr">
        <is>
          <t>42847922MDD3003</t>
        </is>
      </c>
      <c r="F332" s="16">
        <f>HYPERLINK("https://vtmf.veevavault.com/ui/#doc_info/31020564/1/0", "42847922MDD3003-USA-S10-US10228-Relevant Communications-25 Mar 2025 (v1.0)")</f>
        <v/>
      </c>
      <c r="G332" s="5" t="inlineStr">
        <is>
          <t>Site Management</t>
        </is>
      </c>
      <c r="H332" s="5" t="inlineStr">
        <is>
          <t>General</t>
        </is>
      </c>
      <c r="I332" s="5" t="inlineStr">
        <is>
          <t>Relevant Communications</t>
        </is>
      </c>
      <c r="J332" s="5" t="inlineStr">
        <is>
          <t>MDD3003_PI: Dr. Robert Wooten M.D._Site: US10228(United States)_Subject ID: US102280016_Visit: Retest_Alert: TSH, FreeT4</t>
        </is>
      </c>
      <c r="K332" s="6" t="n">
        <v>331</v>
      </c>
      <c r="L332" s="7" t="n">
        <v>45741</v>
      </c>
      <c r="M332" s="11" t="n">
        <v>46072</v>
      </c>
      <c r="N332" s="5" t="inlineStr">
        <is>
          <t>Approved</t>
        </is>
      </c>
      <c r="O332" s="5" t="inlineStr">
        <is>
          <t>Site</t>
        </is>
      </c>
      <c r="P332" s="5" t="inlineStr">
        <is>
          <t>United States</t>
        </is>
      </c>
      <c r="Q332" s="13" t="inlineStr">
        <is>
          <t>S10-US10228</t>
        </is>
      </c>
      <c r="R332" s="5" t="inlineStr">
        <is>
          <t>Gabriela Dluska</t>
        </is>
      </c>
      <c r="S332" s="8" t="n">
        <v>46072.61591435185</v>
      </c>
    </row>
    <row r="333" hidden="1" ht="43.5" customHeight="1">
      <c r="A333" s="15">
        <f>HYPERLINK("https://vtmf.veevavault.com/ui/#doc_info/31020565/1/0", "VTMF-25005946")</f>
        <v/>
      </c>
      <c r="B333" s="20" t="inlineStr">
        <is>
          <t>Yes</t>
        </is>
      </c>
      <c r="C333" s="5" t="inlineStr">
        <is>
          <t>1.0</t>
        </is>
      </c>
      <c r="D333" s="5" t="inlineStr">
        <is>
          <t>GCO</t>
        </is>
      </c>
      <c r="E333" s="5" t="inlineStr">
        <is>
          <t>42847922MDD3003</t>
        </is>
      </c>
      <c r="F333" s="16">
        <f>HYPERLINK("https://vtmf.veevavault.com/ui/#doc_info/31020565/1/0", "42847922MDD3003-USA-S10-US10228-Relevant Communications-25 Apr 2025 (v1.0)")</f>
        <v/>
      </c>
      <c r="G333" s="5" t="inlineStr">
        <is>
          <t>Site Management</t>
        </is>
      </c>
      <c r="H333" s="5" t="inlineStr">
        <is>
          <t>General</t>
        </is>
      </c>
      <c r="I333" s="5" t="inlineStr">
        <is>
          <t>Relevant Communications</t>
        </is>
      </c>
      <c r="J333" s="5" t="inlineStr">
        <is>
          <t>MDD3003_PI: Dr. Robert Wooten M.D._Site: US10228
(United States)_Subject ID: US102280019_Visit: Part 1 Screening_Alert: TSH</t>
        </is>
      </c>
      <c r="K333" s="6" t="n">
        <v>300</v>
      </c>
      <c r="L333" s="7" t="n">
        <v>45772</v>
      </c>
      <c r="M333" s="11" t="n">
        <v>46072</v>
      </c>
      <c r="N333" s="5" t="inlineStr">
        <is>
          <t>Approved</t>
        </is>
      </c>
      <c r="O333" s="5" t="inlineStr">
        <is>
          <t>Site</t>
        </is>
      </c>
      <c r="P333" s="5" t="inlineStr">
        <is>
          <t>United States</t>
        </is>
      </c>
      <c r="Q333" s="13" t="inlineStr">
        <is>
          <t>S10-US10228</t>
        </is>
      </c>
      <c r="R333" s="5" t="inlineStr">
        <is>
          <t>Gabriela Dluska</t>
        </is>
      </c>
      <c r="S333" s="8" t="n">
        <v>46072.61591435185</v>
      </c>
    </row>
    <row r="334" hidden="1" ht="58" customHeight="1">
      <c r="A334" s="15">
        <f>HYPERLINK("https://vtmf.veevavault.com/ui/#doc_info/31020566/1/0", "VTMF-25005947")</f>
        <v/>
      </c>
      <c r="B334" s="20" t="inlineStr">
        <is>
          <t>Yes</t>
        </is>
      </c>
      <c r="C334" s="5" t="inlineStr">
        <is>
          <t>1.0</t>
        </is>
      </c>
      <c r="D334" s="5" t="inlineStr">
        <is>
          <t>GCO</t>
        </is>
      </c>
      <c r="E334" s="5" t="inlineStr">
        <is>
          <t>42847922MDD3003</t>
        </is>
      </c>
      <c r="F334" s="16">
        <f>HYPERLINK("https://vtmf.veevavault.com/ui/#doc_info/31020566/1/0", "42847922MDD3003-ARG-S10-AR10015-Relevant Communications-22 Apr 2025 (v1.0)")</f>
        <v/>
      </c>
      <c r="G334" s="5" t="inlineStr">
        <is>
          <t>Site Management</t>
        </is>
      </c>
      <c r="H334" s="5" t="inlineStr">
        <is>
          <t>General</t>
        </is>
      </c>
      <c r="I334" s="5" t="inlineStr">
        <is>
          <t>Relevant Communications</t>
        </is>
      </c>
      <c r="J334" s="5" t="inlineStr">
        <is>
          <t>MDD3003_PI: Dr. Gaston Noriega M.D._Site:S10- 
AR10015(Argentina)_Subject ID: AR100150007/F _Visit: Part 1 Screening _Alert: Serum Bicarbonate, 
BenzodiazepineConf-LCMSMS-LDT,</t>
        </is>
      </c>
      <c r="K334" s="6" t="n">
        <v>303</v>
      </c>
      <c r="L334" s="7" t="n">
        <v>45769</v>
      </c>
      <c r="M334" s="11" t="n">
        <v>46072</v>
      </c>
      <c r="N334" s="5" t="inlineStr">
        <is>
          <t>Approved</t>
        </is>
      </c>
      <c r="O334" s="5" t="inlineStr">
        <is>
          <t>Site</t>
        </is>
      </c>
      <c r="P334" s="5" t="inlineStr">
        <is>
          <t>Argentina</t>
        </is>
      </c>
      <c r="Q334" s="13" t="inlineStr">
        <is>
          <t>S10-AR10015</t>
        </is>
      </c>
      <c r="R334" s="5" t="inlineStr">
        <is>
          <t>Gabriela Dluska</t>
        </is>
      </c>
      <c r="S334" s="8" t="n">
        <v>46072.61591435185</v>
      </c>
    </row>
    <row r="335" hidden="1" ht="72.5" customHeight="1">
      <c r="A335" s="15">
        <f>HYPERLINK("https://vtmf.veevavault.com/ui/#doc_info/31020567/1/0", "VTMF-25005948")</f>
        <v/>
      </c>
      <c r="B335" s="20" t="inlineStr">
        <is>
          <t>Yes</t>
        </is>
      </c>
      <c r="C335" s="5" t="inlineStr">
        <is>
          <t>1.0</t>
        </is>
      </c>
      <c r="D335" s="5" t="inlineStr">
        <is>
          <t>GCO</t>
        </is>
      </c>
      <c r="E335" s="5" t="inlineStr">
        <is>
          <t>42847922MDD3003</t>
        </is>
      </c>
      <c r="F335" s="16">
        <f>HYPERLINK("https://vtmf.veevavault.com/ui/#doc_info/31020567/1/0", "42847922MDD3003-USA-S10-US10036-Relevant Communications-22 Apr 2025 (v1.0)")</f>
        <v/>
      </c>
      <c r="G335" s="5" t="inlineStr">
        <is>
          <t>Site Management</t>
        </is>
      </c>
      <c r="H335" s="5" t="inlineStr">
        <is>
          <t>General</t>
        </is>
      </c>
      <c r="I335" s="5" t="inlineStr">
        <is>
          <t>Relevant Communications</t>
        </is>
      </c>
      <c r="J335" s="5" t="inlineStr">
        <is>
          <t>MDD3003_PI: Dr. Patricia Bravo M.D._Site: 
US10036(United States)_Subject ID: US100360011/F_Visit:Part 1 Screening / _Alert: Glucose fasting, 
HbA1c, Triglycerides (GPO) , Ur Glucose</t>
        </is>
      </c>
      <c r="K335" s="6" t="n">
        <v>303</v>
      </c>
      <c r="L335" s="7" t="n">
        <v>45769</v>
      </c>
      <c r="M335" s="11" t="n">
        <v>46072</v>
      </c>
      <c r="N335" s="5" t="inlineStr">
        <is>
          <t>Approved</t>
        </is>
      </c>
      <c r="O335" s="5" t="inlineStr">
        <is>
          <t>Site</t>
        </is>
      </c>
      <c r="P335" s="5" t="inlineStr">
        <is>
          <t>United States</t>
        </is>
      </c>
      <c r="Q335" s="13" t="inlineStr">
        <is>
          <t>S10-US10036</t>
        </is>
      </c>
      <c r="R335" s="5" t="inlineStr">
        <is>
          <t>Gabriela Dluska</t>
        </is>
      </c>
      <c r="S335" s="8" t="n">
        <v>46072.61591435185</v>
      </c>
    </row>
    <row r="336" hidden="1" ht="72.5" customHeight="1">
      <c r="A336" s="15">
        <f>HYPERLINK("https://vtmf.veevavault.com/ui/#doc_info/31020568/1/0", "VTMF-25005949")</f>
        <v/>
      </c>
      <c r="B336" s="20" t="inlineStr">
        <is>
          <t>Yes</t>
        </is>
      </c>
      <c r="C336" s="5" t="inlineStr">
        <is>
          <t>1.0</t>
        </is>
      </c>
      <c r="D336" s="5" t="inlineStr">
        <is>
          <t>GCO</t>
        </is>
      </c>
      <c r="E336" s="5" t="inlineStr">
        <is>
          <t>42847922MDD3003</t>
        </is>
      </c>
      <c r="F336" s="16">
        <f>HYPERLINK("https://vtmf.veevavault.com/ui/#doc_info/31020568/1/0", "42847922MDD3003-USA-S10-US10228-Relevant Communications-14 Mar 2025 (v1.0)")</f>
        <v/>
      </c>
      <c r="G336" s="5" t="inlineStr">
        <is>
          <t>Site Management</t>
        </is>
      </c>
      <c r="H336" s="5" t="inlineStr">
        <is>
          <t>General</t>
        </is>
      </c>
      <c r="I336" s="5" t="inlineStr">
        <is>
          <t>Relevant Communications</t>
        </is>
      </c>
      <c r="J336" s="5" t="inlineStr">
        <is>
          <t>MDD3003_PI: Dr. Robert Wooten M.D._Site: US10228(United States)_Subject ID: US102280016_Visit: Part 1 Screening_Alert: TSH, FreeT4, Ur Bacteria, Ur 
Nitrite, Ur Leukocyte Esterase</t>
        </is>
      </c>
      <c r="K336" s="6" t="n">
        <v>342</v>
      </c>
      <c r="L336" s="7" t="n">
        <v>45730</v>
      </c>
      <c r="M336" s="11" t="n">
        <v>46072</v>
      </c>
      <c r="N336" s="5" t="inlineStr">
        <is>
          <t>Approved</t>
        </is>
      </c>
      <c r="O336" s="5" t="inlineStr">
        <is>
          <t>Site</t>
        </is>
      </c>
      <c r="P336" s="5" t="inlineStr">
        <is>
          <t>United States</t>
        </is>
      </c>
      <c r="Q336" s="13" t="inlineStr">
        <is>
          <t>S10-US10228</t>
        </is>
      </c>
      <c r="R336" s="5" t="inlineStr">
        <is>
          <t>Gabriela Dluska</t>
        </is>
      </c>
      <c r="S336" s="8" t="n">
        <v>46072.61591435185</v>
      </c>
    </row>
    <row r="337" hidden="1" ht="58" customHeight="1">
      <c r="A337" s="15">
        <f>HYPERLINK("https://vtmf.veevavault.com/ui/#doc_info/31020569/1/0", "VTMF-25005950")</f>
        <v/>
      </c>
      <c r="B337" s="20" t="inlineStr">
        <is>
          <t>Yes</t>
        </is>
      </c>
      <c r="C337" s="5" t="inlineStr">
        <is>
          <t>1.0</t>
        </is>
      </c>
      <c r="D337" s="5" t="inlineStr">
        <is>
          <t>GCO</t>
        </is>
      </c>
      <c r="E337" s="5" t="inlineStr">
        <is>
          <t>42847922MDD3003</t>
        </is>
      </c>
      <c r="F337" s="16">
        <f>HYPERLINK("https://vtmf.veevavault.com/ui/#doc_info/31020569/1/0", "42847922MDD3003-USA-S10-US10013-Relevant Communications-01 Apr 2025 (v1.0)")</f>
        <v/>
      </c>
      <c r="G337" s="5" t="inlineStr">
        <is>
          <t>Site Management</t>
        </is>
      </c>
      <c r="H337" s="5" t="inlineStr">
        <is>
          <t>General</t>
        </is>
      </c>
      <c r="I337" s="5" t="inlineStr">
        <is>
          <t>Relevant Communications</t>
        </is>
      </c>
      <c r="J337" s="5" t="inlineStr">
        <is>
          <t>MDD3003_PI: Dr. Michael Thase M.D.._Site: US10013(United States)_Subject ID: US100130005/M_Visit: Part 1 Screening_Alert: Glucose Fasting</t>
        </is>
      </c>
      <c r="K337" s="6" t="n">
        <v>324</v>
      </c>
      <c r="L337" s="7" t="n">
        <v>45748</v>
      </c>
      <c r="M337" s="11" t="n">
        <v>46072</v>
      </c>
      <c r="N337" s="5" t="inlineStr">
        <is>
          <t>Approved</t>
        </is>
      </c>
      <c r="O337" s="5" t="inlineStr">
        <is>
          <t>Site</t>
        </is>
      </c>
      <c r="P337" s="5" t="inlineStr">
        <is>
          <t>United States</t>
        </is>
      </c>
      <c r="Q337" s="13" t="inlineStr">
        <is>
          <t>S10-US10013</t>
        </is>
      </c>
      <c r="R337" s="5" t="inlineStr">
        <is>
          <t>Gabriela Dluska</t>
        </is>
      </c>
      <c r="S337" s="8" t="n">
        <v>46072.61591435185</v>
      </c>
    </row>
    <row r="338" hidden="1" ht="58" customHeight="1">
      <c r="A338" s="15">
        <f>HYPERLINK("https://vtmf.veevavault.com/ui/#doc_info/31020570/1/0", "VTMF-25005951")</f>
        <v/>
      </c>
      <c r="B338" s="20" t="inlineStr">
        <is>
          <t>Yes</t>
        </is>
      </c>
      <c r="C338" s="5" t="inlineStr">
        <is>
          <t>1.0</t>
        </is>
      </c>
      <c r="D338" s="5" t="inlineStr">
        <is>
          <t>GCO</t>
        </is>
      </c>
      <c r="E338" s="5" t="inlineStr">
        <is>
          <t>42847922MDD3003</t>
        </is>
      </c>
      <c r="F338" s="16">
        <f>HYPERLINK("https://vtmf.veevavault.com/ui/#doc_info/31020570/1/0", "42847922MDD3003-USA-S10-US10013-Relevant Communications-28 Apr 2025 (v1.0)")</f>
        <v/>
      </c>
      <c r="G338" s="5" t="inlineStr">
        <is>
          <t>Site Management</t>
        </is>
      </c>
      <c r="H338" s="5" t="inlineStr">
        <is>
          <t>General</t>
        </is>
      </c>
      <c r="I338" s="5" t="inlineStr">
        <is>
          <t>Relevant Communications</t>
        </is>
      </c>
      <c r="J338" s="5" t="inlineStr">
        <is>
          <t>MDD3003_PI: Dr. Michael Thase M.D.._Site: US10013(United States)_Subject ID: US100130008/M_Visit: Part 1 Screening_Alert: Cannabinoid Drug Conf-LDT</t>
        </is>
      </c>
      <c r="K338" s="6" t="n">
        <v>297</v>
      </c>
      <c r="L338" s="7" t="n">
        <v>45775</v>
      </c>
      <c r="M338" s="11" t="n">
        <v>46072</v>
      </c>
      <c r="N338" s="5" t="inlineStr">
        <is>
          <t>Approved</t>
        </is>
      </c>
      <c r="O338" s="5" t="inlineStr">
        <is>
          <t>Site</t>
        </is>
      </c>
      <c r="P338" s="5" t="inlineStr">
        <is>
          <t>United States</t>
        </is>
      </c>
      <c r="Q338" s="13" t="inlineStr">
        <is>
          <t>S10-US10013</t>
        </is>
      </c>
      <c r="R338" s="5" t="inlineStr">
        <is>
          <t>Gabriela Dluska</t>
        </is>
      </c>
      <c r="S338" s="8" t="n">
        <v>46072.61591435185</v>
      </c>
    </row>
    <row r="339" hidden="1" ht="43.5" customHeight="1">
      <c r="A339" s="15">
        <f>HYPERLINK("https://vtmf.veevavault.com/ui/#doc_info/31020571/1/0", "VTMF-25005952")</f>
        <v/>
      </c>
      <c r="B339" s="20" t="inlineStr">
        <is>
          <t>Yes</t>
        </is>
      </c>
      <c r="C339" s="5" t="inlineStr">
        <is>
          <t>1.0</t>
        </is>
      </c>
      <c r="D339" s="5" t="inlineStr">
        <is>
          <t>GCO</t>
        </is>
      </c>
      <c r="E339" s="5" t="inlineStr">
        <is>
          <t>42847922MDD3003</t>
        </is>
      </c>
      <c r="F339" s="16">
        <f>HYPERLINK("https://vtmf.veevavault.com/ui/#doc_info/31020571/1/0", "42847922MDD3003-ARG-S10-AR10014-Relevant Communications-21 Apr 2025 (v1.0)")</f>
        <v/>
      </c>
      <c r="G339" s="5" t="inlineStr">
        <is>
          <t>Site Management</t>
        </is>
      </c>
      <c r="H339" s="5" t="inlineStr">
        <is>
          <t>General</t>
        </is>
      </c>
      <c r="I339" s="5" t="inlineStr">
        <is>
          <t>Relevant Communications</t>
        </is>
      </c>
      <c r="J339" s="5" t="inlineStr">
        <is>
          <t>MDD3003_PI: Dr. Mariano Andres Buteler M.D._Site: AR10014 (Argentina)_Subject ID: AR100140001/F _Visit: Suspected Liver Event FU_Alert: AST</t>
        </is>
      </c>
      <c r="K339" s="6" t="n">
        <v>304</v>
      </c>
      <c r="L339" s="7" t="n">
        <v>45768</v>
      </c>
      <c r="M339" s="11" t="n">
        <v>46072</v>
      </c>
      <c r="N339" s="5" t="inlineStr">
        <is>
          <t>Approved</t>
        </is>
      </c>
      <c r="O339" s="5" t="inlineStr">
        <is>
          <t>Site</t>
        </is>
      </c>
      <c r="P339" s="5" t="inlineStr">
        <is>
          <t>Argentina</t>
        </is>
      </c>
      <c r="Q339" s="13" t="inlineStr">
        <is>
          <t>S10-AR10014</t>
        </is>
      </c>
      <c r="R339" s="5" t="inlineStr">
        <is>
          <t>Gabriela Dluska</t>
        </is>
      </c>
      <c r="S339" s="8" t="n">
        <v>46072.61591435185</v>
      </c>
    </row>
    <row r="340" hidden="1" ht="58" customHeight="1">
      <c r="A340" s="15">
        <f>HYPERLINK("https://vtmf.veevavault.com/ui/#doc_info/31020572/1/0", "VTMF-25005953")</f>
        <v/>
      </c>
      <c r="B340" s="20" t="inlineStr">
        <is>
          <t>Yes</t>
        </is>
      </c>
      <c r="C340" s="5" t="inlineStr">
        <is>
          <t>1.0</t>
        </is>
      </c>
      <c r="D340" s="5" t="inlineStr">
        <is>
          <t>GCO</t>
        </is>
      </c>
      <c r="E340" s="5" t="inlineStr">
        <is>
          <t>42847922MDD3003</t>
        </is>
      </c>
      <c r="F340" s="16">
        <f>HYPERLINK("https://vtmf.veevavault.com/ui/#doc_info/31020572/1/0", "42847922MDD3003-USA-S10-US10002-Relevant Communications-18 Mar 2025 (v1.0)")</f>
        <v/>
      </c>
      <c r="G340" s="5" t="inlineStr">
        <is>
          <t>Site Management</t>
        </is>
      </c>
      <c r="H340" s="5" t="inlineStr">
        <is>
          <t>General</t>
        </is>
      </c>
      <c r="I340" s="5" t="inlineStr">
        <is>
          <t>Relevant Communications</t>
        </is>
      </c>
      <c r="J340" s="5" t="inlineStr">
        <is>
          <t>MDD3003_PI: Anderson, Donald M.D._Site: S10-US10002(United States)_Subject ID: US100020002__Visit:Part 2 OL Induction Day 29 _Alert: Serum bicarbonate</t>
        </is>
      </c>
      <c r="K340" s="6" t="n">
        <v>338</v>
      </c>
      <c r="L340" s="7" t="n">
        <v>45734</v>
      </c>
      <c r="M340" s="11" t="n">
        <v>46072</v>
      </c>
      <c r="N340" s="5" t="inlineStr">
        <is>
          <t>Approved</t>
        </is>
      </c>
      <c r="O340" s="5" t="inlineStr">
        <is>
          <t>Site</t>
        </is>
      </c>
      <c r="P340" s="5" t="inlineStr">
        <is>
          <t>United States</t>
        </is>
      </c>
      <c r="Q340" s="13" t="inlineStr">
        <is>
          <t>S10-US10002</t>
        </is>
      </c>
      <c r="R340" s="5" t="inlineStr">
        <is>
          <t>Gabriela Dluska</t>
        </is>
      </c>
      <c r="S340" s="8" t="n">
        <v>46072.61591435185</v>
      </c>
    </row>
    <row r="341" hidden="1" ht="58" customHeight="1">
      <c r="A341" s="15">
        <f>HYPERLINK("https://vtmf.veevavault.com/ui/#doc_info/31020573/1/0", "VTMF-25005954")</f>
        <v/>
      </c>
      <c r="B341" s="20" t="inlineStr">
        <is>
          <t>Yes</t>
        </is>
      </c>
      <c r="C341" s="5" t="inlineStr">
        <is>
          <t>1.0</t>
        </is>
      </c>
      <c r="D341" s="5" t="inlineStr">
        <is>
          <t>GCO</t>
        </is>
      </c>
      <c r="E341" s="5" t="inlineStr">
        <is>
          <t>42847922MDD3003</t>
        </is>
      </c>
      <c r="F341" s="16">
        <f>HYPERLINK("https://vtmf.veevavault.com/ui/#doc_info/31020573/1/0", "42847922MDD3003-USA-S10-US10002-Relevant Communications-18 Mar 2025 (v1.0)")</f>
        <v/>
      </c>
      <c r="G341" s="5" t="inlineStr">
        <is>
          <t>Site Management</t>
        </is>
      </c>
      <c r="H341" s="5" t="inlineStr">
        <is>
          <t>General</t>
        </is>
      </c>
      <c r="I341" s="5" t="inlineStr">
        <is>
          <t>Relevant Communications</t>
        </is>
      </c>
      <c r="J341" s="5" t="inlineStr">
        <is>
          <t>MDD3003_PI: Anderson, Donald M.D._Site: S10-US10002(United States)_Subject ID: US100020003__Visit:Part 2 OL Induction Baseline _Alert: Triglycerides</t>
        </is>
      </c>
      <c r="K341" s="6" t="n">
        <v>338</v>
      </c>
      <c r="L341" s="7" t="n">
        <v>45734</v>
      </c>
      <c r="M341" s="11" t="n">
        <v>46072</v>
      </c>
      <c r="N341" s="5" t="inlineStr">
        <is>
          <t>Approved</t>
        </is>
      </c>
      <c r="O341" s="5" t="inlineStr">
        <is>
          <t>Site</t>
        </is>
      </c>
      <c r="P341" s="5" t="inlineStr">
        <is>
          <t>United States</t>
        </is>
      </c>
      <c r="Q341" s="13" t="inlineStr">
        <is>
          <t>S10-US10002</t>
        </is>
      </c>
      <c r="R341" s="5" t="inlineStr">
        <is>
          <t>Gabriela Dluska</t>
        </is>
      </c>
      <c r="S341" s="8" t="n">
        <v>46072.61591435185</v>
      </c>
    </row>
    <row r="342" hidden="1" ht="58" customHeight="1">
      <c r="A342" s="15">
        <f>HYPERLINK("https://vtmf.veevavault.com/ui/#doc_info/31020574/1/0", "VTMF-25005955")</f>
        <v/>
      </c>
      <c r="B342" s="20" t="inlineStr">
        <is>
          <t>Yes</t>
        </is>
      </c>
      <c r="C342" s="5" t="inlineStr">
        <is>
          <t>1.0</t>
        </is>
      </c>
      <c r="D342" s="5" t="inlineStr">
        <is>
          <t>GCO</t>
        </is>
      </c>
      <c r="E342" s="5" t="inlineStr">
        <is>
          <t>42847922MDD3003</t>
        </is>
      </c>
      <c r="F342" s="16">
        <f>HYPERLINK("https://vtmf.veevavault.com/ui/#doc_info/31020574/1/0", "42847922MDD3003-USA-S10-US10002-Relevant Communications-01 Apr 2025 (v1.0)")</f>
        <v/>
      </c>
      <c r="G342" s="5" t="inlineStr">
        <is>
          <t>Site Management</t>
        </is>
      </c>
      <c r="H342" s="5" t="inlineStr">
        <is>
          <t>General</t>
        </is>
      </c>
      <c r="I342" s="5" t="inlineStr">
        <is>
          <t>Relevant Communications</t>
        </is>
      </c>
      <c r="J342" s="5" t="inlineStr">
        <is>
          <t>MDD3003_PI: Anderson, Donald M.D._Site: US10002(United 
States)_Subject ID: US100020004_Visit:Part 1 Screening _Alert:TSH</t>
        </is>
      </c>
      <c r="K342" s="6" t="n">
        <v>324</v>
      </c>
      <c r="L342" s="7" t="n">
        <v>45748</v>
      </c>
      <c r="M342" s="11" t="n">
        <v>46072</v>
      </c>
      <c r="N342" s="5" t="inlineStr">
        <is>
          <t>Approved</t>
        </is>
      </c>
      <c r="O342" s="5" t="inlineStr">
        <is>
          <t>Site</t>
        </is>
      </c>
      <c r="P342" s="5" t="inlineStr">
        <is>
          <t>United States</t>
        </is>
      </c>
      <c r="Q342" s="13" t="inlineStr">
        <is>
          <t>S10-US10002</t>
        </is>
      </c>
      <c r="R342" s="5" t="inlineStr">
        <is>
          <t>Gabriela Dluska</t>
        </is>
      </c>
      <c r="S342" s="8" t="n">
        <v>46072.61591435185</v>
      </c>
    </row>
    <row r="343" hidden="1" ht="29" customHeight="1">
      <c r="A343" s="15">
        <f>HYPERLINK("https://vtmf.veevavault.com/ui/#doc_info/31020575/1/0", "VTMF-25005956")</f>
        <v/>
      </c>
      <c r="B343" s="20" t="inlineStr">
        <is>
          <t>Yes</t>
        </is>
      </c>
      <c r="C343" s="5" t="inlineStr">
        <is>
          <t>1.0</t>
        </is>
      </c>
      <c r="D343" s="5" t="inlineStr">
        <is>
          <t>GCO</t>
        </is>
      </c>
      <c r="E343" s="5" t="inlineStr">
        <is>
          <t>42847922MDD3003</t>
        </is>
      </c>
      <c r="F343" s="16">
        <f>HYPERLINK("https://vtmf.veevavault.com/ui/#doc_info/31020575/1/0", "42847922MDD3003-ARG-S10-AR10002-Relevant Communications-14 Apr 2025 (v1.0)")</f>
        <v/>
      </c>
      <c r="G343" s="5" t="inlineStr">
        <is>
          <t>Site Management</t>
        </is>
      </c>
      <c r="H343" s="5" t="inlineStr">
        <is>
          <t>General</t>
        </is>
      </c>
      <c r="I343" s="5" t="inlineStr">
        <is>
          <t>Relevant Communications</t>
        </is>
      </c>
      <c r="J343" s="5" t="inlineStr">
        <is>
          <t>MDD3003 | thank you for on-site visit</t>
        </is>
      </c>
      <c r="K343" s="6" t="n">
        <v>311</v>
      </c>
      <c r="L343" s="7" t="n">
        <v>45761</v>
      </c>
      <c r="M343" s="11" t="n">
        <v>46072</v>
      </c>
      <c r="N343" s="5" t="inlineStr">
        <is>
          <t>Approved</t>
        </is>
      </c>
      <c r="O343" s="5" t="inlineStr">
        <is>
          <t>Site</t>
        </is>
      </c>
      <c r="P343" s="5" t="inlineStr">
        <is>
          <t>Argentina</t>
        </is>
      </c>
      <c r="Q343" s="13" t="inlineStr">
        <is>
          <t>S10-AR10002</t>
        </is>
      </c>
      <c r="R343" s="5" t="inlineStr">
        <is>
          <t>Gabriela Dluska</t>
        </is>
      </c>
      <c r="S343" s="8" t="n">
        <v>46072.61591435185</v>
      </c>
    </row>
    <row r="344" hidden="1" ht="29" customHeight="1">
      <c r="A344" s="15">
        <f>HYPERLINK("https://vtmf.veevavault.com/ui/#doc_info/31020576/1/0", "VTMF-25005957")</f>
        <v/>
      </c>
      <c r="B344" s="20" t="inlineStr">
        <is>
          <t>Yes</t>
        </is>
      </c>
      <c r="C344" s="5" t="inlineStr">
        <is>
          <t>1.0</t>
        </is>
      </c>
      <c r="D344" s="5" t="inlineStr">
        <is>
          <t>GCO</t>
        </is>
      </c>
      <c r="E344" s="5" t="inlineStr">
        <is>
          <t>42847922MDD3003</t>
        </is>
      </c>
      <c r="F344" s="16">
        <f>HYPERLINK("https://vtmf.veevavault.com/ui/#doc_info/31020576/1/0", "42847922MDD3003-BRA-S10-BR10002-Relevant Communications-21 Apr 2025 (v1.0)")</f>
        <v/>
      </c>
      <c r="G344" s="5" t="inlineStr">
        <is>
          <t>Site Management</t>
        </is>
      </c>
      <c r="H344" s="5" t="inlineStr">
        <is>
          <t>General</t>
        </is>
      </c>
      <c r="I344" s="5" t="inlineStr">
        <is>
          <t>Relevant Communications</t>
        </is>
      </c>
      <c r="J344" s="5" t="inlineStr">
        <is>
          <t>MDD3003_ Patient 100020019_screening hematology cancelled</t>
        </is>
      </c>
      <c r="K344" s="6" t="n">
        <v>304</v>
      </c>
      <c r="L344" s="7" t="n">
        <v>45768</v>
      </c>
      <c r="M344" s="11" t="n">
        <v>46072</v>
      </c>
      <c r="N344" s="5" t="inlineStr">
        <is>
          <t>Approved</t>
        </is>
      </c>
      <c r="O344" s="5" t="inlineStr">
        <is>
          <t>Site</t>
        </is>
      </c>
      <c r="P344" s="5" t="inlineStr">
        <is>
          <t>Brazil</t>
        </is>
      </c>
      <c r="Q344" s="13" t="inlineStr">
        <is>
          <t>S10-BR10002</t>
        </is>
      </c>
      <c r="R344" s="5" t="inlineStr">
        <is>
          <t>Gabriela Dluska</t>
        </is>
      </c>
      <c r="S344" s="8" t="n">
        <v>46072.61591435185</v>
      </c>
    </row>
    <row r="345" hidden="1" ht="43.5" customHeight="1">
      <c r="A345" s="15">
        <f>HYPERLINK("https://vtmf.veevavault.com/ui/#doc_info/31020577/1/0", "VTMF-25005958")</f>
        <v/>
      </c>
      <c r="B345" s="20" t="inlineStr">
        <is>
          <t>Yes</t>
        </is>
      </c>
      <c r="C345" s="5" t="inlineStr">
        <is>
          <t>1.0</t>
        </is>
      </c>
      <c r="D345" s="5" t="inlineStr">
        <is>
          <t>GCO</t>
        </is>
      </c>
      <c r="E345" s="5" t="inlineStr">
        <is>
          <t>42847922MDD3003</t>
        </is>
      </c>
      <c r="F345" s="16">
        <f>HYPERLINK("https://vtmf.veevavault.com/ui/#doc_info/31020577/1/0", "42847922MDD3003-ARG-S10-AR10010-Relevant Communications-14 Nov 2024 (v1.0)")</f>
        <v/>
      </c>
      <c r="G345" s="5" t="inlineStr">
        <is>
          <t>Site Management</t>
        </is>
      </c>
      <c r="H345" s="5" t="inlineStr">
        <is>
          <t>General</t>
        </is>
      </c>
      <c r="I345" s="5" t="inlineStr">
        <is>
          <t>Relevant Communications</t>
        </is>
      </c>
      <c r="J345" s="5" t="inlineStr">
        <is>
          <t>MDD3003_PI: Dr. Hernan David Ruggeri M.D._Site: AR10010 (Argentina)_Subject ID: AR100100001/F_Visit: Part 1 Screening_Alert: Creatinine Clearance</t>
        </is>
      </c>
      <c r="K345" s="6" t="n">
        <v>462</v>
      </c>
      <c r="L345" s="7" t="n">
        <v>45610</v>
      </c>
      <c r="M345" s="11" t="n">
        <v>46072</v>
      </c>
      <c r="N345" s="5" t="inlineStr">
        <is>
          <t>Approved</t>
        </is>
      </c>
      <c r="O345" s="5" t="inlineStr">
        <is>
          <t>Site</t>
        </is>
      </c>
      <c r="P345" s="5" t="inlineStr">
        <is>
          <t>Argentina</t>
        </is>
      </c>
      <c r="Q345" s="13" t="inlineStr">
        <is>
          <t>S10-AR10010</t>
        </is>
      </c>
      <c r="R345" s="5" t="inlineStr">
        <is>
          <t>Gabriela Dluska</t>
        </is>
      </c>
      <c r="S345" s="8" t="n">
        <v>46072.61591435185</v>
      </c>
    </row>
    <row r="346" hidden="1" ht="58" customHeight="1">
      <c r="A346" s="15">
        <f>HYPERLINK("https://vtmf.veevavault.com/ui/#doc_info/31020578/1/0", "VTMF-25005959")</f>
        <v/>
      </c>
      <c r="B346" s="20" t="inlineStr">
        <is>
          <t>Yes</t>
        </is>
      </c>
      <c r="C346" s="5" t="inlineStr">
        <is>
          <t>1.0</t>
        </is>
      </c>
      <c r="D346" s="5" t="inlineStr">
        <is>
          <t>GCO</t>
        </is>
      </c>
      <c r="E346" s="5" t="inlineStr">
        <is>
          <t>42847922MDD3003</t>
        </is>
      </c>
      <c r="F346" s="16">
        <f>HYPERLINK("https://vtmf.veevavault.com/ui/#doc_info/31020578/1/0", "42847922MDD3003-USA-S10-US10224-Relevant Communications-21 Jan 2025 (v1.0)")</f>
        <v/>
      </c>
      <c r="G346" s="5" t="inlineStr">
        <is>
          <t>Site Management</t>
        </is>
      </c>
      <c r="H346" s="5" t="inlineStr">
        <is>
          <t>General</t>
        </is>
      </c>
      <c r="I346" s="5" t="inlineStr">
        <is>
          <t>Relevant Communications</t>
        </is>
      </c>
      <c r="J346" s="5" t="inlineStr">
        <is>
          <t>MDD3003_PI: Dr. Hoque Nurul 
M.D._Site:US10224(United States of America)_Subject ID:US102240006_Visit: Part 1 
Screening_Alert:HbA1c</t>
        </is>
      </c>
      <c r="K346" s="6" t="n">
        <v>394</v>
      </c>
      <c r="L346" s="7" t="n">
        <v>45678</v>
      </c>
      <c r="M346" s="11" t="n">
        <v>46072</v>
      </c>
      <c r="N346" s="5" t="inlineStr">
        <is>
          <t>Approved</t>
        </is>
      </c>
      <c r="O346" s="5" t="inlineStr">
        <is>
          <t>Site</t>
        </is>
      </c>
      <c r="P346" s="5" t="inlineStr">
        <is>
          <t>United States</t>
        </is>
      </c>
      <c r="Q346" s="13" t="inlineStr">
        <is>
          <t>S10-US10224</t>
        </is>
      </c>
      <c r="R346" s="5" t="inlineStr">
        <is>
          <t>Gabriela Dluska</t>
        </is>
      </c>
      <c r="S346" s="8" t="n">
        <v>46072.61591435185</v>
      </c>
    </row>
    <row r="347" hidden="1" ht="43.5" customHeight="1">
      <c r="A347" s="15">
        <f>HYPERLINK("https://vtmf.veevavault.com/ui/#doc_info/31020579/1/0", "VTMF-25005960")</f>
        <v/>
      </c>
      <c r="B347" s="20" t="inlineStr">
        <is>
          <t>Yes</t>
        </is>
      </c>
      <c r="C347" s="5" t="inlineStr">
        <is>
          <t>1.0</t>
        </is>
      </c>
      <c r="D347" s="5" t="inlineStr">
        <is>
          <t>GCO</t>
        </is>
      </c>
      <c r="E347" s="5" t="inlineStr">
        <is>
          <t>42847922MDD3003</t>
        </is>
      </c>
      <c r="F347" s="16">
        <f>HYPERLINK("https://vtmf.veevavault.com/ui/#doc_info/31020579/1/0", "42847922MDD3003-USA-S10-US10120-Relevant Communications-24 Dec 2024 (v1.0)")</f>
        <v/>
      </c>
      <c r="G347" s="5" t="inlineStr">
        <is>
          <t>Site Management</t>
        </is>
      </c>
      <c r="H347" s="5" t="inlineStr">
        <is>
          <t>General</t>
        </is>
      </c>
      <c r="I347" s="5" t="inlineStr">
        <is>
          <t>Relevant Communications</t>
        </is>
      </c>
      <c r="J347" s="5" t="inlineStr">
        <is>
          <t>MDD3003_PI: Dr. James Knutson M.D._Site: US10120(United States)_Subject ID: US101200008 _Visit: Part 1 Screening_Alert: ALT</t>
        </is>
      </c>
      <c r="K347" s="6" t="n">
        <v>422</v>
      </c>
      <c r="L347" s="7" t="n">
        <v>45650</v>
      </c>
      <c r="M347" s="11" t="n">
        <v>46072</v>
      </c>
      <c r="N347" s="5" t="inlineStr">
        <is>
          <t>Approved</t>
        </is>
      </c>
      <c r="O347" s="5" t="inlineStr">
        <is>
          <t>Site</t>
        </is>
      </c>
      <c r="P347" s="5" t="inlineStr">
        <is>
          <t>United States</t>
        </is>
      </c>
      <c r="Q347" s="13" t="inlineStr">
        <is>
          <t>S10-US10120</t>
        </is>
      </c>
      <c r="R347" s="5" t="inlineStr">
        <is>
          <t>Gabriela Dluska</t>
        </is>
      </c>
      <c r="S347" s="8" t="n">
        <v>46072.61591435185</v>
      </c>
    </row>
    <row r="348" hidden="1" ht="58" customHeight="1">
      <c r="A348" s="15">
        <f>HYPERLINK("https://vtmf.veevavault.com/ui/#doc_info/31020580/1/0", "VTMF-25005961")</f>
        <v/>
      </c>
      <c r="B348" s="20" t="inlineStr">
        <is>
          <t>Yes</t>
        </is>
      </c>
      <c r="C348" s="5" t="inlineStr">
        <is>
          <t>1.0</t>
        </is>
      </c>
      <c r="D348" s="5" t="inlineStr">
        <is>
          <t>GCO</t>
        </is>
      </c>
      <c r="E348" s="5" t="inlineStr">
        <is>
          <t>42847922MDD3003</t>
        </is>
      </c>
      <c r="F348" s="16">
        <f>HYPERLINK("https://vtmf.veevavault.com/ui/#doc_info/31020580/1/0", "42847922MDD3003-USA-S10-US10219-Relevant Communications-13 Feb 2025 (v1.0)")</f>
        <v/>
      </c>
      <c r="G348" s="5" t="inlineStr">
        <is>
          <t>Site Management</t>
        </is>
      </c>
      <c r="H348" s="5" t="inlineStr">
        <is>
          <t>General</t>
        </is>
      </c>
      <c r="I348" s="5" t="inlineStr">
        <is>
          <t>Relevant Communications</t>
        </is>
      </c>
      <c r="J348" s="5" t="inlineStr">
        <is>
          <t>MDD3003_PI: Dr. Jorge Betancourt M.D._Site: US10219(United States)_Subject ID: US102190012/F_Visit: UNSCHEDULED_Alert: ECG_T Waves: Flat</t>
        </is>
      </c>
      <c r="K348" s="6" t="n">
        <v>371</v>
      </c>
      <c r="L348" s="7" t="n">
        <v>45701</v>
      </c>
      <c r="M348" s="11" t="n">
        <v>46072</v>
      </c>
      <c r="N348" s="5" t="inlineStr">
        <is>
          <t>Approved</t>
        </is>
      </c>
      <c r="O348" s="5" t="inlineStr">
        <is>
          <t>Site</t>
        </is>
      </c>
      <c r="P348" s="5" t="inlineStr">
        <is>
          <t>United States</t>
        </is>
      </c>
      <c r="Q348" s="13" t="inlineStr">
        <is>
          <t>S10-US10219</t>
        </is>
      </c>
      <c r="R348" s="5" t="inlineStr">
        <is>
          <t>Gabriela Dluska</t>
        </is>
      </c>
      <c r="S348" s="8" t="n">
        <v>46072.61591435185</v>
      </c>
    </row>
    <row r="349" hidden="1" ht="43.5" customHeight="1">
      <c r="A349" s="15">
        <f>HYPERLINK("https://vtmf.veevavault.com/ui/#doc_info/31020581/1/0", "VTMF-25005962")</f>
        <v/>
      </c>
      <c r="B349" s="20" t="inlineStr">
        <is>
          <t>Yes</t>
        </is>
      </c>
      <c r="C349" s="5" t="inlineStr">
        <is>
          <t>1.0</t>
        </is>
      </c>
      <c r="D349" s="5" t="inlineStr">
        <is>
          <t>GCO</t>
        </is>
      </c>
      <c r="E349" s="5" t="inlineStr">
        <is>
          <t>42847922MDD3003</t>
        </is>
      </c>
      <c r="F349" s="16">
        <f>HYPERLINK("https://vtmf.veevavault.com/ui/#doc_info/31020581/1/0", "42847922MDD3003-BRA-S10-BR10021-Relevant Communications-24 Feb 2025 (v1.0)")</f>
        <v/>
      </c>
      <c r="G349" s="5" t="inlineStr">
        <is>
          <t>Site Management</t>
        </is>
      </c>
      <c r="H349" s="5" t="inlineStr">
        <is>
          <t>General</t>
        </is>
      </c>
      <c r="I349" s="5" t="inlineStr">
        <is>
          <t>Relevant Communications</t>
        </is>
      </c>
      <c r="J349" s="5" t="inlineStr">
        <is>
          <t>MDD3003_PI: Dr. Kellen Recco M.D._Site: 
BR10021(Brazil)_Subject ID: BR100210001/F_Visit: Part 1 Screening_Alert: TSH</t>
        </is>
      </c>
      <c r="K349" s="6" t="n">
        <v>360</v>
      </c>
      <c r="L349" s="7" t="n">
        <v>45712</v>
      </c>
      <c r="M349" s="11" t="n">
        <v>46072</v>
      </c>
      <c r="N349" s="5" t="inlineStr">
        <is>
          <t>Approved</t>
        </is>
      </c>
      <c r="O349" s="5" t="inlineStr">
        <is>
          <t>Site</t>
        </is>
      </c>
      <c r="P349" s="5" t="inlineStr">
        <is>
          <t>Brazil</t>
        </is>
      </c>
      <c r="Q349" s="13" t="inlineStr">
        <is>
          <t>S10-BR10021</t>
        </is>
      </c>
      <c r="R349" s="5" t="inlineStr">
        <is>
          <t>Gabriela Dluska</t>
        </is>
      </c>
      <c r="S349" s="8" t="n">
        <v>46072.61591435185</v>
      </c>
    </row>
    <row r="350" hidden="1" ht="58" customHeight="1">
      <c r="A350" s="15">
        <f>HYPERLINK("https://vtmf.veevavault.com/ui/#doc_info/31020582/1/0", "VTMF-25005963")</f>
        <v/>
      </c>
      <c r="B350" s="20" t="inlineStr">
        <is>
          <t>Yes</t>
        </is>
      </c>
      <c r="C350" s="5" t="inlineStr">
        <is>
          <t>1.0</t>
        </is>
      </c>
      <c r="D350" s="5" t="inlineStr">
        <is>
          <t>GCO</t>
        </is>
      </c>
      <c r="E350" s="5" t="inlineStr">
        <is>
          <t>42847922MDD3003</t>
        </is>
      </c>
      <c r="F350" s="16">
        <f>HYPERLINK("https://vtmf.veevavault.com/ui/#doc_info/31020582/1/0", "42847922MDD3003-USA-S10-US10046-Relevant Communications-19 Feb 2025 (v1.0)")</f>
        <v/>
      </c>
      <c r="G350" s="5" t="inlineStr">
        <is>
          <t>Site Management</t>
        </is>
      </c>
      <c r="H350" s="5" t="inlineStr">
        <is>
          <t>General</t>
        </is>
      </c>
      <c r="I350" s="5" t="inlineStr">
        <is>
          <t>Relevant Communications</t>
        </is>
      </c>
      <c r="J350" s="5" t="inlineStr">
        <is>
          <t>MDD3003_PI: Dr. Moraima Trujillo_Site: US10046 (United 
States)_Subject ID: US100460003/F_Visit: Part 2 DB Baseline_Alert: Glucose Fasting</t>
        </is>
      </c>
      <c r="K350" s="6" t="n">
        <v>365</v>
      </c>
      <c r="L350" s="7" t="n">
        <v>45707</v>
      </c>
      <c r="M350" s="11" t="n">
        <v>46072</v>
      </c>
      <c r="N350" s="5" t="inlineStr">
        <is>
          <t>Approved</t>
        </is>
      </c>
      <c r="O350" s="5" t="inlineStr">
        <is>
          <t>Site</t>
        </is>
      </c>
      <c r="P350" s="5" t="inlineStr">
        <is>
          <t>United States</t>
        </is>
      </c>
      <c r="Q350" s="13" t="inlineStr">
        <is>
          <t>S10-US10046</t>
        </is>
      </c>
      <c r="R350" s="5" t="inlineStr">
        <is>
          <t>Gabriela Dluska</t>
        </is>
      </c>
      <c r="S350" s="8" t="n">
        <v>46072.61591435185</v>
      </c>
    </row>
    <row r="351" hidden="1" ht="58" customHeight="1">
      <c r="A351" s="15">
        <f>HYPERLINK("https://vtmf.veevavault.com/ui/#doc_info/31020583/1/0", "VTMF-25005964")</f>
        <v/>
      </c>
      <c r="B351" s="20" t="inlineStr">
        <is>
          <t>Yes</t>
        </is>
      </c>
      <c r="C351" s="5" t="inlineStr">
        <is>
          <t>1.0</t>
        </is>
      </c>
      <c r="D351" s="5" t="inlineStr">
        <is>
          <t>GCO</t>
        </is>
      </c>
      <c r="E351" s="5" t="inlineStr">
        <is>
          <t>42847922MDD3003</t>
        </is>
      </c>
      <c r="F351" s="16">
        <f>HYPERLINK("https://vtmf.veevavault.com/ui/#doc_info/31020583/1/0", "42847922MDD3003-USA-S10-US10228-Relevant Communications-28 Jan 2025 (v1.0)")</f>
        <v/>
      </c>
      <c r="G351" s="5" t="inlineStr">
        <is>
          <t>Site Management</t>
        </is>
      </c>
      <c r="H351" s="5" t="inlineStr">
        <is>
          <t>General</t>
        </is>
      </c>
      <c r="I351" s="5" t="inlineStr">
        <is>
          <t>Relevant Communications</t>
        </is>
      </c>
      <c r="J351" s="5" t="inlineStr">
        <is>
          <t>MDD3003_PI: Dr. Robert Wooten M.D._Site: US10228(United States)_Subject ID: US102280009_Visit: Part 1 Screening_Alert: HbA1c, TSH</t>
        </is>
      </c>
      <c r="K351" s="6" t="n">
        <v>387</v>
      </c>
      <c r="L351" s="7" t="n">
        <v>45685</v>
      </c>
      <c r="M351" s="11" t="n">
        <v>46072</v>
      </c>
      <c r="N351" s="5" t="inlineStr">
        <is>
          <t>Approved</t>
        </is>
      </c>
      <c r="O351" s="5" t="inlineStr">
        <is>
          <t>Site</t>
        </is>
      </c>
      <c r="P351" s="5" t="inlineStr">
        <is>
          <t>United States</t>
        </is>
      </c>
      <c r="Q351" s="13" t="inlineStr">
        <is>
          <t>S10-US10228</t>
        </is>
      </c>
      <c r="R351" s="5" t="inlineStr">
        <is>
          <t>Gabriela Dluska</t>
        </is>
      </c>
      <c r="S351" s="8" t="n">
        <v>46072.61591435185</v>
      </c>
    </row>
    <row r="352" hidden="1" ht="43.5" customHeight="1">
      <c r="A352" s="15">
        <f>HYPERLINK("https://vtmf.veevavault.com/ui/#doc_info/31020584/1/0", "VTMF-25005965")</f>
        <v/>
      </c>
      <c r="B352" s="20" t="inlineStr">
        <is>
          <t>Yes</t>
        </is>
      </c>
      <c r="C352" s="5" t="inlineStr">
        <is>
          <t>1.0</t>
        </is>
      </c>
      <c r="D352" s="5" t="inlineStr">
        <is>
          <t>GCO</t>
        </is>
      </c>
      <c r="E352" s="5" t="inlineStr">
        <is>
          <t>42847922MDD3003</t>
        </is>
      </c>
      <c r="F352" s="16">
        <f>HYPERLINK("https://vtmf.veevavault.com/ui/#doc_info/31020584/1/0", "42847922MDD3003-USA-S10-US10228-Relevant Communications-20 Mar 2025 (v1.0)")</f>
        <v/>
      </c>
      <c r="G352" s="5" t="inlineStr">
        <is>
          <t>Site Management</t>
        </is>
      </c>
      <c r="H352" s="5" t="inlineStr">
        <is>
          <t>General</t>
        </is>
      </c>
      <c r="I352" s="5" t="inlineStr">
        <is>
          <t>Relevant Communications</t>
        </is>
      </c>
      <c r="J352" s="5" t="inlineStr">
        <is>
          <t>MDD3003_PI: Dr. Robert Wooten M.D._Site: US10228
(United States)_Subject ID: US102280016_Visit: Part 1 Screening_Alert: Cannabinoids &amp; Benzodiazepines</t>
        </is>
      </c>
      <c r="K352" s="6" t="n">
        <v>336</v>
      </c>
      <c r="L352" s="7" t="n">
        <v>45736</v>
      </c>
      <c r="M352" s="11" t="n">
        <v>46072</v>
      </c>
      <c r="N352" s="5" t="inlineStr">
        <is>
          <t>Approved</t>
        </is>
      </c>
      <c r="O352" s="5" t="inlineStr">
        <is>
          <t>Site</t>
        </is>
      </c>
      <c r="P352" s="5" t="inlineStr">
        <is>
          <t>United States</t>
        </is>
      </c>
      <c r="Q352" s="13" t="inlineStr">
        <is>
          <t>S10-US10228</t>
        </is>
      </c>
      <c r="R352" s="5" t="inlineStr">
        <is>
          <t>Gabriela Dluska</t>
        </is>
      </c>
      <c r="S352" s="8" t="n">
        <v>46072.61591435185</v>
      </c>
    </row>
    <row r="353" hidden="1" ht="29" customHeight="1">
      <c r="A353" s="15">
        <f>HYPERLINK("https://vtmf.veevavault.com/ui/#doc_info/31021575/1/0", "VTMF-25006741")</f>
        <v/>
      </c>
      <c r="B353" s="20" t="inlineStr">
        <is>
          <t>Yes</t>
        </is>
      </c>
      <c r="C353" s="5" t="inlineStr">
        <is>
          <t>1.0</t>
        </is>
      </c>
      <c r="D353" s="5" t="inlineStr">
        <is>
          <t>GCO</t>
        </is>
      </c>
      <c r="E353" s="5" t="inlineStr">
        <is>
          <t>42847922MDD3003</t>
        </is>
      </c>
      <c r="F353" s="16">
        <f>HYPERLINK("https://vtmf.veevavault.com/ui/#doc_info/31021575/1/0", "42847922MDD3003-BRA-S10-BR10007-Relevant Communications-16 Jul 2025 (v1.0)")</f>
        <v/>
      </c>
      <c r="G353" s="5" t="inlineStr">
        <is>
          <t>Site Management</t>
        </is>
      </c>
      <c r="H353" s="5" t="inlineStr">
        <is>
          <t>General</t>
        </is>
      </c>
      <c r="I353" s="5" t="inlineStr">
        <is>
          <t>Relevant Communications</t>
        </is>
      </c>
      <c r="J353" s="5" t="inlineStr">
        <is>
          <t>Site S10-BR10007_ Subject BR100070014 RE-SCREENING REQUEST APPROVED</t>
        </is>
      </c>
      <c r="K353" s="6" t="n">
        <v>218</v>
      </c>
      <c r="L353" s="7" t="n">
        <v>45854</v>
      </c>
      <c r="M353" s="11" t="n">
        <v>46072</v>
      </c>
      <c r="N353" s="5" t="inlineStr">
        <is>
          <t>Approved</t>
        </is>
      </c>
      <c r="O353" s="5" t="inlineStr">
        <is>
          <t>Site</t>
        </is>
      </c>
      <c r="P353" s="5" t="inlineStr">
        <is>
          <t>Brazil</t>
        </is>
      </c>
      <c r="Q353" s="13" t="inlineStr">
        <is>
          <t>S10-BR10007</t>
        </is>
      </c>
      <c r="R353" s="5" t="inlineStr">
        <is>
          <t>Debhora Garcia</t>
        </is>
      </c>
      <c r="S353" s="8" t="n">
        <v>46072.70241898148</v>
      </c>
    </row>
    <row r="354" hidden="1" ht="29" customHeight="1">
      <c r="A354" s="15">
        <f>HYPERLINK("https://vtmf.veevavault.com/ui/#doc_info/31021582/1/0", "VTMF-25006763")</f>
        <v/>
      </c>
      <c r="B354" s="20" t="inlineStr">
        <is>
          <t>Yes</t>
        </is>
      </c>
      <c r="C354" s="5" t="inlineStr">
        <is>
          <t>1.0</t>
        </is>
      </c>
      <c r="D354" s="5" t="inlineStr">
        <is>
          <t>GCO</t>
        </is>
      </c>
      <c r="E354" s="5" t="inlineStr">
        <is>
          <t>42847922MDD3003</t>
        </is>
      </c>
      <c r="F354" s="16">
        <f>HYPERLINK("https://vtmf.veevavault.com/ui/#doc_info/31021582/1/0", "42847922MDD3003-BGR-S10-BG10008-Relevant Communications-07 Jan 2026 (v1.0)")</f>
        <v/>
      </c>
      <c r="G354" s="5" t="inlineStr">
        <is>
          <t>Site Management</t>
        </is>
      </c>
      <c r="H354" s="5" t="inlineStr">
        <is>
          <t>General</t>
        </is>
      </c>
      <c r="I354" s="5" t="inlineStr">
        <is>
          <t>Relevant Communications</t>
        </is>
      </c>
      <c r="J354" s="5" t="inlineStr">
        <is>
          <t>Site S10-BG10008 Subject BG100080010 Rescreening Request_ approved</t>
        </is>
      </c>
      <c r="K354" s="6" t="n">
        <v>43</v>
      </c>
      <c r="L354" s="7" t="n">
        <v>46029</v>
      </c>
      <c r="M354" s="11" t="n">
        <v>46072</v>
      </c>
      <c r="N354" s="5" t="inlineStr">
        <is>
          <t>Approved</t>
        </is>
      </c>
      <c r="O354" s="5" t="inlineStr">
        <is>
          <t>Site</t>
        </is>
      </c>
      <c r="P354" s="5" t="inlineStr">
        <is>
          <t>Bulgaria</t>
        </is>
      </c>
      <c r="Q354" s="13" t="inlineStr">
        <is>
          <t>S10-BG10008</t>
        </is>
      </c>
      <c r="R354" s="5" t="inlineStr">
        <is>
          <t>Debhora Garcia</t>
        </is>
      </c>
      <c r="S354" s="8" t="n">
        <v>46072.7049537037</v>
      </c>
    </row>
    <row r="355" hidden="1" ht="29" customHeight="1">
      <c r="A355" s="15">
        <f>HYPERLINK("https://vtmf.veevavault.com/ui/#doc_info/31021590/1/0", "VTMF-25006788")</f>
        <v/>
      </c>
      <c r="B355" s="20" t="inlineStr">
        <is>
          <t>Yes</t>
        </is>
      </c>
      <c r="C355" s="5" t="inlineStr">
        <is>
          <t>1.0</t>
        </is>
      </c>
      <c r="D355" s="5" t="inlineStr">
        <is>
          <t>GCO</t>
        </is>
      </c>
      <c r="E355" s="5" t="inlineStr">
        <is>
          <t>42847922MDD3003</t>
        </is>
      </c>
      <c r="F355" s="16">
        <f>HYPERLINK("https://vtmf.veevavault.com/ui/#doc_info/31021590/1/0", "42847922MDD3003-ITA-S10-IT10007-Relevant Communications-09 Jan 2026 (v1.0)")</f>
        <v/>
      </c>
      <c r="G355" s="5" t="inlineStr">
        <is>
          <t>Site Management</t>
        </is>
      </c>
      <c r="H355" s="5" t="inlineStr">
        <is>
          <t>General</t>
        </is>
      </c>
      <c r="I355" s="5" t="inlineStr">
        <is>
          <t>Relevant Communications</t>
        </is>
      </c>
      <c r="J355" s="5" t="inlineStr">
        <is>
          <t>Request for re-screening of pt S10-IT100070006_ approved</t>
        </is>
      </c>
      <c r="K355" s="6" t="n">
        <v>41</v>
      </c>
      <c r="L355" s="7" t="n">
        <v>46031</v>
      </c>
      <c r="M355" s="11" t="n">
        <v>46072</v>
      </c>
      <c r="N355" s="5" t="inlineStr">
        <is>
          <t>Approved</t>
        </is>
      </c>
      <c r="O355" s="5" t="inlineStr">
        <is>
          <t>Site</t>
        </is>
      </c>
      <c r="P355" s="5" t="inlineStr">
        <is>
          <t>Italy</t>
        </is>
      </c>
      <c r="Q355" s="13" t="inlineStr">
        <is>
          <t>S10-IT10007</t>
        </is>
      </c>
      <c r="R355" s="5" t="inlineStr">
        <is>
          <t>Debhora Garcia</t>
        </is>
      </c>
      <c r="S355" s="8" t="n">
        <v>46072.70674768519</v>
      </c>
    </row>
    <row r="356" hidden="1" ht="29" customHeight="1">
      <c r="A356" s="15">
        <f>HYPERLINK("https://vtmf.veevavault.com/ui/#doc_info/31021647/1/0", "VTMF-25006801")</f>
        <v/>
      </c>
      <c r="B356" s="20" t="inlineStr">
        <is>
          <t>Yes</t>
        </is>
      </c>
      <c r="C356" s="5" t="inlineStr">
        <is>
          <t>1.0</t>
        </is>
      </c>
      <c r="D356" s="5" t="inlineStr">
        <is>
          <t>GCO</t>
        </is>
      </c>
      <c r="E356" s="5" t="inlineStr">
        <is>
          <t>42847922MDD3003</t>
        </is>
      </c>
      <c r="F356" s="16">
        <f>HYPERLINK("https://vtmf.veevavault.com/ui/#doc_info/31021647/1/0", "42847922MDD3003-SRB-S10-RS10003-Relevant Communications-01 Dec 2025 (v1.0)")</f>
        <v/>
      </c>
      <c r="G356" s="5" t="inlineStr">
        <is>
          <t>Site Management</t>
        </is>
      </c>
      <c r="H356" s="5" t="inlineStr">
        <is>
          <t>General</t>
        </is>
      </c>
      <c r="I356" s="5" t="inlineStr">
        <is>
          <t>Relevant Communications</t>
        </is>
      </c>
      <c r="J356" s="5" t="inlineStr">
        <is>
          <t>S10-RS10003_Jovanka Petrovic_100030001_re-screening request_ approved</t>
        </is>
      </c>
      <c r="K356" s="6" t="n">
        <v>80</v>
      </c>
      <c r="L356" s="7" t="n">
        <v>45992</v>
      </c>
      <c r="M356" s="11" t="n">
        <v>46072</v>
      </c>
      <c r="N356" s="5" t="inlineStr">
        <is>
          <t>Approved</t>
        </is>
      </c>
      <c r="O356" s="5" t="inlineStr">
        <is>
          <t>Site</t>
        </is>
      </c>
      <c r="P356" s="5" t="inlineStr">
        <is>
          <t>Serbia</t>
        </is>
      </c>
      <c r="Q356" s="13" t="inlineStr">
        <is>
          <t>S10-RS10003</t>
        </is>
      </c>
      <c r="R356" s="5" t="inlineStr">
        <is>
          <t>Debhora Garcia</t>
        </is>
      </c>
      <c r="S356" s="8" t="n">
        <v>46072.70822916667</v>
      </c>
    </row>
    <row r="357" hidden="1" ht="29" customHeight="1">
      <c r="A357" s="15">
        <f>HYPERLINK("https://vtmf.veevavault.com/ui/#doc_info/31022218/1/0", "VTMF-25007205")</f>
        <v/>
      </c>
      <c r="B357" s="20" t="inlineStr">
        <is>
          <t>Yes</t>
        </is>
      </c>
      <c r="C357" s="5" t="inlineStr">
        <is>
          <t>1.0</t>
        </is>
      </c>
      <c r="D357" s="5" t="inlineStr">
        <is>
          <t>GCO</t>
        </is>
      </c>
      <c r="E357" s="5" t="inlineStr">
        <is>
          <t>42847922MDD3003</t>
        </is>
      </c>
      <c r="F357" s="16">
        <f>HYPERLINK("https://vtmf.veevavault.com/ui/#doc_info/31022218/1/0", "42847922MDD3003-SWE-S10-SE10001-Relevant Communications-24 Oct 2025 (v1.0)")</f>
        <v/>
      </c>
      <c r="G357" s="5" t="inlineStr">
        <is>
          <t>Site Management</t>
        </is>
      </c>
      <c r="H357" s="5" t="inlineStr">
        <is>
          <t>General</t>
        </is>
      </c>
      <c r="I357" s="5" t="inlineStr">
        <is>
          <t>Relevant Communications</t>
        </is>
      </c>
      <c r="J357" s="5" t="inlineStr">
        <is>
          <t>S10-SE10001 - SE100010018 - Re-Screening request</t>
        </is>
      </c>
      <c r="K357" s="6" t="n">
        <v>118</v>
      </c>
      <c r="L357" s="7" t="n">
        <v>45954</v>
      </c>
      <c r="M357" s="11" t="n">
        <v>46072</v>
      </c>
      <c r="N357" s="5" t="inlineStr">
        <is>
          <t>Approved</t>
        </is>
      </c>
      <c r="O357" s="5" t="inlineStr">
        <is>
          <t>Site</t>
        </is>
      </c>
      <c r="P357" s="5" t="inlineStr">
        <is>
          <t>Sweden</t>
        </is>
      </c>
      <c r="Q357" s="13" t="inlineStr">
        <is>
          <t>S10-SE10001</t>
        </is>
      </c>
      <c r="R357" s="5" t="inlineStr">
        <is>
          <t>Debhora Garcia</t>
        </is>
      </c>
      <c r="S357" s="8" t="n">
        <v>46072.74762731481</v>
      </c>
    </row>
    <row r="358" hidden="1" ht="29" customHeight="1">
      <c r="A358" s="15">
        <f>HYPERLINK("https://vtmf.veevavault.com/ui/#doc_info/31022328/1/0", "VTMF-25007382")</f>
        <v/>
      </c>
      <c r="B358" s="20" t="inlineStr">
        <is>
          <t>Yes</t>
        </is>
      </c>
      <c r="C358" s="5" t="inlineStr">
        <is>
          <t>1.0</t>
        </is>
      </c>
      <c r="D358" s="5" t="inlineStr">
        <is>
          <t>GCO</t>
        </is>
      </c>
      <c r="E358" s="5" t="inlineStr">
        <is>
          <t>42847922MDD3003</t>
        </is>
      </c>
      <c r="F358" s="16">
        <f>HYPERLINK("https://vtmf.veevavault.com/ui/#doc_info/31022328/1/0", "42847922MDD3003-TUR-S10-TR10012-Relevant Communications-13 Jan 2026 (v1.0)")</f>
        <v/>
      </c>
      <c r="G358" s="5" t="inlineStr">
        <is>
          <t>Site Management</t>
        </is>
      </c>
      <c r="H358" s="5" t="inlineStr">
        <is>
          <t>General</t>
        </is>
      </c>
      <c r="I358" s="5" t="inlineStr">
        <is>
          <t>Relevant Communications</t>
        </is>
      </c>
      <c r="J358" s="5" t="inlineStr">
        <is>
          <t>Türkiye-TR10012-Subject TR100120006_Re-Screening Request_ approved</t>
        </is>
      </c>
      <c r="K358" s="6" t="n">
        <v>37</v>
      </c>
      <c r="L358" s="7" t="n">
        <v>46035</v>
      </c>
      <c r="M358" s="11" t="n">
        <v>46072</v>
      </c>
      <c r="N358" s="5" t="inlineStr">
        <is>
          <t>Approved</t>
        </is>
      </c>
      <c r="O358" s="5" t="inlineStr">
        <is>
          <t>Site</t>
        </is>
      </c>
      <c r="P358" s="5" t="inlineStr">
        <is>
          <t>Türkiye</t>
        </is>
      </c>
      <c r="Q358" s="13" t="inlineStr">
        <is>
          <t>S10-TR10012</t>
        </is>
      </c>
      <c r="R358" s="5" t="inlineStr">
        <is>
          <t>Debhora Garcia</t>
        </is>
      </c>
      <c r="S358" s="8" t="n">
        <v>46072.77054398148</v>
      </c>
    </row>
    <row r="359" hidden="1" ht="29" customHeight="1">
      <c r="A359" s="15">
        <f>HYPERLINK("https://vtmf.veevavault.com/ui/#doc_info/31022346/1/0", "VTMF-25007400")</f>
        <v/>
      </c>
      <c r="B359" s="20" t="inlineStr">
        <is>
          <t>Yes</t>
        </is>
      </c>
      <c r="C359" s="5" t="inlineStr">
        <is>
          <t>1.0</t>
        </is>
      </c>
      <c r="D359" s="5" t="inlineStr">
        <is>
          <t>GCO</t>
        </is>
      </c>
      <c r="E359" s="5" t="inlineStr">
        <is>
          <t>42847922MDD3003</t>
        </is>
      </c>
      <c r="F359" s="16">
        <f>HYPERLINK("https://vtmf.veevavault.com/ui/#doc_info/31022346/1/0", "42847922MDD3003-USA-S10-US10083-Relevant Communications-09 Dec 2025 (v1.0)")</f>
        <v/>
      </c>
      <c r="G359" s="5" t="inlineStr">
        <is>
          <t>Site Management</t>
        </is>
      </c>
      <c r="H359" s="5" t="inlineStr">
        <is>
          <t>General</t>
        </is>
      </c>
      <c r="I359" s="5" t="inlineStr">
        <is>
          <t>Relevant Communications</t>
        </is>
      </c>
      <c r="J359" s="5" t="inlineStr">
        <is>
          <t>S10-US10083_PI_ DR_ Wilson Cueva_ Subject US100830012_ Re-Screening Request_ APPROVED</t>
        </is>
      </c>
      <c r="K359" s="6" t="n">
        <v>72</v>
      </c>
      <c r="L359" s="7" t="n">
        <v>46000</v>
      </c>
      <c r="M359" s="11" t="n">
        <v>46072</v>
      </c>
      <c r="N359" s="5" t="inlineStr">
        <is>
          <t>Approved</t>
        </is>
      </c>
      <c r="O359" s="5" t="inlineStr">
        <is>
          <t>Site</t>
        </is>
      </c>
      <c r="P359" s="5" t="inlineStr">
        <is>
          <t>United States</t>
        </is>
      </c>
      <c r="Q359" s="13" t="inlineStr">
        <is>
          <t>S10-US10083</t>
        </is>
      </c>
      <c r="R359" s="5" t="inlineStr">
        <is>
          <t>Debhora Garcia</t>
        </is>
      </c>
      <c r="S359" s="8" t="n">
        <v>46072.77189814814</v>
      </c>
    </row>
    <row r="360" hidden="1" ht="29" customHeight="1">
      <c r="A360" s="15">
        <f>HYPERLINK("https://vtmf.veevavault.com/ui/#doc_info/31022440/1/0", "VTMF-25007618")</f>
        <v/>
      </c>
      <c r="B360" s="19" t="inlineStr">
        <is>
          <t>No</t>
        </is>
      </c>
      <c r="C360" s="5" t="inlineStr">
        <is>
          <t>1.0</t>
        </is>
      </c>
      <c r="D360" s="5" t="inlineStr">
        <is>
          <t>GCO</t>
        </is>
      </c>
      <c r="E360" s="5" t="inlineStr">
        <is>
          <t>42847922MDD3003</t>
        </is>
      </c>
      <c r="F360" s="16">
        <f>HYPERLINK("https://vtmf.veevavault.com/ui/#doc_info/31022440/1/0", "42847922MDD3003-BRA-S10-BR10010-Other Curriculum Vitae-27 Aug 2024 (v1.0)")</f>
        <v/>
      </c>
      <c r="G360" s="5" t="inlineStr">
        <is>
          <t>Site Management</t>
        </is>
      </c>
      <c r="H360" s="5" t="inlineStr">
        <is>
          <t>Site Set-up Documentation</t>
        </is>
      </c>
      <c r="I360" s="5" t="inlineStr">
        <is>
          <t>Other Curriculum Vitae</t>
        </is>
      </c>
      <c r="J360" s="5" t="inlineStr">
        <is>
          <t>CV_EN_Levy da Silva, N; 27Aug2024</t>
        </is>
      </c>
      <c r="K360" s="6" t="n">
        <v>541</v>
      </c>
      <c r="L360" s="7" t="n">
        <v>45531</v>
      </c>
      <c r="M360" s="11" t="n">
        <v>46072</v>
      </c>
      <c r="N360" s="5" t="inlineStr">
        <is>
          <t>Approved</t>
        </is>
      </c>
      <c r="O360" s="5" t="inlineStr">
        <is>
          <t>Site</t>
        </is>
      </c>
      <c r="P360" s="5" t="inlineStr">
        <is>
          <t>Brazil</t>
        </is>
      </c>
      <c r="Q360" s="13" t="inlineStr">
        <is>
          <t>S10-BR10010</t>
        </is>
      </c>
      <c r="R360" s="5" t="inlineStr">
        <is>
          <t>GUILHERME BENEVIDES</t>
        </is>
      </c>
      <c r="S360" s="8" t="n">
        <v>46072.77597222223</v>
      </c>
    </row>
    <row r="361" hidden="1" ht="29" customHeight="1">
      <c r="A361" s="15">
        <f>HYPERLINK("https://vtmf.veevavault.com/ui/#doc_info/31022439/1/0", "VTMF-25007625")</f>
        <v/>
      </c>
      <c r="B361" s="19" t="inlineStr">
        <is>
          <t>No</t>
        </is>
      </c>
      <c r="C361" s="5" t="inlineStr">
        <is>
          <t>1.0</t>
        </is>
      </c>
      <c r="D361" s="5" t="inlineStr">
        <is>
          <t>GCO</t>
        </is>
      </c>
      <c r="E361" s="5" t="inlineStr">
        <is>
          <t>42847922MDD3003</t>
        </is>
      </c>
      <c r="F361" s="16">
        <f>HYPERLINK("https://vtmf.veevavault.com/ui/#doc_info/31022439/1/0", "42847922MDD3003-BRA-S10-BR10010-Other Curriculum Vitae-01 Dec 2025 (v1.0)")</f>
        <v/>
      </c>
      <c r="G361" s="5" t="inlineStr">
        <is>
          <t>Site Management</t>
        </is>
      </c>
      <c r="H361" s="5" t="inlineStr">
        <is>
          <t>Site Set-up Documentation</t>
        </is>
      </c>
      <c r="I361" s="5" t="inlineStr">
        <is>
          <t>Other Curriculum Vitae</t>
        </is>
      </c>
      <c r="J361" s="5" t="inlineStr">
        <is>
          <t>CV_EN_Tomé de Santana, V. C.; 01Dec2025</t>
        </is>
      </c>
      <c r="K361" s="6" t="n">
        <v>80</v>
      </c>
      <c r="L361" s="7" t="n">
        <v>45992</v>
      </c>
      <c r="M361" s="11" t="n">
        <v>46072</v>
      </c>
      <c r="N361" s="5" t="inlineStr">
        <is>
          <t>Approved</t>
        </is>
      </c>
      <c r="O361" s="5" t="inlineStr">
        <is>
          <t>Site</t>
        </is>
      </c>
      <c r="P361" s="5" t="inlineStr">
        <is>
          <t>Brazil</t>
        </is>
      </c>
      <c r="Q361" s="13" t="inlineStr">
        <is>
          <t>S10-BR10010</t>
        </is>
      </c>
      <c r="R361" s="5" t="inlineStr">
        <is>
          <t>GUILHERME BENEVIDES</t>
        </is>
      </c>
      <c r="S361" s="8" t="n">
        <v>46072.77597222223</v>
      </c>
    </row>
    <row r="362" hidden="1" ht="29" customHeight="1">
      <c r="A362" s="15">
        <f>HYPERLINK("https://vtmf.veevavault.com/ui/#doc_info/31022438/1/0", "VTMF-25007630")</f>
        <v/>
      </c>
      <c r="B362" s="19" t="inlineStr">
        <is>
          <t>No</t>
        </is>
      </c>
      <c r="C362" s="5" t="inlineStr">
        <is>
          <t>1.0</t>
        </is>
      </c>
      <c r="D362" s="5" t="inlineStr">
        <is>
          <t>GCO</t>
        </is>
      </c>
      <c r="E362" s="5" t="inlineStr">
        <is>
          <t>42847922MDD3003</t>
        </is>
      </c>
      <c r="F362" s="16">
        <f>HYPERLINK("https://vtmf.veevavault.com/ui/#doc_info/31022438/1/0", "42847922MDD3003-BRA-S10-BR10010-Other Curriculum Vitae-14 Apr 2025 (v1.0)")</f>
        <v/>
      </c>
      <c r="G362" s="5" t="inlineStr">
        <is>
          <t>Site Management</t>
        </is>
      </c>
      <c r="H362" s="5" t="inlineStr">
        <is>
          <t>Site Set-up Documentation</t>
        </is>
      </c>
      <c r="I362" s="5" t="inlineStr">
        <is>
          <t>Other Curriculum Vitae</t>
        </is>
      </c>
      <c r="J362" s="5" t="inlineStr">
        <is>
          <t>CV_EN_Oliveira dos Santos, L.; 14Apr2025</t>
        </is>
      </c>
      <c r="K362" s="6" t="n">
        <v>311</v>
      </c>
      <c r="L362" s="7" t="n">
        <v>45761</v>
      </c>
      <c r="M362" s="11" t="n">
        <v>46072</v>
      </c>
      <c r="N362" s="5" t="inlineStr">
        <is>
          <t>Approved</t>
        </is>
      </c>
      <c r="O362" s="5" t="inlineStr">
        <is>
          <t>Site</t>
        </is>
      </c>
      <c r="P362" s="5" t="inlineStr">
        <is>
          <t>Brazil</t>
        </is>
      </c>
      <c r="Q362" s="13" t="inlineStr">
        <is>
          <t>S10-BR10010</t>
        </is>
      </c>
      <c r="R362" s="5" t="inlineStr">
        <is>
          <t>GUILHERME BENEVIDES</t>
        </is>
      </c>
      <c r="S362" s="8" t="n">
        <v>46072.77596064815</v>
      </c>
    </row>
    <row r="363" ht="29" customHeight="1">
      <c r="A363" s="15">
        <f>HYPERLINK("https://vtmf.veevavault.com/ui/#doc_info/31022707/1/0", "VTMF-25007641")</f>
        <v/>
      </c>
      <c r="B363" s="19" t="inlineStr">
        <is>
          <t>No</t>
        </is>
      </c>
      <c r="C363" s="5" t="inlineStr">
        <is>
          <t>1.0</t>
        </is>
      </c>
      <c r="D363" s="5" t="inlineStr">
        <is>
          <t>GCO</t>
        </is>
      </c>
      <c r="E363" s="5" t="inlineStr">
        <is>
          <t>42847922MDD3003</t>
        </is>
      </c>
      <c r="F363" s="16">
        <f>HYPERLINK("https://vtmf.veevavault.com/ui/#doc_info/31022707/1/0", "42847922MDD3003-CZE--Insurance (v1.0)")</f>
        <v/>
      </c>
      <c r="G363" s="5" t="inlineStr">
        <is>
          <t>Central Trial Documents</t>
        </is>
      </c>
      <c r="H363" s="5" t="inlineStr">
        <is>
          <t>Trial Documents</t>
        </is>
      </c>
      <c r="I363" s="5" t="inlineStr">
        <is>
          <t>Insurance</t>
        </is>
      </c>
      <c r="J363" s="5" t="inlineStr">
        <is>
          <t>O1_Insurance policy CT_CZ_cze_2023-509070-36_12JAN2026_3</t>
        </is>
      </c>
      <c r="K363" s="6" t="n">
        <v>38</v>
      </c>
      <c r="L363" s="7" t="n">
        <v>46034</v>
      </c>
      <c r="M363" s="11" t="n">
        <v>46072</v>
      </c>
      <c r="N363" s="5" t="inlineStr">
        <is>
          <t>Approved</t>
        </is>
      </c>
      <c r="O363" s="5" t="inlineStr">
        <is>
          <t>Country</t>
        </is>
      </c>
      <c r="P363" s="5" t="inlineStr">
        <is>
          <t>Czech Republic</t>
        </is>
      </c>
      <c r="Q363" s="13" t="inlineStr"/>
      <c r="R363" s="5" t="inlineStr">
        <is>
          <t>Marketa Zachova</t>
        </is>
      </c>
      <c r="S363" s="8" t="n">
        <v>46072.8075462963</v>
      </c>
    </row>
    <row r="364" ht="29" customHeight="1">
      <c r="A364" s="15">
        <f>HYPERLINK("https://vtmf.veevavault.com/ui/#doc_info/31022712/1/0", "VTMF-25007655")</f>
        <v/>
      </c>
      <c r="B364" s="19" t="inlineStr">
        <is>
          <t>No</t>
        </is>
      </c>
      <c r="C364" s="5" t="inlineStr">
        <is>
          <t>1.0</t>
        </is>
      </c>
      <c r="D364" s="5" t="inlineStr">
        <is>
          <t>GCO</t>
        </is>
      </c>
      <c r="E364" s="5" t="inlineStr">
        <is>
          <t>42847922MDD3003</t>
        </is>
      </c>
      <c r="F364" s="16">
        <f>HYPERLINK("https://vtmf.veevavault.com/ui/#doc_info/31022712/1/0", "42847922MDD3003-CZE--Insurance (v1.0)")</f>
        <v/>
      </c>
      <c r="G364" s="5" t="inlineStr">
        <is>
          <t>Central Trial Documents</t>
        </is>
      </c>
      <c r="H364" s="5" t="inlineStr">
        <is>
          <t>Trial Documents</t>
        </is>
      </c>
      <c r="I364" s="5" t="inlineStr">
        <is>
          <t>Insurance</t>
        </is>
      </c>
      <c r="J364" s="5" t="inlineStr">
        <is>
          <t>O1_Insurance policy liability_CZ_cze_2023-509070-36_12JAN2026_3</t>
        </is>
      </c>
      <c r="K364" s="6" t="n">
        <v>38</v>
      </c>
      <c r="L364" s="7" t="n">
        <v>46034</v>
      </c>
      <c r="M364" s="11" t="n">
        <v>46072</v>
      </c>
      <c r="N364" s="5" t="inlineStr">
        <is>
          <t>Approved</t>
        </is>
      </c>
      <c r="O364" s="5" t="inlineStr">
        <is>
          <t>Country</t>
        </is>
      </c>
      <c r="P364" s="5" t="inlineStr">
        <is>
          <t>Czech Republic</t>
        </is>
      </c>
      <c r="Q364" s="13" t="inlineStr"/>
      <c r="R364" s="5" t="inlineStr">
        <is>
          <t>Marketa Zachova</t>
        </is>
      </c>
      <c r="S364" s="8" t="n">
        <v>46072.8090162037</v>
      </c>
    </row>
    <row r="365" ht="29" customHeight="1">
      <c r="A365" s="15">
        <f>HYPERLINK("https://vtmf.veevavault.com/ui/#doc_info/31022718/1/0", "VTMF-25007664")</f>
        <v/>
      </c>
      <c r="B365" s="19" t="inlineStr">
        <is>
          <t>No</t>
        </is>
      </c>
      <c r="C365" s="5" t="inlineStr">
        <is>
          <t>1.0</t>
        </is>
      </c>
      <c r="D365" s="5" t="inlineStr">
        <is>
          <t>GCO</t>
        </is>
      </c>
      <c r="E365" s="5" t="inlineStr">
        <is>
          <t>42847922MDD3003</t>
        </is>
      </c>
      <c r="F365" s="16">
        <f>HYPERLINK("https://vtmf.veevavault.com/ui/#doc_info/31022718/1/0", "42847922MDD3003-CZE--Insurance (v1.0)")</f>
        <v/>
      </c>
      <c r="G365" s="5" t="inlineStr">
        <is>
          <t>Central Trial Documents</t>
        </is>
      </c>
      <c r="H365" s="5" t="inlineStr">
        <is>
          <t>Trial Documents</t>
        </is>
      </c>
      <c r="I365" s="5" t="inlineStr">
        <is>
          <t>Insurance</t>
        </is>
      </c>
      <c r="J365" s="5" t="inlineStr">
        <is>
          <t>O1_Declaration of insurance renewal_CZ_eng_2023-509070-36_11JAN2026_3</t>
        </is>
      </c>
      <c r="K365" s="6" t="n">
        <v>39</v>
      </c>
      <c r="L365" s="7" t="n">
        <v>46033</v>
      </c>
      <c r="M365" s="11" t="n">
        <v>46072</v>
      </c>
      <c r="N365" s="5" t="inlineStr">
        <is>
          <t>Approved</t>
        </is>
      </c>
      <c r="O365" s="5" t="inlineStr">
        <is>
          <t>Country</t>
        </is>
      </c>
      <c r="P365" s="5" t="inlineStr">
        <is>
          <t>Czech Republic</t>
        </is>
      </c>
      <c r="Q365" s="13" t="inlineStr"/>
      <c r="R365" s="5" t="inlineStr">
        <is>
          <t>Marketa Zachova</t>
        </is>
      </c>
      <c r="S365" s="8" t="n">
        <v>46072.81076388889</v>
      </c>
    </row>
    <row r="366" ht="29" customHeight="1">
      <c r="A366" s="15">
        <f>HYPERLINK("https://vtmf.veevavault.com/ui/#doc_info/31022723/1/0", "VTMF-25007674")</f>
        <v/>
      </c>
      <c r="B366" s="19" t="inlineStr">
        <is>
          <t>No</t>
        </is>
      </c>
      <c r="C366" s="5" t="inlineStr">
        <is>
          <t>1.0</t>
        </is>
      </c>
      <c r="D366" s="5" t="inlineStr">
        <is>
          <t>GCO</t>
        </is>
      </c>
      <c r="E366" s="5" t="inlineStr">
        <is>
          <t>42847922MDD3003</t>
        </is>
      </c>
      <c r="F366" s="16">
        <f>HYPERLINK("https://vtmf.veevavault.com/ui/#doc_info/31022723/1/0", "42847922MDD3003-CZE--Insurance (v1.0)")</f>
        <v/>
      </c>
      <c r="G366" s="5" t="inlineStr">
        <is>
          <t>Central Trial Documents</t>
        </is>
      </c>
      <c r="H366" s="5" t="inlineStr">
        <is>
          <t>Trial Documents</t>
        </is>
      </c>
      <c r="I366" s="5" t="inlineStr">
        <is>
          <t>Insurance</t>
        </is>
      </c>
      <c r="J366" s="5" t="inlineStr">
        <is>
          <t>O1_Insurance coverage_CZ_cze_2023-509070-36_13JAN2026_2</t>
        </is>
      </c>
      <c r="K366" s="6" t="n">
        <v>37</v>
      </c>
      <c r="L366" s="7" t="n">
        <v>46035</v>
      </c>
      <c r="M366" s="11" t="n">
        <v>46072</v>
      </c>
      <c r="N366" s="5" t="inlineStr">
        <is>
          <t>Approved</t>
        </is>
      </c>
      <c r="O366" s="5" t="inlineStr">
        <is>
          <t>Country</t>
        </is>
      </c>
      <c r="P366" s="5" t="inlineStr">
        <is>
          <t>Czech Republic</t>
        </is>
      </c>
      <c r="Q366" s="13" t="inlineStr"/>
      <c r="R366" s="5" t="inlineStr">
        <is>
          <t>Marketa Zachova</t>
        </is>
      </c>
      <c r="S366" s="8" t="n">
        <v>46072.8121875</v>
      </c>
    </row>
    <row r="367" hidden="1">
      <c r="A367" s="15">
        <f>HYPERLINK("https://vtmf.veevavault.com/ui/#doc_info/31023096/1/0", "VTMF-25008116")</f>
        <v/>
      </c>
      <c r="B367" s="20" t="inlineStr">
        <is>
          <t>Yes</t>
        </is>
      </c>
      <c r="C367" s="5" t="inlineStr">
        <is>
          <t>1.0</t>
        </is>
      </c>
      <c r="D367" s="5" t="inlineStr">
        <is>
          <t>GCO</t>
        </is>
      </c>
      <c r="E367" s="5" t="inlineStr">
        <is>
          <t>42847922MDD3003</t>
        </is>
      </c>
      <c r="F367" s="16">
        <f>HYPERLINK("https://vtmf.veevavault.com/ui/#doc_info/31023096/1/0", "42847922MDD3003-ARG--Import IP License-19 Jan 2026 (v1.0)")</f>
        <v/>
      </c>
      <c r="G367" s="5" t="inlineStr">
        <is>
          <t>Regulatory</t>
        </is>
      </c>
      <c r="H367" s="5" t="inlineStr">
        <is>
          <t>Investigational Medicinal Product</t>
        </is>
      </c>
      <c r="I367" s="5" t="inlineStr">
        <is>
          <t>Import IP License</t>
        </is>
      </c>
      <c r="J367" s="5" t="inlineStr">
        <is>
          <t>Import license IP_101742_19jan2026</t>
        </is>
      </c>
      <c r="K367" s="6" t="n">
        <v>31</v>
      </c>
      <c r="L367" s="7" t="n">
        <v>46041</v>
      </c>
      <c r="M367" s="11" t="n">
        <v>46072</v>
      </c>
      <c r="N367" s="5" t="inlineStr">
        <is>
          <t>Approved</t>
        </is>
      </c>
      <c r="O367" s="5" t="inlineStr">
        <is>
          <t>Country</t>
        </is>
      </c>
      <c r="P367" s="5" t="inlineStr">
        <is>
          <t>Argentina</t>
        </is>
      </c>
      <c r="Q367" s="13" t="inlineStr"/>
      <c r="R367" s="5" t="inlineStr">
        <is>
          <t>Paula Missart</t>
        </is>
      </c>
      <c r="S367" s="8" t="n">
        <v>46072.87133101852</v>
      </c>
    </row>
    <row r="368" hidden="1" ht="29" customHeight="1">
      <c r="A368" s="15">
        <f>HYPERLINK("https://vtmf.veevavault.com/ui/#doc_info/31023886/1/0", "VTMF-25008770")</f>
        <v/>
      </c>
      <c r="B368" s="20" t="inlineStr">
        <is>
          <t>Yes</t>
        </is>
      </c>
      <c r="C368" s="5" t="inlineStr">
        <is>
          <t>1.0</t>
        </is>
      </c>
      <c r="D368" s="5" t="inlineStr">
        <is>
          <t>GCO</t>
        </is>
      </c>
      <c r="E368" s="5" t="inlineStr">
        <is>
          <t>42847922MDD3003</t>
        </is>
      </c>
      <c r="F368" s="16">
        <f>HYPERLINK("https://vtmf.veevavault.com/ui/#doc_info/31023886/1/0", "42847922MDD3003-ESP-S10-ES10003-Relevant Communications-12 May 2025 (v1.0)")</f>
        <v/>
      </c>
      <c r="G368" s="5" t="inlineStr">
        <is>
          <t>Site Management</t>
        </is>
      </c>
      <c r="H368" s="5" t="inlineStr">
        <is>
          <t>General</t>
        </is>
      </c>
      <c r="I368" s="5" t="inlineStr">
        <is>
          <t>Relevant Communications</t>
        </is>
      </c>
      <c r="J368" s="5" t="inlineStr">
        <is>
          <t>Eligibility Approval needed for patient ES100030004</t>
        </is>
      </c>
      <c r="K368" s="6" t="n">
        <v>283</v>
      </c>
      <c r="L368" s="7" t="n">
        <v>45789</v>
      </c>
      <c r="M368" s="11" t="n">
        <v>46072</v>
      </c>
      <c r="N368" s="5" t="inlineStr">
        <is>
          <t>Approved</t>
        </is>
      </c>
      <c r="O368" s="5" t="inlineStr">
        <is>
          <t>Site</t>
        </is>
      </c>
      <c r="P368" s="5" t="inlineStr">
        <is>
          <t>Spain</t>
        </is>
      </c>
      <c r="Q368" s="13" t="inlineStr">
        <is>
          <t>S10-ES10003</t>
        </is>
      </c>
      <c r="R368" s="5" t="inlineStr">
        <is>
          <t>Debhora Garcia</t>
        </is>
      </c>
      <c r="S368" s="8" t="n">
        <v>46072.98947916667</v>
      </c>
    </row>
    <row r="369" hidden="1" ht="29" customHeight="1">
      <c r="A369" s="15">
        <f>HYPERLINK("https://vtmf.veevavault.com/ui/#doc_info/31023891/1/0", "VTMF-25008776")</f>
        <v/>
      </c>
      <c r="B369" s="20" t="inlineStr">
        <is>
          <t>Yes</t>
        </is>
      </c>
      <c r="C369" s="5" t="inlineStr">
        <is>
          <t>1.0</t>
        </is>
      </c>
      <c r="D369" s="5" t="inlineStr">
        <is>
          <t>GCO</t>
        </is>
      </c>
      <c r="E369" s="5" t="inlineStr">
        <is>
          <t>42847922MDD3003</t>
        </is>
      </c>
      <c r="F369" s="16">
        <f>HYPERLINK("https://vtmf.veevavault.com/ui/#doc_info/31023891/1/0", "42847922MDD3003-ESP-S10-ES10002-Relevant Communications-13 Jun 2025 (v1.0)")</f>
        <v/>
      </c>
      <c r="G369" s="5" t="inlineStr">
        <is>
          <t>Site Management</t>
        </is>
      </c>
      <c r="H369" s="5" t="inlineStr">
        <is>
          <t>General</t>
        </is>
      </c>
      <c r="I369" s="5" t="inlineStr">
        <is>
          <t>Relevant Communications</t>
        </is>
      </c>
      <c r="J369" s="5" t="inlineStr">
        <is>
          <t>Eligibility Approval needed for patient ES100020001</t>
        </is>
      </c>
      <c r="K369" s="6" t="n">
        <v>251</v>
      </c>
      <c r="L369" s="7" t="n">
        <v>45821</v>
      </c>
      <c r="M369" s="11" t="n">
        <v>46072</v>
      </c>
      <c r="N369" s="5" t="inlineStr">
        <is>
          <t>Approved</t>
        </is>
      </c>
      <c r="O369" s="5" t="inlineStr">
        <is>
          <t>Site</t>
        </is>
      </c>
      <c r="P369" s="5" t="inlineStr">
        <is>
          <t>Spain</t>
        </is>
      </c>
      <c r="Q369" s="13" t="inlineStr">
        <is>
          <t>S10-ES10002</t>
        </is>
      </c>
      <c r="R369" s="5" t="inlineStr">
        <is>
          <t>Debhora Garcia</t>
        </is>
      </c>
      <c r="S369" s="8" t="n">
        <v>46072.99134259259</v>
      </c>
    </row>
    <row r="370" hidden="1" ht="29" customHeight="1">
      <c r="A370" s="15">
        <f>HYPERLINK("https://vtmf.veevavault.com/ui/#doc_info/31023914/1/0", "VTMF-25008780")</f>
        <v/>
      </c>
      <c r="B370" s="20" t="inlineStr">
        <is>
          <t>Yes</t>
        </is>
      </c>
      <c r="C370" s="5" t="inlineStr">
        <is>
          <t>1.0</t>
        </is>
      </c>
      <c r="D370" s="5" t="inlineStr">
        <is>
          <t>GCO</t>
        </is>
      </c>
      <c r="E370" s="5" t="inlineStr">
        <is>
          <t>42847922MDD3003</t>
        </is>
      </c>
      <c r="F370" s="16">
        <f>HYPERLINK("https://vtmf.veevavault.com/ui/#doc_info/31023914/1/0", "42847922MDD3003-POL-S10-PL10019-Relevant Communications-31 Jul 2025 (v1.0)")</f>
        <v/>
      </c>
      <c r="G370" s="5" t="inlineStr">
        <is>
          <t>Site Management</t>
        </is>
      </c>
      <c r="H370" s="5" t="inlineStr">
        <is>
          <t>General</t>
        </is>
      </c>
      <c r="I370" s="5" t="inlineStr">
        <is>
          <t>Relevant Communications</t>
        </is>
      </c>
      <c r="J370" s="5" t="inlineStr">
        <is>
          <t>PI_ Dr_ Barbara Janczewska_Site_ PL10019(Poland)_Subject ID_ PL100190003_Visit_VI</t>
        </is>
      </c>
      <c r="K370" s="6" t="n">
        <v>203</v>
      </c>
      <c r="L370" s="7" t="n">
        <v>45869</v>
      </c>
      <c r="M370" s="11" t="n">
        <v>46072</v>
      </c>
      <c r="N370" s="5" t="inlineStr">
        <is>
          <t>Approved</t>
        </is>
      </c>
      <c r="O370" s="5" t="inlineStr">
        <is>
          <t>Site</t>
        </is>
      </c>
      <c r="P370" s="5" t="inlineStr">
        <is>
          <t>Poland</t>
        </is>
      </c>
      <c r="Q370" s="13" t="inlineStr">
        <is>
          <t>S10-PL10019</t>
        </is>
      </c>
      <c r="R370" s="5" t="inlineStr">
        <is>
          <t>Debhora Garcia</t>
        </is>
      </c>
      <c r="S370" s="8" t="n">
        <v>46072.99422453704</v>
      </c>
    </row>
    <row r="371" hidden="1" ht="43.5" customHeight="1">
      <c r="A371" s="15">
        <f>HYPERLINK("https://vtmf.veevavault.com/ui/#doc_info/31023916/1/0", "VTMF-25008782")</f>
        <v/>
      </c>
      <c r="B371" s="20" t="inlineStr">
        <is>
          <t>Yes</t>
        </is>
      </c>
      <c r="C371" s="5" t="inlineStr">
        <is>
          <t>1.0</t>
        </is>
      </c>
      <c r="D371" s="5" t="inlineStr">
        <is>
          <t>GCO</t>
        </is>
      </c>
      <c r="E371" s="5" t="inlineStr">
        <is>
          <t>42847922MDD3003</t>
        </is>
      </c>
      <c r="F371" s="16">
        <f>HYPERLINK("https://vtmf.veevavault.com/ui/#doc_info/31023916/1/0", "42847922MDD3003-ARG-S10-AR10014-Relevant Communications-27 May 2025 (v1.0)")</f>
        <v/>
      </c>
      <c r="G371" s="5" t="inlineStr">
        <is>
          <t>Site Management</t>
        </is>
      </c>
      <c r="H371" s="5" t="inlineStr">
        <is>
          <t>General</t>
        </is>
      </c>
      <c r="I371" s="5" t="inlineStr">
        <is>
          <t>Relevant Communications</t>
        </is>
      </c>
      <c r="J371" s="5" t="inlineStr">
        <is>
          <t>Site S10-AR10014_PI_Buteler_ - SUBJECT AR100140010_ Screening Period Extension _APPROVED</t>
        </is>
      </c>
      <c r="K371" s="6" t="n">
        <v>268</v>
      </c>
      <c r="L371" s="7" t="n">
        <v>45804</v>
      </c>
      <c r="M371" s="11" t="n">
        <v>46072</v>
      </c>
      <c r="N371" s="5" t="inlineStr">
        <is>
          <t>Approved</t>
        </is>
      </c>
      <c r="O371" s="5" t="inlineStr">
        <is>
          <t>Site</t>
        </is>
      </c>
      <c r="P371" s="5" t="inlineStr">
        <is>
          <t>Argentina</t>
        </is>
      </c>
      <c r="Q371" s="13" t="inlineStr">
        <is>
          <t>S10-AR10014</t>
        </is>
      </c>
      <c r="R371" s="5" t="inlineStr">
        <is>
          <t>Debhora Garcia</t>
        </is>
      </c>
      <c r="S371" s="8" t="n">
        <v>46072.99548611111</v>
      </c>
    </row>
    <row r="372" hidden="1" ht="29" customHeight="1">
      <c r="A372" s="15">
        <f>HYPERLINK("https://vtmf.veevavault.com/ui/#doc_info/31033386/1/0", "VTMF-25017192")</f>
        <v/>
      </c>
      <c r="B372" s="20" t="inlineStr">
        <is>
          <t>Yes</t>
        </is>
      </c>
      <c r="C372" s="5" t="inlineStr">
        <is>
          <t>1.0</t>
        </is>
      </c>
      <c r="D372" s="5" t="inlineStr">
        <is>
          <t>GCO</t>
        </is>
      </c>
      <c r="E372" s="5" t="inlineStr">
        <is>
          <t>42847922MDD3003</t>
        </is>
      </c>
      <c r="F372" s="16">
        <f>HYPERLINK("https://vtmf.veevavault.com/ui/#doc_info/31033386/1/0", "42847922MDD3003-BRA-S10-BR10002-File Note-07 Oct 2025 (v1.0)")</f>
        <v/>
      </c>
      <c r="G372" s="5" t="inlineStr">
        <is>
          <t>Third Parties</t>
        </is>
      </c>
      <c r="H372" s="5" t="inlineStr">
        <is>
          <t>General</t>
        </is>
      </c>
      <c r="I372" s="5" t="inlineStr">
        <is>
          <t>File Note</t>
        </is>
      </c>
      <c r="J372" s="5" t="inlineStr">
        <is>
          <t>CTNI Subject BR100020025 NTF Discrepancy in rating results</t>
        </is>
      </c>
      <c r="K372" s="6" t="n">
        <v>136</v>
      </c>
      <c r="L372" s="7" t="n">
        <v>45937</v>
      </c>
      <c r="M372" s="11" t="n">
        <v>46073</v>
      </c>
      <c r="N372" s="5" t="inlineStr">
        <is>
          <t>Approved</t>
        </is>
      </c>
      <c r="O372" s="5" t="inlineStr">
        <is>
          <t>Site</t>
        </is>
      </c>
      <c r="P372" s="5" t="inlineStr">
        <is>
          <t>Brazil</t>
        </is>
      </c>
      <c r="Q372" s="13" t="inlineStr">
        <is>
          <t>S10-BR10002</t>
        </is>
      </c>
      <c r="R372" s="5" t="inlineStr">
        <is>
          <t>Gina Stefanelli</t>
        </is>
      </c>
      <c r="S372" s="8" t="n">
        <v>46073.81752314815</v>
      </c>
    </row>
    <row r="373" hidden="1" ht="29" customHeight="1">
      <c r="A373" s="15">
        <f>HYPERLINK("https://vtmf.veevavault.com/ui/#doc_info/31033503/1/0", "VTMF-25017220")</f>
        <v/>
      </c>
      <c r="B373" s="20" t="inlineStr">
        <is>
          <t>Yes</t>
        </is>
      </c>
      <c r="C373" s="5" t="inlineStr">
        <is>
          <t>1.0</t>
        </is>
      </c>
      <c r="D373" s="5" t="inlineStr">
        <is>
          <t>GCO</t>
        </is>
      </c>
      <c r="E373" s="5" t="inlineStr">
        <is>
          <t>42847922MDD3003</t>
        </is>
      </c>
      <c r="F373" s="16">
        <f>HYPERLINK("https://vtmf.veevavault.com/ui/#doc_info/31033503/1/0", "42847922MDD3003-USA-S10-US10067-File Note-23 Dec 2025 (v1.0)")</f>
        <v/>
      </c>
      <c r="G373" s="5" t="inlineStr">
        <is>
          <t>Third Parties</t>
        </is>
      </c>
      <c r="H373" s="5" t="inlineStr">
        <is>
          <t>General</t>
        </is>
      </c>
      <c r="I373" s="5" t="inlineStr">
        <is>
          <t>File Note</t>
        </is>
      </c>
      <c r="J373" s="5" t="inlineStr">
        <is>
          <t>CTNI Subject US100670008 42847922MDD3003 NTF Discrepancy in rating results</t>
        </is>
      </c>
      <c r="K373" s="6" t="n">
        <v>59</v>
      </c>
      <c r="L373" s="7" t="n">
        <v>46014</v>
      </c>
      <c r="M373" s="11" t="n">
        <v>46073</v>
      </c>
      <c r="N373" s="5" t="inlineStr">
        <is>
          <t>Approved</t>
        </is>
      </c>
      <c r="O373" s="5" t="inlineStr">
        <is>
          <t>Site</t>
        </is>
      </c>
      <c r="P373" s="5" t="inlineStr">
        <is>
          <t>United States</t>
        </is>
      </c>
      <c r="Q373" s="13" t="inlineStr">
        <is>
          <t>S10-US10067</t>
        </is>
      </c>
      <c r="R373" s="5" t="inlineStr">
        <is>
          <t>Gina Stefanelli</t>
        </is>
      </c>
      <c r="S373" s="8" t="n">
        <v>46073.82164351852</v>
      </c>
    </row>
    <row r="374" hidden="1">
      <c r="A374" s="15">
        <f>HYPERLINK("https://vtmf.veevavault.com/ui/#doc_info/31033510/1/0", "VTMF-25017257")</f>
        <v/>
      </c>
      <c r="B374" s="20" t="inlineStr">
        <is>
          <t>Yes</t>
        </is>
      </c>
      <c r="C374" s="5" t="inlineStr">
        <is>
          <t>1.0</t>
        </is>
      </c>
      <c r="D374" s="5" t="inlineStr">
        <is>
          <t>GCO</t>
        </is>
      </c>
      <c r="E374" s="5" t="inlineStr">
        <is>
          <t>42847922MDD3003</t>
        </is>
      </c>
      <c r="F374" s="16">
        <f>HYPERLINK("https://vtmf.veevavault.com/ui/#doc_info/31033510/1/0", "42847922MDD3003-USA-S10-US10119-File Note-04 Dec 2025 (v1.0)")</f>
        <v/>
      </c>
      <c r="G374" s="5" t="inlineStr">
        <is>
          <t>Third Parties</t>
        </is>
      </c>
      <c r="H374" s="5" t="inlineStr">
        <is>
          <t>General</t>
        </is>
      </c>
      <c r="I374" s="5" t="inlineStr">
        <is>
          <t>File Note</t>
        </is>
      </c>
      <c r="J374" s="5" t="inlineStr">
        <is>
          <t>CTNI Subject US101190008 NTF (Follow-Up Call)</t>
        </is>
      </c>
      <c r="K374" s="6" t="n">
        <v>78</v>
      </c>
      <c r="L374" s="7" t="n">
        <v>45995</v>
      </c>
      <c r="M374" s="11" t="n">
        <v>46073</v>
      </c>
      <c r="N374" s="5" t="inlineStr">
        <is>
          <t>Approved</t>
        </is>
      </c>
      <c r="O374" s="5" t="inlineStr">
        <is>
          <t>Site</t>
        </is>
      </c>
      <c r="P374" s="5" t="inlineStr">
        <is>
          <t>United States</t>
        </is>
      </c>
      <c r="Q374" s="13" t="inlineStr">
        <is>
          <t>S10-US10119</t>
        </is>
      </c>
      <c r="R374" s="5" t="inlineStr">
        <is>
          <t>Gina Stefanelli</t>
        </is>
      </c>
      <c r="S374" s="8" t="n">
        <v>46073.8247337963</v>
      </c>
    </row>
    <row r="375" hidden="1" ht="29" customHeight="1">
      <c r="A375" s="15">
        <f>HYPERLINK("https://vtmf.veevavault.com/ui/#doc_info/31033589/1/0", "VTMF-25017384")</f>
        <v/>
      </c>
      <c r="B375" s="19" t="inlineStr">
        <is>
          <t>No</t>
        </is>
      </c>
      <c r="C375" s="5" t="inlineStr">
        <is>
          <t>1.0</t>
        </is>
      </c>
      <c r="D375" s="5" t="inlineStr">
        <is>
          <t>GCO</t>
        </is>
      </c>
      <c r="E375" s="5" t="inlineStr">
        <is>
          <t>42847922MDD3003</t>
        </is>
      </c>
      <c r="F375" s="16">
        <f>HYPERLINK("https://vtmf.veevavault.com/ui/#doc_info/31033589/1/0", "42847922MDD3003-COL-S10-CO10002-Non-IP Shipment Documentation-20 Feb 2026 (v1.0)")</f>
        <v/>
      </c>
      <c r="G375" s="5" t="inlineStr">
        <is>
          <t>IP and Trial Supplies</t>
        </is>
      </c>
      <c r="H375" s="5" t="inlineStr">
        <is>
          <t>Non-IP Documentation</t>
        </is>
      </c>
      <c r="I375" s="5" t="inlineStr">
        <is>
          <t>Non-IP Shipment Documentation</t>
        </is>
      </c>
      <c r="J375" s="5" t="inlineStr">
        <is>
          <t>Non-IP Shipment documentation_CIRP tablet_20 Feb 206</t>
        </is>
      </c>
      <c r="K375" s="6" t="n">
        <v>39</v>
      </c>
      <c r="L375" s="7" t="n">
        <v>46073</v>
      </c>
      <c r="M375" s="11" t="n">
        <v>46112</v>
      </c>
      <c r="N375" s="5" t="inlineStr">
        <is>
          <t>Approved</t>
        </is>
      </c>
      <c r="O375" s="5" t="inlineStr">
        <is>
          <t>Site</t>
        </is>
      </c>
      <c r="P375" s="5" t="inlineStr">
        <is>
          <t>Colombia</t>
        </is>
      </c>
      <c r="Q375" s="13" t="inlineStr">
        <is>
          <t>S10-CO10002</t>
        </is>
      </c>
      <c r="R375" s="5" t="inlineStr">
        <is>
          <t>Laura Sabrina Hidalgo Pino (VeevaID)</t>
        </is>
      </c>
      <c r="S375" s="8" t="n">
        <v>46073.8421875</v>
      </c>
    </row>
    <row r="376" hidden="1" ht="29" customHeight="1">
      <c r="A376" s="15">
        <f>HYPERLINK("https://vtmf.veevavault.com/ui/#doc_info/31033838/1/0", "VTMF-25017487")</f>
        <v/>
      </c>
      <c r="B376" s="20" t="inlineStr">
        <is>
          <t>Yes</t>
        </is>
      </c>
      <c r="C376" s="5" t="inlineStr">
        <is>
          <t>1.0</t>
        </is>
      </c>
      <c r="D376" s="5" t="inlineStr">
        <is>
          <t>GCO</t>
        </is>
      </c>
      <c r="E376" s="5" t="inlineStr">
        <is>
          <t>42847922MDD3003</t>
        </is>
      </c>
      <c r="F376" s="16">
        <f>HYPERLINK("https://vtmf.veevavault.com/ui/#doc_info/31033838/1/0", "42847922MDD3003-ARG-S10-AR10015-Relevant Communications-15 Apr 2025 (v1.0)")</f>
        <v/>
      </c>
      <c r="G376" s="5" t="inlineStr">
        <is>
          <t>Site Management</t>
        </is>
      </c>
      <c r="H376" s="5" t="inlineStr">
        <is>
          <t>General</t>
        </is>
      </c>
      <c r="I376" s="5" t="inlineStr">
        <is>
          <t>Relevant Communications</t>
        </is>
      </c>
      <c r="J376" s="5" t="inlineStr">
        <is>
          <t>Screening Period Extension Request – Subject AR100150006_Approved</t>
        </is>
      </c>
      <c r="K376" s="6" t="n">
        <v>311</v>
      </c>
      <c r="L376" s="7" t="n">
        <v>45762</v>
      </c>
      <c r="M376" s="11" t="n">
        <v>46073</v>
      </c>
      <c r="N376" s="5" t="inlineStr">
        <is>
          <t>Approved</t>
        </is>
      </c>
      <c r="O376" s="5" t="inlineStr">
        <is>
          <t>Site</t>
        </is>
      </c>
      <c r="P376" s="5" t="inlineStr">
        <is>
          <t>Argentina</t>
        </is>
      </c>
      <c r="Q376" s="13" t="inlineStr">
        <is>
          <t>S10-AR10015</t>
        </is>
      </c>
      <c r="R376" s="5" t="inlineStr">
        <is>
          <t>Debhora Garcia</t>
        </is>
      </c>
      <c r="S376" s="8" t="n">
        <v>46073.85791666667</v>
      </c>
    </row>
    <row r="377" hidden="1" ht="29" customHeight="1">
      <c r="A377" s="15">
        <f>HYPERLINK("https://vtmf.veevavault.com/ui/#doc_info/31033873/1/0", "VTMF-25017556")</f>
        <v/>
      </c>
      <c r="B377" s="20" t="inlineStr">
        <is>
          <t>Yes</t>
        </is>
      </c>
      <c r="C377" s="5" t="inlineStr">
        <is>
          <t>1.0</t>
        </is>
      </c>
      <c r="D377" s="5" t="inlineStr">
        <is>
          <t>GCO</t>
        </is>
      </c>
      <c r="E377" s="5" t="inlineStr">
        <is>
          <t>42847922MDD3003</t>
        </is>
      </c>
      <c r="F377" s="16">
        <f>HYPERLINK("https://vtmf.veevavault.com/ui/#doc_info/31033873/1/0", "42847922MDD3003-USA-S10-US10190-File Note-16 Oct 2025 (v1.0)")</f>
        <v/>
      </c>
      <c r="G377" s="5" t="inlineStr">
        <is>
          <t>Third Parties</t>
        </is>
      </c>
      <c r="H377" s="5" t="inlineStr">
        <is>
          <t>General</t>
        </is>
      </c>
      <c r="I377" s="5" t="inlineStr">
        <is>
          <t>File Note</t>
        </is>
      </c>
      <c r="J377" s="5" t="inlineStr">
        <is>
          <t>CTNI Subject US101900005  NtF Discrepancy in rating results</t>
        </is>
      </c>
      <c r="K377" s="6" t="n">
        <v>127</v>
      </c>
      <c r="L377" s="7" t="n">
        <v>45946</v>
      </c>
      <c r="M377" s="11" t="n">
        <v>46073</v>
      </c>
      <c r="N377" s="5" t="inlineStr">
        <is>
          <t>Approved</t>
        </is>
      </c>
      <c r="O377" s="5" t="inlineStr">
        <is>
          <t>Site</t>
        </is>
      </c>
      <c r="P377" s="5" t="inlineStr">
        <is>
          <t>United States</t>
        </is>
      </c>
      <c r="Q377" s="13" t="inlineStr">
        <is>
          <t>S10-US10190</t>
        </is>
      </c>
      <c r="R377" s="5" t="inlineStr">
        <is>
          <t>Gina Stefanelli</t>
        </is>
      </c>
      <c r="S377" s="8" t="n">
        <v>46073.86601851852</v>
      </c>
    </row>
    <row r="378" hidden="1" ht="29" customHeight="1">
      <c r="A378" s="15">
        <f>HYPERLINK("https://vtmf.veevavault.com/ui/#doc_info/31033879/1/0", "VTMF-25017568")</f>
        <v/>
      </c>
      <c r="B378" s="20" t="inlineStr">
        <is>
          <t>Yes</t>
        </is>
      </c>
      <c r="C378" s="5" t="inlineStr">
        <is>
          <t>1.0</t>
        </is>
      </c>
      <c r="D378" s="5" t="inlineStr">
        <is>
          <t>GCO</t>
        </is>
      </c>
      <c r="E378" s="5" t="inlineStr">
        <is>
          <t>42847922MDD3003</t>
        </is>
      </c>
      <c r="F378" s="16">
        <f>HYPERLINK("https://vtmf.veevavault.com/ui/#doc_info/31033879/1/0", "42847922MDD3003-USA-S10-US10252-File Note-10 Oct 2025 (v1.0)")</f>
        <v/>
      </c>
      <c r="G378" s="5" t="inlineStr">
        <is>
          <t>Third Parties</t>
        </is>
      </c>
      <c r="H378" s="5" t="inlineStr">
        <is>
          <t>General</t>
        </is>
      </c>
      <c r="I378" s="5" t="inlineStr">
        <is>
          <t>File Note</t>
        </is>
      </c>
      <c r="J378" s="5" t="inlineStr">
        <is>
          <t>CTNI Subject US102520004  NTF Discrepancy in rating results</t>
        </is>
      </c>
      <c r="K378" s="6" t="n">
        <v>133</v>
      </c>
      <c r="L378" s="7" t="n">
        <v>45940</v>
      </c>
      <c r="M378" s="11" t="n">
        <v>46073</v>
      </c>
      <c r="N378" s="5" t="inlineStr">
        <is>
          <t>Approved</t>
        </is>
      </c>
      <c r="O378" s="5" t="inlineStr">
        <is>
          <t>Site</t>
        </is>
      </c>
      <c r="P378" s="5" t="inlineStr">
        <is>
          <t>United States</t>
        </is>
      </c>
      <c r="Q378" s="13" t="inlineStr">
        <is>
          <t>S10-US10252</t>
        </is>
      </c>
      <c r="R378" s="5" t="inlineStr">
        <is>
          <t>Gina Stefanelli</t>
        </is>
      </c>
      <c r="S378" s="8" t="n">
        <v>46073.86783564815</v>
      </c>
    </row>
    <row r="379" hidden="1">
      <c r="A379" s="15">
        <f>HYPERLINK("https://vtmf.veevavault.com/ui/#doc_info/31034170/1/0", "VTMF-25017829")</f>
        <v/>
      </c>
      <c r="B379" s="20" t="inlineStr">
        <is>
          <t>Yes</t>
        </is>
      </c>
      <c r="C379" s="5" t="inlineStr">
        <is>
          <t>1.0</t>
        </is>
      </c>
      <c r="D379" s="5" t="inlineStr">
        <is>
          <t>GCO</t>
        </is>
      </c>
      <c r="E379" s="5" t="inlineStr">
        <is>
          <t>42847922MDD3003</t>
        </is>
      </c>
      <c r="F379" s="16">
        <f>HYPERLINK("https://vtmf.veevavault.com/ui/#doc_info/31034170/1/0", "42847922MDD3003-USA-S10-US10148-File Note-17 Dec 2025 (v1.0)")</f>
        <v/>
      </c>
      <c r="G379" s="5" t="inlineStr">
        <is>
          <t>Site Management</t>
        </is>
      </c>
      <c r="H379" s="5" t="inlineStr">
        <is>
          <t>General</t>
        </is>
      </c>
      <c r="I379" s="5" t="inlineStr">
        <is>
          <t>File Note</t>
        </is>
      </c>
      <c r="J379" s="5" t="inlineStr">
        <is>
          <t>NTF US101480012 Informed Consent</t>
        </is>
      </c>
      <c r="K379" s="6" t="n">
        <v>65</v>
      </c>
      <c r="L379" s="7" t="n">
        <v>46008</v>
      </c>
      <c r="M379" s="11" t="n">
        <v>46073</v>
      </c>
      <c r="N379" s="5" t="inlineStr">
        <is>
          <t>Approved</t>
        </is>
      </c>
      <c r="O379" s="5" t="inlineStr">
        <is>
          <t>Site</t>
        </is>
      </c>
      <c r="P379" s="5" t="inlineStr">
        <is>
          <t>United States</t>
        </is>
      </c>
      <c r="Q379" s="13" t="inlineStr">
        <is>
          <t>S10-US10148</t>
        </is>
      </c>
      <c r="R379" s="5" t="inlineStr">
        <is>
          <t>Najalynn Chandler</t>
        </is>
      </c>
      <c r="S379" s="8" t="n">
        <v>46073.90480324074</v>
      </c>
    </row>
    <row r="380" hidden="1" ht="29" customHeight="1">
      <c r="A380" s="15">
        <f>HYPERLINK("https://vtmf.veevavault.com/ui/#doc_info/31034079/1/0", "VTMF-25017835")</f>
        <v/>
      </c>
      <c r="B380" s="19" t="inlineStr">
        <is>
          <t>No</t>
        </is>
      </c>
      <c r="C380" s="5" t="inlineStr">
        <is>
          <t>1.0</t>
        </is>
      </c>
      <c r="D380" s="5" t="inlineStr">
        <is>
          <t>GCO</t>
        </is>
      </c>
      <c r="E380" s="5" t="inlineStr">
        <is>
          <t>42847922MDD3003, 54135419SUI3003</t>
        </is>
      </c>
      <c r="F380" s="16">
        <f>HYPERLINK("https://vtmf.veevavault.com/ui/#doc_info/31034079/1/0", "42847922MDD3003-BRA-S10-BR10007-Other Curriculum Vitae-13 Oct 2025 (v1.0)")</f>
        <v/>
      </c>
      <c r="G380" s="5" t="inlineStr">
        <is>
          <t>Site Management</t>
        </is>
      </c>
      <c r="H380" s="5" t="inlineStr">
        <is>
          <t>Site Set-up Documentation</t>
        </is>
      </c>
      <c r="I380" s="5" t="inlineStr">
        <is>
          <t>Other Curriculum Vitae</t>
        </is>
      </c>
      <c r="J380" s="5" t="inlineStr">
        <is>
          <t>CV_EN_Silva Gabriel, E; 13Oct2025</t>
        </is>
      </c>
      <c r="K380" s="6" t="n">
        <v>130</v>
      </c>
      <c r="L380" s="7" t="n">
        <v>45943</v>
      </c>
      <c r="M380" s="11" t="n">
        <v>46073</v>
      </c>
      <c r="N380" s="5" t="inlineStr">
        <is>
          <t>Approved</t>
        </is>
      </c>
      <c r="O380" s="5" t="inlineStr">
        <is>
          <t>Site</t>
        </is>
      </c>
      <c r="P380" s="5" t="inlineStr">
        <is>
          <t>Brazil, Brazil</t>
        </is>
      </c>
      <c r="Q380" s="13" t="inlineStr">
        <is>
          <t>AJ7-BR10007, S10-BR10007</t>
        </is>
      </c>
      <c r="R380" s="5" t="inlineStr">
        <is>
          <t>GUILHERME BENEVIDES</t>
        </is>
      </c>
      <c r="S380" s="8" t="n">
        <v>46073.90543981481</v>
      </c>
    </row>
    <row r="381" hidden="1" ht="29" customHeight="1">
      <c r="A381" s="15">
        <f>HYPERLINK("https://vtmf.veevavault.com/ui/#doc_info/31037363/1/0", "VTMF-25020863")</f>
        <v/>
      </c>
      <c r="B381" s="19" t="inlineStr">
        <is>
          <t>No</t>
        </is>
      </c>
      <c r="C381" s="5" t="inlineStr">
        <is>
          <t>1.0</t>
        </is>
      </c>
      <c r="D381" s="5" t="inlineStr">
        <is>
          <t>GCO</t>
        </is>
      </c>
      <c r="E381" s="5" t="inlineStr">
        <is>
          <t>42847922MDD3003</t>
        </is>
      </c>
      <c r="F381" s="16">
        <f>HYPERLINK("https://vtmf.veevavault.com/ui/#doc_info/31037363/1/0", "42847922MDD3003-COL-S10-CO10001-IRB/IEC GCP Compliance Statement-05 Dec 2022 (v1.0)")</f>
        <v/>
      </c>
      <c r="G381" s="5" t="inlineStr">
        <is>
          <t>IRB/IEC and other Approvals</t>
        </is>
      </c>
      <c r="H381" s="5" t="inlineStr">
        <is>
          <t>IRB/IEC Trial Approval</t>
        </is>
      </c>
      <c r="I381" s="5" t="inlineStr">
        <is>
          <t>IRB/IEC GCP Compliance Statement</t>
        </is>
      </c>
      <c r="J381" s="5" t="inlineStr">
        <is>
          <t>EC operating procedures_05 Dec 2022</t>
        </is>
      </c>
      <c r="K381" s="6" t="n">
        <v>1175</v>
      </c>
      <c r="L381" s="7" t="n">
        <v>44900</v>
      </c>
      <c r="M381" s="11" t="n">
        <v>46075</v>
      </c>
      <c r="N381" s="5" t="inlineStr">
        <is>
          <t>Approved</t>
        </is>
      </c>
      <c r="O381" s="5" t="inlineStr">
        <is>
          <t>Site</t>
        </is>
      </c>
      <c r="P381" s="5" t="inlineStr">
        <is>
          <t>Colombia</t>
        </is>
      </c>
      <c r="Q381" s="13" t="inlineStr">
        <is>
          <t>S10-CO10001</t>
        </is>
      </c>
      <c r="R381" s="5" t="inlineStr">
        <is>
          <t>Monica Romero</t>
        </is>
      </c>
      <c r="S381" s="8" t="n">
        <v>46076.02857638889</v>
      </c>
    </row>
    <row r="382" hidden="1" ht="29" customHeight="1">
      <c r="A382" s="15">
        <f>HYPERLINK("https://vtmf.veevavault.com/ui/#doc_info/31039046/1/0", "VTMF-25022272")</f>
        <v/>
      </c>
      <c r="B382" s="19" t="inlineStr">
        <is>
          <t>No</t>
        </is>
      </c>
      <c r="C382" s="5" t="inlineStr">
        <is>
          <t>1.0</t>
        </is>
      </c>
      <c r="D382" s="5" t="inlineStr">
        <is>
          <t>GCO</t>
        </is>
      </c>
      <c r="E382" s="5" t="inlineStr">
        <is>
          <t>42847922MDD3003</t>
        </is>
      </c>
      <c r="F382" s="16">
        <f>HYPERLINK("https://vtmf.veevavault.com/ui/#doc_info/31039046/1/0", "42847922MDD3003-CZE-S10-CZ10008-Tracking Information-12 Nov 2025 (v1.0)")</f>
        <v/>
      </c>
      <c r="G382" s="5" t="inlineStr">
        <is>
          <t>Site Management</t>
        </is>
      </c>
      <c r="H382" s="5" t="inlineStr">
        <is>
          <t>General</t>
        </is>
      </c>
      <c r="I382" s="5" t="inlineStr">
        <is>
          <t>Tracking Information</t>
        </is>
      </c>
      <c r="J382" s="5" t="inlineStr">
        <is>
          <t>ICF and related documents Log_12 Nov 2025</t>
        </is>
      </c>
      <c r="K382" s="6" t="n">
        <v>103</v>
      </c>
      <c r="L382" s="7" t="n">
        <v>45973</v>
      </c>
      <c r="M382" s="11" t="n">
        <v>46076</v>
      </c>
      <c r="N382" s="5" t="inlineStr">
        <is>
          <t>Approved</t>
        </is>
      </c>
      <c r="O382" s="5" t="inlineStr">
        <is>
          <t>Site</t>
        </is>
      </c>
      <c r="P382" s="5" t="inlineStr">
        <is>
          <t>Czech Republic</t>
        </is>
      </c>
      <c r="Q382" s="13" t="inlineStr">
        <is>
          <t>S10-CZ10008</t>
        </is>
      </c>
      <c r="R382" s="5" t="inlineStr">
        <is>
          <t>Vera Matousková</t>
        </is>
      </c>
      <c r="S382" s="8" t="n">
        <v>46076.46609953704</v>
      </c>
    </row>
    <row r="383" hidden="1" ht="43.5" customHeight="1">
      <c r="A383" s="15">
        <f>HYPERLINK("https://vtmf.veevavault.com/ui/#doc_info/31042116/1/0", "VTMF-25024733")</f>
        <v/>
      </c>
      <c r="B383" s="20" t="inlineStr">
        <is>
          <t>Yes</t>
        </is>
      </c>
      <c r="C383" s="5" t="inlineStr">
        <is>
          <t>1.0</t>
        </is>
      </c>
      <c r="D383" s="5" t="inlineStr">
        <is>
          <t>GCO</t>
        </is>
      </c>
      <c r="E383" s="5" t="inlineStr">
        <is>
          <t>42847922MDD3003</t>
        </is>
      </c>
      <c r="F383" s="16">
        <f>HYPERLINK("https://vtmf.veevavault.com/ui/#doc_info/31042116/1/0", "42847922MDD3003-USA-S10-US10064-Relevant Communications-17 Sep 2024 (v1.0)")</f>
        <v/>
      </c>
      <c r="G383" s="5" t="inlineStr">
        <is>
          <t>Site Management</t>
        </is>
      </c>
      <c r="H383" s="5" t="inlineStr">
        <is>
          <t>General</t>
        </is>
      </c>
      <c r="I383" s="5" t="inlineStr">
        <is>
          <t>Relevant Communications</t>
        </is>
      </c>
      <c r="J383" s="5" t="inlineStr">
        <is>
          <t>MDD3003_PI: Dr. Jorge Venereo M.D._Site: US10064 (United States)_Subject ID: US100640002/M_Visit: VISIT 1 / _Alert: ECG-SINUS BRADYCARDIA</t>
        </is>
      </c>
      <c r="K383" s="6" t="n">
        <v>524</v>
      </c>
      <c r="L383" s="7" t="n">
        <v>45552</v>
      </c>
      <c r="M383" s="11" t="n">
        <v>46076</v>
      </c>
      <c r="N383" s="5" t="inlineStr">
        <is>
          <t>Approved</t>
        </is>
      </c>
      <c r="O383" s="5" t="inlineStr">
        <is>
          <t>Site</t>
        </is>
      </c>
      <c r="P383" s="5" t="inlineStr">
        <is>
          <t>United States</t>
        </is>
      </c>
      <c r="Q383" s="13" t="inlineStr">
        <is>
          <t>S10-US10064</t>
        </is>
      </c>
      <c r="R383" s="5" t="inlineStr">
        <is>
          <t>Gabriela Dluska</t>
        </is>
      </c>
      <c r="S383" s="8" t="n">
        <v>46076.72958333333</v>
      </c>
    </row>
    <row r="384" hidden="1" ht="43.5" customHeight="1">
      <c r="A384" s="15">
        <f>HYPERLINK("https://vtmf.veevavault.com/ui/#doc_info/31042117/1/0", "VTMF-25024734")</f>
        <v/>
      </c>
      <c r="B384" s="20" t="inlineStr">
        <is>
          <t>Yes</t>
        </is>
      </c>
      <c r="C384" s="5" t="inlineStr">
        <is>
          <t>1.0</t>
        </is>
      </c>
      <c r="D384" s="5" t="inlineStr">
        <is>
          <t>GCO</t>
        </is>
      </c>
      <c r="E384" s="5" t="inlineStr">
        <is>
          <t>42847922MDD3003</t>
        </is>
      </c>
      <c r="F384" s="16">
        <f>HYPERLINK("https://vtmf.veevavault.com/ui/#doc_info/31042117/1/0", "42847922MDD3003-USA-S10-US10064-Relevant Communications-25 Sep 2024 (v1.0)")</f>
        <v/>
      </c>
      <c r="G384" s="5" t="inlineStr">
        <is>
          <t>Site Management</t>
        </is>
      </c>
      <c r="H384" s="5" t="inlineStr">
        <is>
          <t>General</t>
        </is>
      </c>
      <c r="I384" s="5" t="inlineStr">
        <is>
          <t>Relevant Communications</t>
        </is>
      </c>
      <c r="J384" s="5" t="inlineStr">
        <is>
          <t>MDD3003_PI: Dr. Jorge Venereo M.D._Site: US10064 (United States)_Subject ID: US100640004/F_Visit: Part 1 Screening / _Alert: Creatinine Clearance</t>
        </is>
      </c>
      <c r="K384" s="6" t="n">
        <v>516</v>
      </c>
      <c r="L384" s="7" t="n">
        <v>45560</v>
      </c>
      <c r="M384" s="11" t="n">
        <v>46076</v>
      </c>
      <c r="N384" s="5" t="inlineStr">
        <is>
          <t>Approved</t>
        </is>
      </c>
      <c r="O384" s="5" t="inlineStr">
        <is>
          <t>Site</t>
        </is>
      </c>
      <c r="P384" s="5" t="inlineStr">
        <is>
          <t>United States</t>
        </is>
      </c>
      <c r="Q384" s="13" t="inlineStr">
        <is>
          <t>S10-US10064</t>
        </is>
      </c>
      <c r="R384" s="5" t="inlineStr">
        <is>
          <t>Gabriela Dluska</t>
        </is>
      </c>
      <c r="S384" s="8" t="n">
        <v>46076.72958333333</v>
      </c>
    </row>
    <row r="385" hidden="1" ht="58" customHeight="1">
      <c r="A385" s="15">
        <f>HYPERLINK("https://vtmf.veevavault.com/ui/#doc_info/31042118/1/0", "VTMF-25024735")</f>
        <v/>
      </c>
      <c r="B385" s="20" t="inlineStr">
        <is>
          <t>Yes</t>
        </is>
      </c>
      <c r="C385" s="5" t="inlineStr">
        <is>
          <t>1.0</t>
        </is>
      </c>
      <c r="D385" s="5" t="inlineStr">
        <is>
          <t>GCO</t>
        </is>
      </c>
      <c r="E385" s="5" t="inlineStr">
        <is>
          <t>42847922MDD3003</t>
        </is>
      </c>
      <c r="F385" s="16">
        <f>HYPERLINK("https://vtmf.veevavault.com/ui/#doc_info/31042118/1/0", "42847922MDD3003-USA-S10-US10064-Relevant Communications-26 Sep 2024 (v1.0)")</f>
        <v/>
      </c>
      <c r="G385" s="5" t="inlineStr">
        <is>
          <t>Site Management</t>
        </is>
      </c>
      <c r="H385" s="5" t="inlineStr">
        <is>
          <t>General</t>
        </is>
      </c>
      <c r="I385" s="5" t="inlineStr">
        <is>
          <t>Relevant Communications</t>
        </is>
      </c>
      <c r="J385" s="5" t="inlineStr">
        <is>
          <t>MDD3003_PI: Dr. Jorge Venereo M.D._Site: US10064 (United 
States)_Subject ID: US100640006/F_Visit: Part 1 Screening / _Alert: Creatinine Clearance</t>
        </is>
      </c>
      <c r="K385" s="6" t="n">
        <v>515</v>
      </c>
      <c r="L385" s="7" t="n">
        <v>45561</v>
      </c>
      <c r="M385" s="11" t="n">
        <v>46076</v>
      </c>
      <c r="N385" s="5" t="inlineStr">
        <is>
          <t>Approved</t>
        </is>
      </c>
      <c r="O385" s="5" t="inlineStr">
        <is>
          <t>Site</t>
        </is>
      </c>
      <c r="P385" s="5" t="inlineStr">
        <is>
          <t>United States</t>
        </is>
      </c>
      <c r="Q385" s="13" t="inlineStr">
        <is>
          <t>S10-US10064</t>
        </is>
      </c>
      <c r="R385" s="5" t="inlineStr">
        <is>
          <t>Gabriela Dluska</t>
        </is>
      </c>
      <c r="S385" s="8" t="n">
        <v>46076.72958333333</v>
      </c>
    </row>
    <row r="386" hidden="1" ht="58" customHeight="1">
      <c r="A386" s="15">
        <f>HYPERLINK("https://vtmf.veevavault.com/ui/#doc_info/31042119/1/0", "VTMF-25024736")</f>
        <v/>
      </c>
      <c r="B386" s="20" t="inlineStr">
        <is>
          <t>Yes</t>
        </is>
      </c>
      <c r="C386" s="5" t="inlineStr">
        <is>
          <t>1.0</t>
        </is>
      </c>
      <c r="D386" s="5" t="inlineStr">
        <is>
          <t>GCO</t>
        </is>
      </c>
      <c r="E386" s="5" t="inlineStr">
        <is>
          <t>42847922MDD3003</t>
        </is>
      </c>
      <c r="F386" s="16">
        <f>HYPERLINK("https://vtmf.veevavault.com/ui/#doc_info/31042119/1/0", "42847922MDD3003-USA-S10-US10064-Relevant Communications-16 Oct 2024 (v1.0)")</f>
        <v/>
      </c>
      <c r="G386" s="5" t="inlineStr">
        <is>
          <t>Site Management</t>
        </is>
      </c>
      <c r="H386" s="5" t="inlineStr">
        <is>
          <t>General</t>
        </is>
      </c>
      <c r="I386" s="5" t="inlineStr">
        <is>
          <t>Relevant Communications</t>
        </is>
      </c>
      <c r="J386" s="5" t="inlineStr">
        <is>
          <t>MDD3003_PI: Dr. Jorge Venereo M.D._Site: US10064 (United 
States)_Subject ID: US100640007/F_Visit: ADT Compliance _Alert: Urine SSRI -negative</t>
        </is>
      </c>
      <c r="K386" s="6" t="n">
        <v>495</v>
      </c>
      <c r="L386" s="7" t="n">
        <v>45581</v>
      </c>
      <c r="M386" s="11" t="n">
        <v>46076</v>
      </c>
      <c r="N386" s="5" t="inlineStr">
        <is>
          <t>Approved</t>
        </is>
      </c>
      <c r="O386" s="5" t="inlineStr">
        <is>
          <t>Site</t>
        </is>
      </c>
      <c r="P386" s="5" t="inlineStr">
        <is>
          <t>United States</t>
        </is>
      </c>
      <c r="Q386" s="13" t="inlineStr">
        <is>
          <t>S10-US10064</t>
        </is>
      </c>
      <c r="R386" s="5" t="inlineStr">
        <is>
          <t>Gabriela Dluska</t>
        </is>
      </c>
      <c r="S386" s="8" t="n">
        <v>46076.72958333333</v>
      </c>
    </row>
    <row r="387" hidden="1" ht="58" customHeight="1">
      <c r="A387" s="15">
        <f>HYPERLINK("https://vtmf.veevavault.com/ui/#doc_info/31042120/1/0", "VTMF-25024737")</f>
        <v/>
      </c>
      <c r="B387" s="20" t="inlineStr">
        <is>
          <t>Yes</t>
        </is>
      </c>
      <c r="C387" s="5" t="inlineStr">
        <is>
          <t>1.0</t>
        </is>
      </c>
      <c r="D387" s="5" t="inlineStr">
        <is>
          <t>GCO</t>
        </is>
      </c>
      <c r="E387" s="5" t="inlineStr">
        <is>
          <t>42847922MDD3003</t>
        </is>
      </c>
      <c r="F387" s="16">
        <f>HYPERLINK("https://vtmf.veevavault.com/ui/#doc_info/31042120/1/0", "42847922MDD3003-USA-S10-US10106-Relevant Communications-19 Sep 2024 (v1.0)")</f>
        <v/>
      </c>
      <c r="G387" s="5" t="inlineStr">
        <is>
          <t>Site Management</t>
        </is>
      </c>
      <c r="H387" s="5" t="inlineStr">
        <is>
          <t>General</t>
        </is>
      </c>
      <c r="I387" s="5" t="inlineStr">
        <is>
          <t>Relevant Communications</t>
        </is>
      </c>
      <c r="J387" s="5" t="inlineStr">
        <is>
          <t>MDD3003_PI: Dr. Riaz Baber._Site: S10-US10106(United States)_Subject ID: US101060003_Visit: UNSCHEDULED / _Alert: ECG-Flat-T wave</t>
        </is>
      </c>
      <c r="K387" s="6" t="n">
        <v>522</v>
      </c>
      <c r="L387" s="7" t="n">
        <v>45554</v>
      </c>
      <c r="M387" s="11" t="n">
        <v>46076</v>
      </c>
      <c r="N387" s="5" t="inlineStr">
        <is>
          <t>Approved</t>
        </is>
      </c>
      <c r="O387" s="5" t="inlineStr">
        <is>
          <t>Site</t>
        </is>
      </c>
      <c r="P387" s="5" t="inlineStr">
        <is>
          <t>United States</t>
        </is>
      </c>
      <c r="Q387" s="13" t="inlineStr">
        <is>
          <t>S10-US10106</t>
        </is>
      </c>
      <c r="R387" s="5" t="inlineStr">
        <is>
          <t>Gabriela Dluska</t>
        </is>
      </c>
      <c r="S387" s="8" t="n">
        <v>46076.72958333333</v>
      </c>
    </row>
    <row r="388" hidden="1" ht="43.5" customHeight="1">
      <c r="A388" s="15">
        <f>HYPERLINK("https://vtmf.veevavault.com/ui/#doc_info/31042121/1/0", "VTMF-25024738")</f>
        <v/>
      </c>
      <c r="B388" s="20" t="inlineStr">
        <is>
          <t>Yes</t>
        </is>
      </c>
      <c r="C388" s="5" t="inlineStr">
        <is>
          <t>1.0</t>
        </is>
      </c>
      <c r="D388" s="5" t="inlineStr">
        <is>
          <t>GCO</t>
        </is>
      </c>
      <c r="E388" s="5" t="inlineStr">
        <is>
          <t>42847922MDD3003</t>
        </is>
      </c>
      <c r="F388" s="16">
        <f>HYPERLINK("https://vtmf.veevavault.com/ui/#doc_info/31042121/1/0", "42847922MDD3003-USA-S10-US10106-Relevant Communications-16 Sep 2024 (v1.0)")</f>
        <v/>
      </c>
      <c r="G388" s="5" t="inlineStr">
        <is>
          <t>Site Management</t>
        </is>
      </c>
      <c r="H388" s="5" t="inlineStr">
        <is>
          <t>General</t>
        </is>
      </c>
      <c r="I388" s="5" t="inlineStr">
        <is>
          <t>Relevant Communications</t>
        </is>
      </c>
      <c r="J388" s="5" t="inlineStr">
        <is>
          <t>MDD3003_PI: Dr. Riaz Baber._Site: S10-US10106(United States)_Subject ID: US101060003_Visit: VISIT 3_Alert: ECG-Flat-T wave</t>
        </is>
      </c>
      <c r="K388" s="6" t="n">
        <v>525</v>
      </c>
      <c r="L388" s="7" t="n">
        <v>45551</v>
      </c>
      <c r="M388" s="11" t="n">
        <v>46076</v>
      </c>
      <c r="N388" s="5" t="inlineStr">
        <is>
          <t>Approved</t>
        </is>
      </c>
      <c r="O388" s="5" t="inlineStr">
        <is>
          <t>Site</t>
        </is>
      </c>
      <c r="P388" s="5" t="inlineStr">
        <is>
          <t>United States</t>
        </is>
      </c>
      <c r="Q388" s="13" t="inlineStr">
        <is>
          <t>S10-US10106</t>
        </is>
      </c>
      <c r="R388" s="5" t="inlineStr">
        <is>
          <t>Gabriela Dluska</t>
        </is>
      </c>
      <c r="S388" s="8" t="n">
        <v>46076.72958333333</v>
      </c>
    </row>
    <row r="389" hidden="1" ht="43.5" customHeight="1">
      <c r="A389" s="15">
        <f>HYPERLINK("https://vtmf.veevavault.com/ui/#doc_info/31042122/1/0", "VTMF-25024739")</f>
        <v/>
      </c>
      <c r="B389" s="20" t="inlineStr">
        <is>
          <t>Yes</t>
        </is>
      </c>
      <c r="C389" s="5" t="inlineStr">
        <is>
          <t>1.0</t>
        </is>
      </c>
      <c r="D389" s="5" t="inlineStr">
        <is>
          <t>GCO</t>
        </is>
      </c>
      <c r="E389" s="5" t="inlineStr">
        <is>
          <t>42847922MDD3003</t>
        </is>
      </c>
      <c r="F389" s="16">
        <f>HYPERLINK("https://vtmf.veevavault.com/ui/#doc_info/31042122/1/0", "42847922MDD3003-USA-S10-US10067-Relevant Communications-11 Sep 2024 (v1.0)")</f>
        <v/>
      </c>
      <c r="G389" s="5" t="inlineStr">
        <is>
          <t>Site Management</t>
        </is>
      </c>
      <c r="H389" s="5" t="inlineStr">
        <is>
          <t>General</t>
        </is>
      </c>
      <c r="I389" s="5" t="inlineStr">
        <is>
          <t>Relevant Communications</t>
        </is>
      </c>
      <c r="J389" s="5" t="inlineStr">
        <is>
          <t>MDD3003_PI: Dr. Sherry Soefje_Site: US10067 (United 
States)_Subject ID: US100670001/F_Visit: Part 1 Screening_Alert: Ur Blood</t>
        </is>
      </c>
      <c r="K389" s="6" t="n">
        <v>530</v>
      </c>
      <c r="L389" s="7" t="n">
        <v>45546</v>
      </c>
      <c r="M389" s="11" t="n">
        <v>46076</v>
      </c>
      <c r="N389" s="5" t="inlineStr">
        <is>
          <t>Approved</t>
        </is>
      </c>
      <c r="O389" s="5" t="inlineStr">
        <is>
          <t>Site</t>
        </is>
      </c>
      <c r="P389" s="5" t="inlineStr">
        <is>
          <t>United States</t>
        </is>
      </c>
      <c r="Q389" s="13" t="inlineStr">
        <is>
          <t>S10-US10067</t>
        </is>
      </c>
      <c r="R389" s="5" t="inlineStr">
        <is>
          <t>Gabriela Dluska</t>
        </is>
      </c>
      <c r="S389" s="8" t="n">
        <v>46076.72958333333</v>
      </c>
    </row>
    <row r="390" hidden="1" ht="58" customHeight="1">
      <c r="A390" s="15">
        <f>HYPERLINK("https://vtmf.veevavault.com/ui/#doc_info/31042123/1/0", "VTMF-25024740")</f>
        <v/>
      </c>
      <c r="B390" s="20" t="inlineStr">
        <is>
          <t>Yes</t>
        </is>
      </c>
      <c r="C390" s="5" t="inlineStr">
        <is>
          <t>1.0</t>
        </is>
      </c>
      <c r="D390" s="5" t="inlineStr">
        <is>
          <t>GCO</t>
        </is>
      </c>
      <c r="E390" s="5" t="inlineStr">
        <is>
          <t>42847922MDD3003</t>
        </is>
      </c>
      <c r="F390" s="16">
        <f>HYPERLINK("https://vtmf.veevavault.com/ui/#doc_info/31042123/1/0", "42847922MDD3003-USA-S10-US10012-Relevant Communications-17 Sep 2024 (v1.0)")</f>
        <v/>
      </c>
      <c r="G390" s="5" t="inlineStr">
        <is>
          <t>Site Management</t>
        </is>
      </c>
      <c r="H390" s="5" t="inlineStr">
        <is>
          <t>General</t>
        </is>
      </c>
      <c r="I390" s="5" t="inlineStr">
        <is>
          <t>Relevant Communications</t>
        </is>
      </c>
      <c r="J390" s="5" t="inlineStr">
        <is>
          <t>MDD3003_PI: Dr. Shonna Piegari_Site: US10012 (United States)_Subject ID: US100120001/F_Visit: VISIT 1 / _Alert: ECG-SINUS BRADYCARDIA, ATRIAL PREMATURE COMPLEXES</t>
        </is>
      </c>
      <c r="K390" s="6" t="n">
        <v>524</v>
      </c>
      <c r="L390" s="7" t="n">
        <v>45552</v>
      </c>
      <c r="M390" s="11" t="n">
        <v>46076</v>
      </c>
      <c r="N390" s="5" t="inlineStr">
        <is>
          <t>Approved</t>
        </is>
      </c>
      <c r="O390" s="5" t="inlineStr">
        <is>
          <t>Site</t>
        </is>
      </c>
      <c r="P390" s="5" t="inlineStr">
        <is>
          <t>United States</t>
        </is>
      </c>
      <c r="Q390" s="13" t="inlineStr">
        <is>
          <t>S10-US10012</t>
        </is>
      </c>
      <c r="R390" s="5" t="inlineStr">
        <is>
          <t>Gabriela Dluska</t>
        </is>
      </c>
      <c r="S390" s="8" t="n">
        <v>46076.72958333333</v>
      </c>
    </row>
    <row r="391" hidden="1" ht="58" customHeight="1">
      <c r="A391" s="15">
        <f>HYPERLINK("https://vtmf.veevavault.com/ui/#doc_info/31042124/1/0", "VTMF-25024741")</f>
        <v/>
      </c>
      <c r="B391" s="20" t="inlineStr">
        <is>
          <t>Yes</t>
        </is>
      </c>
      <c r="C391" s="5" t="inlineStr">
        <is>
          <t>1.0</t>
        </is>
      </c>
      <c r="D391" s="5" t="inlineStr">
        <is>
          <t>GCO</t>
        </is>
      </c>
      <c r="E391" s="5" t="inlineStr">
        <is>
          <t>42847922MDD3003</t>
        </is>
      </c>
      <c r="F391" s="16">
        <f>HYPERLINK("https://vtmf.veevavault.com/ui/#doc_info/31042124/1/0", "42847922MDD3003-USA-S10-US10083-Relevant Communications-18 Sep 2024 (v1.0)")</f>
        <v/>
      </c>
      <c r="G391" s="5" t="inlineStr">
        <is>
          <t>Site Management</t>
        </is>
      </c>
      <c r="H391" s="5" t="inlineStr">
        <is>
          <t>General</t>
        </is>
      </c>
      <c r="I391" s="5" t="inlineStr">
        <is>
          <t>Relevant Communications</t>
        </is>
      </c>
      <c r="J391" s="5" t="inlineStr">
        <is>
          <t>MDD3003_PI: Dr.Wilson Cueva M.D.._Site: US10083(United States)_Subject ID: US100830001_Visit: Part 1 Screening_Alert: Serum Potassium</t>
        </is>
      </c>
      <c r="K391" s="6" t="n">
        <v>523</v>
      </c>
      <c r="L391" s="7" t="n">
        <v>45553</v>
      </c>
      <c r="M391" s="11" t="n">
        <v>46076</v>
      </c>
      <c r="N391" s="5" t="inlineStr">
        <is>
          <t>Approved</t>
        </is>
      </c>
      <c r="O391" s="5" t="inlineStr">
        <is>
          <t>Site</t>
        </is>
      </c>
      <c r="P391" s="5" t="inlineStr">
        <is>
          <t>United States</t>
        </is>
      </c>
      <c r="Q391" s="13" t="inlineStr">
        <is>
          <t>S10-US10083</t>
        </is>
      </c>
      <c r="R391" s="5" t="inlineStr">
        <is>
          <t>Gabriela Dluska</t>
        </is>
      </c>
      <c r="S391" s="8" t="n">
        <v>46076.72958333333</v>
      </c>
    </row>
    <row r="392" hidden="1">
      <c r="A392" s="15">
        <f>HYPERLINK("https://vtmf.veevavault.com/ui/#doc_info/31042125/1/0", "VTMF-25024742")</f>
        <v/>
      </c>
      <c r="B392" s="20" t="inlineStr">
        <is>
          <t>Yes</t>
        </is>
      </c>
      <c r="C392" s="5" t="inlineStr">
        <is>
          <t>1.0</t>
        </is>
      </c>
      <c r="D392" s="5" t="inlineStr">
        <is>
          <t>GCO</t>
        </is>
      </c>
      <c r="E392" s="5" t="inlineStr">
        <is>
          <t>42847922MDD3003</t>
        </is>
      </c>
      <c r="F392" s="16">
        <f>HYPERLINK("https://vtmf.veevavault.com/ui/#doc_info/31042125/1/0", "42847922MDD3003---Relevant Communications-20 Sep 2024 (v1.0)")</f>
        <v/>
      </c>
      <c r="G392" s="5" t="inlineStr">
        <is>
          <t>Trial Management</t>
        </is>
      </c>
      <c r="H392" s="5" t="inlineStr">
        <is>
          <t>General</t>
        </is>
      </c>
      <c r="I392" s="5" t="inlineStr">
        <is>
          <t>Relevant Communications</t>
        </is>
      </c>
      <c r="J392" s="5" t="inlineStr">
        <is>
          <t>Monthly Medical Review and handover SRP</t>
        </is>
      </c>
      <c r="K392" s="6" t="n">
        <v>521</v>
      </c>
      <c r="L392" s="7" t="n">
        <v>45555</v>
      </c>
      <c r="M392" s="11" t="n">
        <v>46076</v>
      </c>
      <c r="N392" s="5" t="inlineStr">
        <is>
          <t>Approved</t>
        </is>
      </c>
      <c r="O392" s="5" t="inlineStr">
        <is>
          <t>Study</t>
        </is>
      </c>
      <c r="P392" s="5" t="inlineStr"/>
      <c r="Q392" s="13" t="inlineStr"/>
      <c r="R392" s="5" t="inlineStr">
        <is>
          <t>Gabriela Dluska</t>
        </is>
      </c>
      <c r="S392" s="8" t="n">
        <v>46076.72958333333</v>
      </c>
    </row>
    <row r="393" hidden="1" ht="29" customHeight="1">
      <c r="A393" s="15">
        <f>HYPERLINK("https://vtmf.veevavault.com/ui/#doc_info/31042126/1/0", "VTMF-25024743")</f>
        <v/>
      </c>
      <c r="B393" s="20" t="inlineStr">
        <is>
          <t>Yes</t>
        </is>
      </c>
      <c r="C393" s="5" t="inlineStr">
        <is>
          <t>1.0</t>
        </is>
      </c>
      <c r="D393" s="5" t="inlineStr">
        <is>
          <t>GCO</t>
        </is>
      </c>
      <c r="E393" s="5" t="inlineStr">
        <is>
          <t>42847922MDD3003</t>
        </is>
      </c>
      <c r="F393" s="16">
        <f>HYPERLINK("https://vtmf.veevavault.com/ui/#doc_info/31042126/1/0", "42847922MDD3003-USA-S10-US10120-Relevant Communications-17 Sep 2024 (v1.0)")</f>
        <v/>
      </c>
      <c r="G393" s="5" t="inlineStr">
        <is>
          <t>Site Management</t>
        </is>
      </c>
      <c r="H393" s="5" t="inlineStr">
        <is>
          <t>General</t>
        </is>
      </c>
      <c r="I393" s="5" t="inlineStr">
        <is>
          <t>Relevant Communications</t>
        </is>
      </c>
      <c r="J393" s="5" t="inlineStr">
        <is>
          <t>MDD3003 Site US10120 PI Knutson: Physical Exam Requirements</t>
        </is>
      </c>
      <c r="K393" s="6" t="n">
        <v>524</v>
      </c>
      <c r="L393" s="7" t="n">
        <v>45552</v>
      </c>
      <c r="M393" s="11" t="n">
        <v>46076</v>
      </c>
      <c r="N393" s="5" t="inlineStr">
        <is>
          <t>Approved</t>
        </is>
      </c>
      <c r="O393" s="5" t="inlineStr">
        <is>
          <t>Site</t>
        </is>
      </c>
      <c r="P393" s="5" t="inlineStr">
        <is>
          <t>United States</t>
        </is>
      </c>
      <c r="Q393" s="13" t="inlineStr">
        <is>
          <t>S10-US10120</t>
        </is>
      </c>
      <c r="R393" s="5" t="inlineStr">
        <is>
          <t>Gabriela Dluska</t>
        </is>
      </c>
      <c r="S393" s="8" t="n">
        <v>46076.72958333333</v>
      </c>
    </row>
    <row r="394" hidden="1" ht="58" customHeight="1">
      <c r="A394" s="15">
        <f>HYPERLINK("https://vtmf.veevavault.com/ui/#doc_info/31042127/1/0", "VTMF-25024744")</f>
        <v/>
      </c>
      <c r="B394" s="20" t="inlineStr">
        <is>
          <t>Yes</t>
        </is>
      </c>
      <c r="C394" s="5" t="inlineStr">
        <is>
          <t>1.0</t>
        </is>
      </c>
      <c r="D394" s="5" t="inlineStr">
        <is>
          <t>GCO</t>
        </is>
      </c>
      <c r="E394" s="5" t="inlineStr">
        <is>
          <t>42847922MDD3003</t>
        </is>
      </c>
      <c r="F394" s="16">
        <f>HYPERLINK("https://vtmf.veevavault.com/ui/#doc_info/31042127/1/0", "42847922MDD3003-USA-S10-US10120-Relevant Communications-17 Sep 2024 (v1.0)")</f>
        <v/>
      </c>
      <c r="G394" s="5" t="inlineStr">
        <is>
          <t>Site Management</t>
        </is>
      </c>
      <c r="H394" s="5" t="inlineStr">
        <is>
          <t>General</t>
        </is>
      </c>
      <c r="I394" s="5" t="inlineStr">
        <is>
          <t>Relevant Communications</t>
        </is>
      </c>
      <c r="J394" s="5" t="inlineStr">
        <is>
          <t>MDD3003 Site US10120 PI Knutson: Physical Exam Requirements -Gentelia, Anorectal, and Breast exams are not required if no current related medical history to these body areas.</t>
        </is>
      </c>
      <c r="K394" s="6" t="n">
        <v>524</v>
      </c>
      <c r="L394" s="7" t="n">
        <v>45552</v>
      </c>
      <c r="M394" s="11" t="n">
        <v>46076</v>
      </c>
      <c r="N394" s="5" t="inlineStr">
        <is>
          <t>Approved</t>
        </is>
      </c>
      <c r="O394" s="5" t="inlineStr">
        <is>
          <t>Site</t>
        </is>
      </c>
      <c r="P394" s="5" t="inlineStr">
        <is>
          <t>United States</t>
        </is>
      </c>
      <c r="Q394" s="13" t="inlineStr">
        <is>
          <t>S10-US10120</t>
        </is>
      </c>
      <c r="R394" s="5" t="inlineStr">
        <is>
          <t>Gabriela Dluska</t>
        </is>
      </c>
      <c r="S394" s="8" t="n">
        <v>46076.72958333333</v>
      </c>
    </row>
    <row r="395" hidden="1" ht="58" customHeight="1">
      <c r="A395" s="15">
        <f>HYPERLINK("https://vtmf.veevavault.com/ui/#doc_info/31042128/1/0", "VTMF-25024745")</f>
        <v/>
      </c>
      <c r="B395" s="20" t="inlineStr">
        <is>
          <t>Yes</t>
        </is>
      </c>
      <c r="C395" s="5" t="inlineStr">
        <is>
          <t>1.0</t>
        </is>
      </c>
      <c r="D395" s="5" t="inlineStr">
        <is>
          <t>GCO</t>
        </is>
      </c>
      <c r="E395" s="5" t="inlineStr">
        <is>
          <t>42847922MDD3003</t>
        </is>
      </c>
      <c r="F395" s="16">
        <f>HYPERLINK("https://vtmf.veevavault.com/ui/#doc_info/31042128/1/0", "42847922MDD3003-USA-S10-US10103-Relevant Communications-19 Sep 2024 (v1.0)")</f>
        <v/>
      </c>
      <c r="G395" s="5" t="inlineStr">
        <is>
          <t>Site Management</t>
        </is>
      </c>
      <c r="H395" s="5" t="inlineStr">
        <is>
          <t>General</t>
        </is>
      </c>
      <c r="I395" s="5" t="inlineStr">
        <is>
          <t>Relevant Communications</t>
        </is>
      </c>
      <c r="J395" s="5" t="inlineStr">
        <is>
          <t>MDD3003_PI: Dr. Americo Padilla M.D._Site: US10103(United States)_Subject ID: US101030008_Visit: VISIT 1 / _Alert: ST Segment Depressed</t>
        </is>
      </c>
      <c r="K395" s="6" t="n">
        <v>522</v>
      </c>
      <c r="L395" s="7" t="n">
        <v>45554</v>
      </c>
      <c r="M395" s="11" t="n">
        <v>46076</v>
      </c>
      <c r="N395" s="5" t="inlineStr">
        <is>
          <t>Approved</t>
        </is>
      </c>
      <c r="O395" s="5" t="inlineStr">
        <is>
          <t>Site</t>
        </is>
      </c>
      <c r="P395" s="5" t="inlineStr">
        <is>
          <t>United States</t>
        </is>
      </c>
      <c r="Q395" s="13" t="inlineStr">
        <is>
          <t>S10-US10103</t>
        </is>
      </c>
      <c r="R395" s="5" t="inlineStr">
        <is>
          <t>Gabriela Dluska</t>
        </is>
      </c>
      <c r="S395" s="8" t="n">
        <v>46076.72958333333</v>
      </c>
    </row>
    <row r="396" hidden="1" ht="58" customHeight="1">
      <c r="A396" s="15">
        <f>HYPERLINK("https://vtmf.veevavault.com/ui/#doc_info/31042129/1/0", "VTMF-25024746")</f>
        <v/>
      </c>
      <c r="B396" s="20" t="inlineStr">
        <is>
          <t>Yes</t>
        </is>
      </c>
      <c r="C396" s="5" t="inlineStr">
        <is>
          <t>1.0</t>
        </is>
      </c>
      <c r="D396" s="5" t="inlineStr">
        <is>
          <t>GCO</t>
        </is>
      </c>
      <c r="E396" s="5" t="inlineStr">
        <is>
          <t>42847922MDD3003</t>
        </is>
      </c>
      <c r="F396" s="16">
        <f>HYPERLINK("https://vtmf.veevavault.com/ui/#doc_info/31042129/1/0", "42847922MDD3003-USA-S10-US10064-Relevant Communications-14 Oct 2024 (v1.0)")</f>
        <v/>
      </c>
      <c r="G396" s="5" t="inlineStr">
        <is>
          <t>Site Management</t>
        </is>
      </c>
      <c r="H396" s="5" t="inlineStr">
        <is>
          <t>General</t>
        </is>
      </c>
      <c r="I396" s="5" t="inlineStr">
        <is>
          <t>Relevant Communications</t>
        </is>
      </c>
      <c r="J396" s="5" t="inlineStr">
        <is>
          <t>MDD3003_PI: Dr. Jorge Venereo M.D._Site: US10064 (United States)_Subject ID: 
US100640001/F_Visit: ADT Compliance _Alert: Cancelled-Urine SSRI alert</t>
        </is>
      </c>
      <c r="K396" s="6" t="n">
        <v>497</v>
      </c>
      <c r="L396" s="7" t="n">
        <v>45579</v>
      </c>
      <c r="M396" s="11" t="n">
        <v>46076</v>
      </c>
      <c r="N396" s="5" t="inlineStr">
        <is>
          <t>Approved</t>
        </is>
      </c>
      <c r="O396" s="5" t="inlineStr">
        <is>
          <t>Site</t>
        </is>
      </c>
      <c r="P396" s="5" t="inlineStr">
        <is>
          <t>United States</t>
        </is>
      </c>
      <c r="Q396" s="13" t="inlineStr">
        <is>
          <t>S10-US10064</t>
        </is>
      </c>
      <c r="R396" s="5" t="inlineStr">
        <is>
          <t>Gabriela Dluska</t>
        </is>
      </c>
      <c r="S396" s="8" t="n">
        <v>46076.72958333333</v>
      </c>
    </row>
    <row r="397" hidden="1" ht="43.5" customHeight="1">
      <c r="A397" s="15">
        <f>HYPERLINK("https://vtmf.veevavault.com/ui/#doc_info/31042130/1/0", "VTMF-25024747")</f>
        <v/>
      </c>
      <c r="B397" s="20" t="inlineStr">
        <is>
          <t>Yes</t>
        </is>
      </c>
      <c r="C397" s="5" t="inlineStr">
        <is>
          <t>1.0</t>
        </is>
      </c>
      <c r="D397" s="5" t="inlineStr">
        <is>
          <t>GCO</t>
        </is>
      </c>
      <c r="E397" s="5" t="inlineStr">
        <is>
          <t>42847922MDD3003</t>
        </is>
      </c>
      <c r="F397" s="16">
        <f>HYPERLINK("https://vtmf.veevavault.com/ui/#doc_info/31042130/1/0", "42847922MDD3003-USA-S10-US10064-Relevant Communications-10 Sep 2024 (v1.0)")</f>
        <v/>
      </c>
      <c r="G397" s="5" t="inlineStr">
        <is>
          <t>Site Management</t>
        </is>
      </c>
      <c r="H397" s="5" t="inlineStr">
        <is>
          <t>General</t>
        </is>
      </c>
      <c r="I397" s="5" t="inlineStr">
        <is>
          <t>Relevant Communications</t>
        </is>
      </c>
      <c r="J397" s="5" t="inlineStr">
        <is>
          <t>MDD3003_PI: Dr. Jorge Venereo M.D._Site: US10064 (United States)_Subject ID: US100640001/F_Visit: Part 1 Screening_Alert: FSH</t>
        </is>
      </c>
      <c r="K397" s="6" t="n">
        <v>531</v>
      </c>
      <c r="L397" s="7" t="n">
        <v>45545</v>
      </c>
      <c r="M397" s="11" t="n">
        <v>46076</v>
      </c>
      <c r="N397" s="5" t="inlineStr">
        <is>
          <t>Approved</t>
        </is>
      </c>
      <c r="O397" s="5" t="inlineStr">
        <is>
          <t>Site</t>
        </is>
      </c>
      <c r="P397" s="5" t="inlineStr">
        <is>
          <t>United States</t>
        </is>
      </c>
      <c r="Q397" s="13" t="inlineStr">
        <is>
          <t>S10-US10064</t>
        </is>
      </c>
      <c r="R397" s="5" t="inlineStr">
        <is>
          <t>Gabriela Dluska</t>
        </is>
      </c>
      <c r="S397" s="8" t="n">
        <v>46076.72958333333</v>
      </c>
    </row>
    <row r="398" hidden="1" ht="58" customHeight="1">
      <c r="A398" s="15">
        <f>HYPERLINK("https://vtmf.veevavault.com/ui/#doc_info/31042131/1/0", "VTMF-25024748")</f>
        <v/>
      </c>
      <c r="B398" s="20" t="inlineStr">
        <is>
          <t>Yes</t>
        </is>
      </c>
      <c r="C398" s="5" t="inlineStr">
        <is>
          <t>1.0</t>
        </is>
      </c>
      <c r="D398" s="5" t="inlineStr">
        <is>
          <t>GCO</t>
        </is>
      </c>
      <c r="E398" s="5" t="inlineStr">
        <is>
          <t>42847922MDD3003</t>
        </is>
      </c>
      <c r="F398" s="16">
        <f>HYPERLINK("https://vtmf.veevavault.com/ui/#doc_info/31042131/1/0", "42847922MDD3003-USA-S10-US10064-Relevant Communications-10 Sep 2024 (v1.0)")</f>
        <v/>
      </c>
      <c r="G398" s="5" t="inlineStr">
        <is>
          <t>Site Management</t>
        </is>
      </c>
      <c r="H398" s="5" t="inlineStr">
        <is>
          <t>General</t>
        </is>
      </c>
      <c r="I398" s="5" t="inlineStr">
        <is>
          <t>Relevant Communications</t>
        </is>
      </c>
      <c r="J398" s="5" t="inlineStr">
        <is>
          <t>MDD3003_PI: Dr. Jorge Venereo M.D._Site: US10064 (United 
States)_Subject ID: US100640002/M_Visit: Part 1 Screening_Alert: eGFR</t>
        </is>
      </c>
      <c r="K398" s="6" t="n">
        <v>531</v>
      </c>
      <c r="L398" s="7" t="n">
        <v>45545</v>
      </c>
      <c r="M398" s="11" t="n">
        <v>46076</v>
      </c>
      <c r="N398" s="5" t="inlineStr">
        <is>
          <t>Approved</t>
        </is>
      </c>
      <c r="O398" s="5" t="inlineStr">
        <is>
          <t>Site</t>
        </is>
      </c>
      <c r="P398" s="5" t="inlineStr">
        <is>
          <t>United States</t>
        </is>
      </c>
      <c r="Q398" s="13" t="inlineStr">
        <is>
          <t>S10-US10064</t>
        </is>
      </c>
      <c r="R398" s="5" t="inlineStr">
        <is>
          <t>Gabriela Dluska</t>
        </is>
      </c>
      <c r="S398" s="8" t="n">
        <v>46076.72958333333</v>
      </c>
    </row>
    <row r="399" hidden="1" ht="43.5" customHeight="1">
      <c r="A399" s="15">
        <f>HYPERLINK("https://vtmf.veevavault.com/ui/#doc_info/31052044/1/0", "VTMF-25033403")</f>
        <v/>
      </c>
      <c r="B399" s="20" t="inlineStr">
        <is>
          <t>Yes</t>
        </is>
      </c>
      <c r="C399" s="5" t="inlineStr">
        <is>
          <t>1.0</t>
        </is>
      </c>
      <c r="D399" s="5" t="inlineStr">
        <is>
          <t>GCO</t>
        </is>
      </c>
      <c r="E399" s="5" t="inlineStr">
        <is>
          <t>42847922MDD3003</t>
        </is>
      </c>
      <c r="F399" s="16">
        <f>HYPERLINK("https://vtmf.veevavault.com/ui/#doc_info/31052044/1/0", "42847922MDD3003-PRT-S10-PT10001-Relevant Communications-27 Nov 2025 (v1.0)")</f>
        <v/>
      </c>
      <c r="G399" s="5" t="inlineStr">
        <is>
          <t>Site Management</t>
        </is>
      </c>
      <c r="H399" s="5" t="inlineStr">
        <is>
          <t>General</t>
        </is>
      </c>
      <c r="I399" s="5" t="inlineStr">
        <is>
          <t>Relevant Communications</t>
        </is>
      </c>
      <c r="J399" s="5" t="inlineStr">
        <is>
          <t>URGENT FEEDBACK NEEDED 42847922MDD3003 - PT100010003 - Screening period extension request_ approved.</t>
        </is>
      </c>
      <c r="K399" s="6" t="n">
        <v>89</v>
      </c>
      <c r="L399" s="7" t="n">
        <v>45988</v>
      </c>
      <c r="M399" s="11" t="n">
        <v>46077</v>
      </c>
      <c r="N399" s="5" t="inlineStr">
        <is>
          <t>Approved</t>
        </is>
      </c>
      <c r="O399" s="5" t="inlineStr">
        <is>
          <t>Site</t>
        </is>
      </c>
      <c r="P399" s="5" t="inlineStr">
        <is>
          <t>Portugal</t>
        </is>
      </c>
      <c r="Q399" s="13" t="inlineStr">
        <is>
          <t>S10-PT10001</t>
        </is>
      </c>
      <c r="R399" s="5" t="inlineStr">
        <is>
          <t>Gina Stefanelli</t>
        </is>
      </c>
      <c r="S399" s="8" t="n">
        <v>46077.66190972222</v>
      </c>
    </row>
    <row r="400" hidden="1" ht="58" customHeight="1">
      <c r="A400" s="15">
        <f>HYPERLINK("https://vtmf.veevavault.com/ui/#doc_info/31052049/1/0", "VTMF-25033420")</f>
        <v/>
      </c>
      <c r="B400" s="20" t="inlineStr">
        <is>
          <t>Yes</t>
        </is>
      </c>
      <c r="C400" s="5" t="inlineStr">
        <is>
          <t>1.0</t>
        </is>
      </c>
      <c r="D400" s="5" t="inlineStr">
        <is>
          <t>GCO</t>
        </is>
      </c>
      <c r="E400" s="5" t="inlineStr">
        <is>
          <t>42847922MDD3003</t>
        </is>
      </c>
      <c r="F400" s="16">
        <f>HYPERLINK("https://vtmf.veevavault.com/ui/#doc_info/31052049/1/0", "42847922MDD3003-ARG-S10-AR10012-Relevant Communications-23 Jan 2026 (v1.0)")</f>
        <v/>
      </c>
      <c r="G400" s="5" t="inlineStr">
        <is>
          <t>Site Management</t>
        </is>
      </c>
      <c r="H400" s="5" t="inlineStr">
        <is>
          <t>General</t>
        </is>
      </c>
      <c r="I400" s="5" t="inlineStr">
        <is>
          <t>Relevant Communications</t>
        </is>
      </c>
      <c r="J400" s="5" t="inlineStr">
        <is>
          <t>PI: Dr.Christian Maria Rosa Lupo_Site:AR10012(Argentina)_Subject ID:AR100120012_Visit: End of Phase/Treatment_ Alert-TSH</t>
        </is>
      </c>
      <c r="K400" s="6" t="n">
        <v>32</v>
      </c>
      <c r="L400" s="7" t="n">
        <v>46045</v>
      </c>
      <c r="M400" s="11" t="n">
        <v>46077</v>
      </c>
      <c r="N400" s="5" t="inlineStr">
        <is>
          <t>Approved</t>
        </is>
      </c>
      <c r="O400" s="5" t="inlineStr">
        <is>
          <t>Site</t>
        </is>
      </c>
      <c r="P400" s="5" t="inlineStr">
        <is>
          <t>Argentina</t>
        </is>
      </c>
      <c r="Q400" s="13" t="inlineStr">
        <is>
          <t>S10-AR10012</t>
        </is>
      </c>
      <c r="R400" s="5" t="inlineStr">
        <is>
          <t>Gina Stefanelli</t>
        </is>
      </c>
      <c r="S400" s="8" t="n">
        <v>46077.66350694445</v>
      </c>
    </row>
    <row r="401" hidden="1" ht="58" customHeight="1">
      <c r="A401" s="15">
        <f>HYPERLINK("https://vtmf.veevavault.com/ui/#doc_info/31052083/1/0", "VTMF-25033517")</f>
        <v/>
      </c>
      <c r="B401" s="20" t="inlineStr">
        <is>
          <t>Yes</t>
        </is>
      </c>
      <c r="C401" s="5" t="inlineStr">
        <is>
          <t>1.0</t>
        </is>
      </c>
      <c r="D401" s="5" t="inlineStr">
        <is>
          <t>GCO</t>
        </is>
      </c>
      <c r="E401" s="5" t="inlineStr">
        <is>
          <t>42847922MDD3003</t>
        </is>
      </c>
      <c r="F401" s="16">
        <f>HYPERLINK("https://vtmf.veevavault.com/ui/#doc_info/31052083/1/0", "42847922MDD3003-USA-S10-US10188-Relevant Communications-07 Jan 2026 (v1.0)")</f>
        <v/>
      </c>
      <c r="G401" s="5" t="inlineStr">
        <is>
          <t>Site Management</t>
        </is>
      </c>
      <c r="H401" s="5" t="inlineStr">
        <is>
          <t>General</t>
        </is>
      </c>
      <c r="I401" s="5" t="inlineStr">
        <is>
          <t>Relevant Communications</t>
        </is>
      </c>
      <c r="J401" s="5" t="inlineStr">
        <is>
          <t>Relevant suicidality information reported at CSSRS Baseline version)Study42847922MDD3003/Site Group'USA'/SiteS10-US10188/PatientUS101880009)-updated CSSRS-Baseline/Screening Version</t>
        </is>
      </c>
      <c r="K401" s="6" t="n">
        <v>48</v>
      </c>
      <c r="L401" s="7" t="n">
        <v>46029</v>
      </c>
      <c r="M401" s="11" t="n">
        <v>46077</v>
      </c>
      <c r="N401" s="5" t="inlineStr">
        <is>
          <t>Approved</t>
        </is>
      </c>
      <c r="O401" s="5" t="inlineStr">
        <is>
          <t>Site</t>
        </is>
      </c>
      <c r="P401" s="5" t="inlineStr">
        <is>
          <t>United States</t>
        </is>
      </c>
      <c r="Q401" s="13" t="inlineStr">
        <is>
          <t>S10-US10188</t>
        </is>
      </c>
      <c r="R401" s="5" t="inlineStr">
        <is>
          <t>Gina Stefanelli</t>
        </is>
      </c>
      <c r="S401" s="8" t="n">
        <v>46077.67407407407</v>
      </c>
    </row>
    <row r="402" hidden="1" ht="377" customHeight="1">
      <c r="A402" s="15">
        <f>HYPERLINK("https://vtmf.veevavault.com/ui/#doc_info/31052531/1/0", "VTMF-25033807")</f>
        <v/>
      </c>
      <c r="B402" s="19" t="inlineStr">
        <is>
          <t>No</t>
        </is>
      </c>
      <c r="C402" s="5" t="inlineStr">
        <is>
          <t>1.0</t>
        </is>
      </c>
      <c r="D402" s="5" t="inlineStr">
        <is>
          <t>GCO</t>
        </is>
      </c>
      <c r="E402" s="5" t="inlineStr">
        <is>
          <t>17000139BLC3001, 17000139BLC3002, 17000139BLC3004, 42756493BLC3004, 42756493BLC3005, 42756493BLC4013, 42847922MDD3003, 42847922MDD3011, 54767414SMM3001, 56021927PCR3003, 56021927PCR3011, 61186372NSC2007, 61186372NSC3002, 61186372NSC3004, 64007957MMY3001, 64091742PCR3001, 64407564MMY3009, 67652000PCR3002, 68284528MMY3004, 70033093ACS3003, 70033093AFL3002, 70033093STR3001, 73841937NSC3003, 77242113CRD3001, 77242113PSA3001, 77242113PSA3002, 77242113PSO3001, 77242113PSO3002, 77242113PSO3003, 77242113PSO3006, 77242113UCO3001, 78934804CRD3001, 78934804UCO2001, 78934804UCO3001, 79635322MMY2002, 80202135CDP3001, 80202135EBF3001, 80202135SJS3001, 80202135SLE3001, 95462978ARA1001, 95475939ADM2001, 95597528ADM2001, AC-055-315, CNTO1275ISD3001, CNTO1959ISD3001, CNTO1959PSA3005, CNTO1959PSA4002, CNTO1959UCO3001, CNTO1959UCO3004, PCI-32765CAN3001</t>
        </is>
      </c>
      <c r="F402" s="16">
        <f>HYPERLINK("https://vtmf.veevavault.com/ui/#doc_info/31052531/1/0", "17000139BLC3001-ARG--Insurance (v1.0)")</f>
        <v/>
      </c>
      <c r="G402" s="5" t="inlineStr">
        <is>
          <t>Central Trial Documents</t>
        </is>
      </c>
      <c r="H402" s="5" t="inlineStr">
        <is>
          <t>Trial Documents</t>
        </is>
      </c>
      <c r="I402" s="5" t="inlineStr">
        <is>
          <t>Insurance</t>
        </is>
      </c>
      <c r="J402" s="5" t="inlineStr">
        <is>
          <t>2026 Argentina CT Policy_0861503_Valid From 01Mar2026 Until 01Mar2027_issued 20Jan2026 - PLEASE DO NOTDELETE THIS POLICY!!!</t>
        </is>
      </c>
      <c r="K402" s="6" t="n">
        <v>35</v>
      </c>
      <c r="L402" s="7" t="n">
        <v>46042</v>
      </c>
      <c r="M402" s="11" t="n">
        <v>46077</v>
      </c>
      <c r="N402" s="5" t="inlineStr">
        <is>
          <t>Approved</t>
        </is>
      </c>
      <c r="O402" s="5" t="inlineStr">
        <is>
          <t>Country</t>
        </is>
      </c>
      <c r="P402" s="5" t="inlineStr">
        <is>
          <t>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t>
        </is>
      </c>
      <c r="Q402" s="13" t="inlineStr"/>
      <c r="R402" s="5" t="inlineStr">
        <is>
          <t>IWONA ANNA KAMINSKA</t>
        </is>
      </c>
      <c r="S402" s="8" t="n">
        <v>46077.70193287037</v>
      </c>
    </row>
    <row r="403" hidden="1" ht="58" customHeight="1">
      <c r="A403" s="15">
        <f>HYPERLINK("https://vtmf.veevavault.com/ui/#doc_info/31053623/1/0", "VTMF-25034400")</f>
        <v/>
      </c>
      <c r="B403" s="20" t="inlineStr">
        <is>
          <t>Yes</t>
        </is>
      </c>
      <c r="C403" s="5" t="inlineStr">
        <is>
          <t>1.0</t>
        </is>
      </c>
      <c r="D403" s="5" t="inlineStr">
        <is>
          <t>GCO</t>
        </is>
      </c>
      <c r="E403" s="5" t="inlineStr">
        <is>
          <t>42847922MDD3003</t>
        </is>
      </c>
      <c r="F403" s="16">
        <f>HYPERLINK("https://vtmf.veevavault.com/ui/#doc_info/31053623/1/0", "42847922MDD3003-BRA-S10-BR10010-Relevant Communications-07 Jan 2026 (v1.0)")</f>
        <v/>
      </c>
      <c r="G403" s="5" t="inlineStr">
        <is>
          <t>Site Management</t>
        </is>
      </c>
      <c r="H403" s="5" t="inlineStr">
        <is>
          <t>General</t>
        </is>
      </c>
      <c r="I403" s="5" t="inlineStr">
        <is>
          <t>Relevant Communications</t>
        </is>
      </c>
      <c r="J403" s="5" t="inlineStr">
        <is>
          <t>Notification:J&amp;J_42847922MDD3003_PI: Dr. Moacyr Rosa M.D._Site: BR10010 (Brazil)_Subject ID: BR100100012_Visit: Retest_ Alert: Hematology Panel, TSH</t>
        </is>
      </c>
      <c r="K403" s="6" t="n">
        <v>48</v>
      </c>
      <c r="L403" s="7" t="n">
        <v>46029</v>
      </c>
      <c r="M403" s="11" t="n">
        <v>46077</v>
      </c>
      <c r="N403" s="5" t="inlineStr">
        <is>
          <t>Approved</t>
        </is>
      </c>
      <c r="O403" s="5" t="inlineStr">
        <is>
          <t>Site</t>
        </is>
      </c>
      <c r="P403" s="5" t="inlineStr">
        <is>
          <t>Brazil</t>
        </is>
      </c>
      <c r="Q403" s="13" t="inlineStr">
        <is>
          <t>S10-BR10010</t>
        </is>
      </c>
      <c r="R403" s="5" t="inlineStr">
        <is>
          <t>Gina Stefanelli</t>
        </is>
      </c>
      <c r="S403" s="8" t="n">
        <v>46077.77083333334</v>
      </c>
    </row>
    <row r="404" hidden="1" ht="43.5" customHeight="1">
      <c r="A404" s="15">
        <f>HYPERLINK("https://vtmf.veevavault.com/ui/#doc_info/31053650/1/0", "VTMF-25034443")</f>
        <v/>
      </c>
      <c r="B404" s="20" t="inlineStr">
        <is>
          <t>Yes</t>
        </is>
      </c>
      <c r="C404" s="5" t="inlineStr">
        <is>
          <t>1.0</t>
        </is>
      </c>
      <c r="D404" s="5" t="inlineStr">
        <is>
          <t>GCO</t>
        </is>
      </c>
      <c r="E404" s="5" t="inlineStr">
        <is>
          <t>42847922MDD3003</t>
        </is>
      </c>
      <c r="F404" s="16">
        <f>HYPERLINK("https://vtmf.veevavault.com/ui/#doc_info/31053650/1/0", "42847922MDD3003-BRA-S10-BR10007-Relevant Communications-08 Jan 2026 (v1.0)")</f>
        <v/>
      </c>
      <c r="G404" s="5" t="inlineStr">
        <is>
          <t>Site Management</t>
        </is>
      </c>
      <c r="H404" s="5" t="inlineStr">
        <is>
          <t>General</t>
        </is>
      </c>
      <c r="I404" s="5" t="inlineStr">
        <is>
          <t>Relevant Communications</t>
        </is>
      </c>
      <c r="J404" s="5" t="inlineStr">
        <is>
          <t>PI_ Dr_ Emerson Nunes M_D__Site_ BR10007 (Brazil)_Subject ID_ BR100070019_Visit Retreat_Alert-Creatine Kinase</t>
        </is>
      </c>
      <c r="K404" s="6" t="n">
        <v>47</v>
      </c>
      <c r="L404" s="7" t="n">
        <v>46030</v>
      </c>
      <c r="M404" s="11" t="n">
        <v>46077</v>
      </c>
      <c r="N404" s="5" t="inlineStr">
        <is>
          <t>Approved</t>
        </is>
      </c>
      <c r="O404" s="5" t="inlineStr">
        <is>
          <t>Site</t>
        </is>
      </c>
      <c r="P404" s="5" t="inlineStr">
        <is>
          <t>Brazil</t>
        </is>
      </c>
      <c r="Q404" s="13" t="inlineStr">
        <is>
          <t>S10-BR10007</t>
        </is>
      </c>
      <c r="R404" s="5" t="inlineStr">
        <is>
          <t>Gina Stefanelli</t>
        </is>
      </c>
      <c r="S404" s="8" t="n">
        <v>46077.77508101852</v>
      </c>
    </row>
    <row r="405" hidden="1" ht="29" customHeight="1">
      <c r="A405" s="15">
        <f>HYPERLINK("https://vtmf.veevavault.com/ui/#doc_info/31053720/1/0", "VTMF-25034465")</f>
        <v/>
      </c>
      <c r="B405" s="20" t="inlineStr">
        <is>
          <t>Yes</t>
        </is>
      </c>
      <c r="C405" s="5" t="inlineStr">
        <is>
          <t>1.0</t>
        </is>
      </c>
      <c r="D405" s="5" t="inlineStr">
        <is>
          <t>GCO</t>
        </is>
      </c>
      <c r="E405" s="5" t="inlineStr">
        <is>
          <t>42847922MDD3003</t>
        </is>
      </c>
      <c r="F405" s="16">
        <f>HYPERLINK("https://vtmf.veevavault.com/ui/#doc_info/31053720/1/0", "42847922MDD3003-BRA-S10-BR10002-Relevant Communications-02 Jan 2026 (v1.0)")</f>
        <v/>
      </c>
      <c r="G405" s="5" t="inlineStr">
        <is>
          <t>Site Management</t>
        </is>
      </c>
      <c r="H405" s="5" t="inlineStr">
        <is>
          <t>General</t>
        </is>
      </c>
      <c r="I405" s="5" t="inlineStr">
        <is>
          <t>Relevant Communications</t>
        </is>
      </c>
      <c r="J405" s="5" t="inlineStr">
        <is>
          <t>PI_ Dr_ Sandra Ruschel M_D__Site_ BR10002 (Brazil)_Subject ID_ BR100020030_Visit_ Part 2 OL Ind</t>
        </is>
      </c>
      <c r="K405" s="6" t="n">
        <v>53</v>
      </c>
      <c r="L405" s="7" t="n">
        <v>46024</v>
      </c>
      <c r="M405" s="11" t="n">
        <v>46077</v>
      </c>
      <c r="N405" s="5" t="inlineStr">
        <is>
          <t>Approved</t>
        </is>
      </c>
      <c r="O405" s="5" t="inlineStr">
        <is>
          <t>Site</t>
        </is>
      </c>
      <c r="P405" s="5" t="inlineStr">
        <is>
          <t>Brazil</t>
        </is>
      </c>
      <c r="Q405" s="13" t="inlineStr">
        <is>
          <t>S10-BR10002</t>
        </is>
      </c>
      <c r="R405" s="5" t="inlineStr">
        <is>
          <t>Gina Stefanelli</t>
        </is>
      </c>
      <c r="S405" s="8" t="n">
        <v>46077.77719907407</v>
      </c>
    </row>
    <row r="406" hidden="1" ht="58" customHeight="1">
      <c r="A406" s="15">
        <f>HYPERLINK("https://vtmf.veevavault.com/ui/#doc_info/31053738/1/0", "VTMF-25034497")</f>
        <v/>
      </c>
      <c r="B406" s="20" t="inlineStr">
        <is>
          <t>Yes</t>
        </is>
      </c>
      <c r="C406" s="5" t="inlineStr">
        <is>
          <t>1.0</t>
        </is>
      </c>
      <c r="D406" s="5" t="inlineStr">
        <is>
          <t>GCO</t>
        </is>
      </c>
      <c r="E406" s="5" t="inlineStr">
        <is>
          <t>42847922MDD3003</t>
        </is>
      </c>
      <c r="F406" s="16">
        <f>HYPERLINK("https://vtmf.veevavault.com/ui/#doc_info/31053738/1/0", "42847922MDD3003-ARG-S10-AR10010-Relevant Communications-18 Dec 2025 (v1.0)")</f>
        <v/>
      </c>
      <c r="G406" s="5" t="inlineStr">
        <is>
          <t>Site Management</t>
        </is>
      </c>
      <c r="H406" s="5" t="inlineStr">
        <is>
          <t>General</t>
        </is>
      </c>
      <c r="I406" s="5" t="inlineStr">
        <is>
          <t>Relevant Communications</t>
        </is>
      </c>
      <c r="J406" s="5" t="inlineStr">
        <is>
          <t>Non-Critical_JANSSEN_42847922MDD3003_PI: Dr. Hernan David Ruggeri M.D._Site: AR10010(Argentina)_Subject ID: AR100100008/F _Part 2 DB Week 13 _Alert: Triglycerides</t>
        </is>
      </c>
      <c r="K406" s="6" t="n">
        <v>68</v>
      </c>
      <c r="L406" s="7" t="n">
        <v>46009</v>
      </c>
      <c r="M406" s="11" t="n">
        <v>46077</v>
      </c>
      <c r="N406" s="5" t="inlineStr">
        <is>
          <t>Approved</t>
        </is>
      </c>
      <c r="O406" s="5" t="inlineStr">
        <is>
          <t>Site</t>
        </is>
      </c>
      <c r="P406" s="5" t="inlineStr">
        <is>
          <t>Argentina</t>
        </is>
      </c>
      <c r="Q406" s="13" t="inlineStr">
        <is>
          <t>S10-AR10010</t>
        </is>
      </c>
      <c r="R406" s="5" t="inlineStr">
        <is>
          <t>Gina Stefanelli</t>
        </is>
      </c>
      <c r="S406" s="8" t="n">
        <v>46077.78032407408</v>
      </c>
    </row>
    <row r="407" hidden="1" ht="58" customHeight="1">
      <c r="A407" s="15">
        <f>HYPERLINK("https://vtmf.veevavault.com/ui/#doc_info/31053744/1/0", "VTMF-25034518")</f>
        <v/>
      </c>
      <c r="B407" s="20" t="inlineStr">
        <is>
          <t>Yes</t>
        </is>
      </c>
      <c r="C407" s="5" t="inlineStr">
        <is>
          <t>1.0</t>
        </is>
      </c>
      <c r="D407" s="5" t="inlineStr">
        <is>
          <t>GCO</t>
        </is>
      </c>
      <c r="E407" s="5" t="inlineStr">
        <is>
          <t>42847922MDD3003</t>
        </is>
      </c>
      <c r="F407" s="16">
        <f>HYPERLINK("https://vtmf.veevavault.com/ui/#doc_info/31053744/1/0", "42847922MDD3003-ARG-S10-AR10010-Relevant Communications-17 Dec 2025 (v1.0)")</f>
        <v/>
      </c>
      <c r="G407" s="5" t="inlineStr">
        <is>
          <t>Site Management</t>
        </is>
      </c>
      <c r="H407" s="5" t="inlineStr">
        <is>
          <t>General</t>
        </is>
      </c>
      <c r="I407" s="5" t="inlineStr">
        <is>
          <t>Relevant Communications</t>
        </is>
      </c>
      <c r="J407" s="5" t="inlineStr">
        <is>
          <t>Non-Critical:J&amp;J_42847922MDD3003_PI: Hernan David Ruggeri M.D._Site: AR10010(Argentina)_Subject ID: AR100100007_Visit: Part 2 DB Week 13 _ Alert: Serum bicarbonate</t>
        </is>
      </c>
      <c r="K407" s="6" t="n">
        <v>69</v>
      </c>
      <c r="L407" s="7" t="n">
        <v>46008</v>
      </c>
      <c r="M407" s="11" t="n">
        <v>46077</v>
      </c>
      <c r="N407" s="5" t="inlineStr">
        <is>
          <t>Approved</t>
        </is>
      </c>
      <c r="O407" s="5" t="inlineStr">
        <is>
          <t>Site</t>
        </is>
      </c>
      <c r="P407" s="5" t="inlineStr">
        <is>
          <t>Argentina</t>
        </is>
      </c>
      <c r="Q407" s="13" t="inlineStr">
        <is>
          <t>S10-AR10010</t>
        </is>
      </c>
      <c r="R407" s="5" t="inlineStr">
        <is>
          <t>Gina Stefanelli</t>
        </is>
      </c>
      <c r="S407" s="8" t="n">
        <v>46077.78254629629</v>
      </c>
    </row>
    <row r="408" hidden="1" ht="58" customHeight="1">
      <c r="A408" s="15">
        <f>HYPERLINK("https://vtmf.veevavault.com/ui/#doc_info/31053752/1/0", "VTMF-25034544")</f>
        <v/>
      </c>
      <c r="B408" s="20" t="inlineStr">
        <is>
          <t>Yes</t>
        </is>
      </c>
      <c r="C408" s="5" t="inlineStr">
        <is>
          <t>1.0</t>
        </is>
      </c>
      <c r="D408" s="5" t="inlineStr">
        <is>
          <t>GCO</t>
        </is>
      </c>
      <c r="E408" s="5" t="inlineStr">
        <is>
          <t>42847922MDD3003</t>
        </is>
      </c>
      <c r="F408" s="16">
        <f>HYPERLINK("https://vtmf.veevavault.com/ui/#doc_info/31053752/1/0", "42847922MDD3003-USA-S10-US10257-Relevant Communications-23 Dec 2025 (v1.0)")</f>
        <v/>
      </c>
      <c r="G408" s="5" t="inlineStr">
        <is>
          <t>Site Management</t>
        </is>
      </c>
      <c r="H408" s="5" t="inlineStr">
        <is>
          <t>General</t>
        </is>
      </c>
      <c r="I408" s="5" t="inlineStr">
        <is>
          <t>Relevant Communications</t>
        </is>
      </c>
      <c r="J408" s="5" t="inlineStr">
        <is>
          <t>Non-Critical: J&amp;J_42847922MDD3003_PI: Dr. Thomas Lester M.D._Site: US10257(United States)_Subject ID: US102570016_Visit: Part 1 Screening_ Alert-Hemoglobin</t>
        </is>
      </c>
      <c r="K408" s="6" t="n">
        <v>63</v>
      </c>
      <c r="L408" s="7" t="n">
        <v>46014</v>
      </c>
      <c r="M408" s="11" t="n">
        <v>46077</v>
      </c>
      <c r="N408" s="5" t="inlineStr">
        <is>
          <t>Approved</t>
        </is>
      </c>
      <c r="O408" s="5" t="inlineStr">
        <is>
          <t>Site</t>
        </is>
      </c>
      <c r="P408" s="5" t="inlineStr">
        <is>
          <t>United States</t>
        </is>
      </c>
      <c r="Q408" s="13" t="inlineStr">
        <is>
          <t>S10-US10257</t>
        </is>
      </c>
      <c r="R408" s="5" t="inlineStr">
        <is>
          <t>Gina Stefanelli</t>
        </is>
      </c>
      <c r="S408" s="8" t="n">
        <v>46077.78590277778</v>
      </c>
    </row>
    <row r="409" hidden="1" ht="58" customHeight="1">
      <c r="A409" s="15">
        <f>HYPERLINK("https://vtmf.veevavault.com/ui/#doc_info/31053836/1/0", "VTMF-25034597")</f>
        <v/>
      </c>
      <c r="B409" s="20" t="inlineStr">
        <is>
          <t>Yes</t>
        </is>
      </c>
      <c r="C409" s="5" t="inlineStr">
        <is>
          <t>1.0</t>
        </is>
      </c>
      <c r="D409" s="5" t="inlineStr">
        <is>
          <t>GCO</t>
        </is>
      </c>
      <c r="E409" s="5" t="inlineStr">
        <is>
          <t>42847922MDD3003</t>
        </is>
      </c>
      <c r="F409" s="16">
        <f>HYPERLINK("https://vtmf.veevavault.com/ui/#doc_info/31053836/1/0", "42847922MDD3003-BGR-S10-BG10009-Relevant Communications-29 Dec 2025 (v1.0)")</f>
        <v/>
      </c>
      <c r="G409" s="5" t="inlineStr">
        <is>
          <t>Site Management</t>
        </is>
      </c>
      <c r="H409" s="5" t="inlineStr">
        <is>
          <t>General</t>
        </is>
      </c>
      <c r="I409" s="5" t="inlineStr">
        <is>
          <t>Relevant Communications</t>
        </is>
      </c>
      <c r="J409" s="5" t="inlineStr">
        <is>
          <t>Non Critical_JANSSEN_42847922MDD3003_PI_ Dr_ Hristo Kozhuharov_Site_ BG10009(Bulgaria)_Subject ID_ BG100090001_F_Visit: Part 2 DB Week 13_Alert: Serum Chloride</t>
        </is>
      </c>
      <c r="K409" s="6" t="n">
        <v>57</v>
      </c>
      <c r="L409" s="7" t="n">
        <v>46020</v>
      </c>
      <c r="M409" s="11" t="n">
        <v>46077</v>
      </c>
      <c r="N409" s="5" t="inlineStr">
        <is>
          <t>Approved</t>
        </is>
      </c>
      <c r="O409" s="5" t="inlineStr">
        <is>
          <t>Site</t>
        </is>
      </c>
      <c r="P409" s="5" t="inlineStr">
        <is>
          <t>Bulgaria</t>
        </is>
      </c>
      <c r="Q409" s="13" t="inlineStr">
        <is>
          <t>S10-BG10009</t>
        </is>
      </c>
      <c r="R409" s="5" t="inlineStr">
        <is>
          <t>Gina Stefanelli</t>
        </is>
      </c>
      <c r="S409" s="8" t="n">
        <v>46077.79796296296</v>
      </c>
    </row>
    <row r="410" hidden="1" ht="43.5" customHeight="1">
      <c r="A410" s="15">
        <f>HYPERLINK("https://vtmf.veevavault.com/ui/#doc_info/31054010/1/0", "VTMF-25034649")</f>
        <v/>
      </c>
      <c r="B410" s="20" t="inlineStr">
        <is>
          <t>Yes</t>
        </is>
      </c>
      <c r="C410" s="5" t="inlineStr">
        <is>
          <t>1.0</t>
        </is>
      </c>
      <c r="D410" s="5" t="inlineStr">
        <is>
          <t>GCO</t>
        </is>
      </c>
      <c r="E410" s="5" t="inlineStr">
        <is>
          <t>42847922MDD3003</t>
        </is>
      </c>
      <c r="F410" s="16">
        <f>HYPERLINK("https://vtmf.veevavault.com/ui/#doc_info/31054010/1/0", "42847922MDD3003-BGR-S10-BG10010-Relevant Communications-23 Dec 2025 (v1.0)")</f>
        <v/>
      </c>
      <c r="G410" s="5" t="inlineStr">
        <is>
          <t>Site Management</t>
        </is>
      </c>
      <c r="H410" s="5" t="inlineStr">
        <is>
          <t>General</t>
        </is>
      </c>
      <c r="I410" s="5" t="inlineStr">
        <is>
          <t>Relevant Communications</t>
        </is>
      </c>
      <c r="J410" s="5" t="inlineStr">
        <is>
          <t>PI_ Dr_Andriana Kakanakova Site_BG10010(Bulgaria)_Subject ID_BG100100004_Visit_ Part 2 DB</t>
        </is>
      </c>
      <c r="K410" s="6" t="n">
        <v>63</v>
      </c>
      <c r="L410" s="7" t="n">
        <v>46014</v>
      </c>
      <c r="M410" s="11" t="n">
        <v>46077</v>
      </c>
      <c r="N410" s="5" t="inlineStr">
        <is>
          <t>Approved</t>
        </is>
      </c>
      <c r="O410" s="5" t="inlineStr">
        <is>
          <t>Site</t>
        </is>
      </c>
      <c r="P410" s="5" t="inlineStr">
        <is>
          <t>Bulgaria</t>
        </is>
      </c>
      <c r="Q410" s="13" t="inlineStr">
        <is>
          <t>S10-BG10010</t>
        </is>
      </c>
      <c r="R410" s="5" t="inlineStr">
        <is>
          <t>Gina Stefanelli</t>
        </is>
      </c>
      <c r="S410" s="8" t="n">
        <v>46077.80392361111</v>
      </c>
    </row>
    <row r="411" hidden="1" ht="43.5" customHeight="1">
      <c r="A411" s="15">
        <f>HYPERLINK("https://vtmf.veevavault.com/ui/#doc_info/31054025/1/0", "VTMF-25034670")</f>
        <v/>
      </c>
      <c r="B411" s="20" t="inlineStr">
        <is>
          <t>Yes</t>
        </is>
      </c>
      <c r="C411" s="5" t="inlineStr">
        <is>
          <t>1.0</t>
        </is>
      </c>
      <c r="D411" s="5" t="inlineStr">
        <is>
          <t>GCO</t>
        </is>
      </c>
      <c r="E411" s="5" t="inlineStr">
        <is>
          <t>42847922MDD3003</t>
        </is>
      </c>
      <c r="F411" s="16">
        <f>HYPERLINK("https://vtmf.veevavault.com/ui/#doc_info/31054025/1/0", "42847922MDD3003-ROU-S10-RO10018-Relevant Communications-18 Dec 2025 (v1.0)")</f>
        <v/>
      </c>
      <c r="G411" s="5" t="inlineStr">
        <is>
          <t>Site Management</t>
        </is>
      </c>
      <c r="H411" s="5" t="inlineStr">
        <is>
          <t>General</t>
        </is>
      </c>
      <c r="I411" s="5" t="inlineStr">
        <is>
          <t>Relevant Communications</t>
        </is>
      </c>
      <c r="J411" s="5" t="inlineStr">
        <is>
          <t>PI Dr. Victor Gheorman Site RO10018(Romania)_Subject ID:RO100180004_Visit: Part 2 DB Baseline/ _Alert-Serum Chloride</t>
        </is>
      </c>
      <c r="K411" s="6" t="n">
        <v>68</v>
      </c>
      <c r="L411" s="7" t="n">
        <v>46009</v>
      </c>
      <c r="M411" s="11" t="n">
        <v>46077</v>
      </c>
      <c r="N411" s="5" t="inlineStr">
        <is>
          <t>Approved</t>
        </is>
      </c>
      <c r="O411" s="5" t="inlineStr">
        <is>
          <t>Site</t>
        </is>
      </c>
      <c r="P411" s="5" t="inlineStr">
        <is>
          <t>Romania</t>
        </is>
      </c>
      <c r="Q411" s="13" t="inlineStr">
        <is>
          <t>S10-RO10018</t>
        </is>
      </c>
      <c r="R411" s="5" t="inlineStr">
        <is>
          <t>Gina Stefanelli</t>
        </is>
      </c>
      <c r="S411" s="8" t="n">
        <v>46077.80685185185</v>
      </c>
    </row>
    <row r="412" hidden="1" ht="43.5" customHeight="1">
      <c r="A412" s="15">
        <f>HYPERLINK("https://vtmf.veevavault.com/ui/#doc_info/31054070/1/0", "VTMF-25034744")</f>
        <v/>
      </c>
      <c r="B412" s="20" t="inlineStr">
        <is>
          <t>Yes</t>
        </is>
      </c>
      <c r="C412" s="5" t="inlineStr">
        <is>
          <t>1.0</t>
        </is>
      </c>
      <c r="D412" s="5" t="inlineStr">
        <is>
          <t>GCO</t>
        </is>
      </c>
      <c r="E412" s="5" t="inlineStr">
        <is>
          <t>42847922MDD3003</t>
        </is>
      </c>
      <c r="F412" s="16">
        <f>HYPERLINK("https://vtmf.veevavault.com/ui/#doc_info/31054070/1/0", "42847922MDD3003-ARG-S10-AR10014-Relevant Communications-22 Dec 2025 (v1.0)")</f>
        <v/>
      </c>
      <c r="G412" s="5" t="inlineStr">
        <is>
          <t>Site Management</t>
        </is>
      </c>
      <c r="H412" s="5" t="inlineStr">
        <is>
          <t>General</t>
        </is>
      </c>
      <c r="I412" s="5" t="inlineStr">
        <is>
          <t>Relevant Communications</t>
        </is>
      </c>
      <c r="J412" s="5" t="inlineStr">
        <is>
          <t>Non Critical: J&amp;J_42847922MDD3003_PI: Dr. Mariano Buteler _Site: S10-AR10014 (Argentina)_Subject ID: AR100140011 _Visit: Retest_ Alert-Glucose Low (LP)</t>
        </is>
      </c>
      <c r="K412" s="6" t="n">
        <v>64</v>
      </c>
      <c r="L412" s="7" t="n">
        <v>46013</v>
      </c>
      <c r="M412" s="11" t="n">
        <v>46077</v>
      </c>
      <c r="N412" s="5" t="inlineStr">
        <is>
          <t>Approved</t>
        </is>
      </c>
      <c r="O412" s="5" t="inlineStr">
        <is>
          <t>Site</t>
        </is>
      </c>
      <c r="P412" s="5" t="inlineStr">
        <is>
          <t>Argentina</t>
        </is>
      </c>
      <c r="Q412" s="13" t="inlineStr">
        <is>
          <t>S10-AR10014</t>
        </is>
      </c>
      <c r="R412" s="5" t="inlineStr">
        <is>
          <t>Gina Stefanelli</t>
        </is>
      </c>
      <c r="S412" s="8" t="n">
        <v>46077.81503472223</v>
      </c>
    </row>
    <row r="413" hidden="1" ht="29" customHeight="1">
      <c r="A413" s="15">
        <f>HYPERLINK("https://vtmf.veevavault.com/ui/#doc_info/31059014/1/0", "VTMF-25039208")</f>
        <v/>
      </c>
      <c r="B413" s="20" t="inlineStr">
        <is>
          <t>Yes</t>
        </is>
      </c>
      <c r="C413" s="5" t="inlineStr">
        <is>
          <t>1.0</t>
        </is>
      </c>
      <c r="D413" s="5" t="inlineStr">
        <is>
          <t>GCO</t>
        </is>
      </c>
      <c r="E413" s="5" t="inlineStr">
        <is>
          <t>42847922MDD3003</t>
        </is>
      </c>
      <c r="F413" s="16">
        <f>HYPERLINK("https://vtmf.veevavault.com/ui/#doc_info/31059014/1/0", "42847922MDD3003-PRT-S10-PT10012-Relevant Communications-21 Jan 2026 (v1.0)")</f>
        <v/>
      </c>
      <c r="G413" s="5" t="inlineStr">
        <is>
          <t>Site Management</t>
        </is>
      </c>
      <c r="H413" s="5" t="inlineStr">
        <is>
          <t>General</t>
        </is>
      </c>
      <c r="I413" s="5" t="inlineStr">
        <is>
          <t>Relevant Communications</t>
        </is>
      </c>
      <c r="J413" s="5" t="inlineStr">
        <is>
          <t>Email_New Mandatory Protocol Training - Protocol Amendment 2 Training V4.0</t>
        </is>
      </c>
      <c r="K413" s="6" t="n">
        <v>35</v>
      </c>
      <c r="L413" s="7" t="n">
        <v>46043</v>
      </c>
      <c r="M413" s="11" t="n">
        <v>46078</v>
      </c>
      <c r="N413" s="5" t="inlineStr">
        <is>
          <t>Approved</t>
        </is>
      </c>
      <c r="O413" s="5" t="inlineStr">
        <is>
          <t>Site</t>
        </is>
      </c>
      <c r="P413" s="5" t="inlineStr">
        <is>
          <t>Portugal</t>
        </is>
      </c>
      <c r="Q413" s="13" t="inlineStr">
        <is>
          <t>S10-PT10012</t>
        </is>
      </c>
      <c r="R413" s="5" t="inlineStr">
        <is>
          <t>Ruben Ayora</t>
        </is>
      </c>
      <c r="S413" s="8" t="n">
        <v>46078.42444444444</v>
      </c>
    </row>
    <row r="414" hidden="1" ht="29" customHeight="1">
      <c r="A414" s="15">
        <f>HYPERLINK("https://vtmf.veevavault.com/ui/#doc_info/31059037/1/0", "VTMF-25039254")</f>
        <v/>
      </c>
      <c r="B414" s="19" t="inlineStr">
        <is>
          <t>No</t>
        </is>
      </c>
      <c r="C414" s="5" t="inlineStr">
        <is>
          <t>1.0</t>
        </is>
      </c>
      <c r="D414" s="5" t="inlineStr">
        <is>
          <t>GCO</t>
        </is>
      </c>
      <c r="E414" s="5" t="inlineStr">
        <is>
          <t>42847922MDD3003</t>
        </is>
      </c>
      <c r="F414" s="16">
        <f>HYPERLINK("https://vtmf.veevavault.com/ui/#doc_info/31059037/1/0", "42847922MDD3003-CZE-S10-CZ10008-Non-IP Shipment Documentation-10 Oct 2025 (v1.0)")</f>
        <v/>
      </c>
      <c r="G414" s="5" t="inlineStr">
        <is>
          <t>IP and Trial Supplies</t>
        </is>
      </c>
      <c r="H414" s="5" t="inlineStr">
        <is>
          <t>Non-IP Documentation</t>
        </is>
      </c>
      <c r="I414" s="5" t="inlineStr">
        <is>
          <t>Non-IP Shipment Documentation</t>
        </is>
      </c>
      <c r="J414" s="5" t="inlineStr">
        <is>
          <t>NIPSF_USB_08Oct2025</t>
        </is>
      </c>
      <c r="K414" s="6" t="n">
        <v>138</v>
      </c>
      <c r="L414" s="7" t="n">
        <v>45940</v>
      </c>
      <c r="M414" s="11" t="n">
        <v>46078</v>
      </c>
      <c r="N414" s="5" t="inlineStr">
        <is>
          <t>Approved</t>
        </is>
      </c>
      <c r="O414" s="5" t="inlineStr">
        <is>
          <t>Site</t>
        </is>
      </c>
      <c r="P414" s="5" t="inlineStr">
        <is>
          <t>Czech Republic</t>
        </is>
      </c>
      <c r="Q414" s="13" t="inlineStr">
        <is>
          <t>S10-CZ10008</t>
        </is>
      </c>
      <c r="R414" s="5" t="inlineStr">
        <is>
          <t>Michaela Sapíková</t>
        </is>
      </c>
      <c r="S414" s="8" t="n">
        <v>46078.43118055556</v>
      </c>
    </row>
    <row r="415" hidden="1" ht="29" customHeight="1">
      <c r="A415" s="15">
        <f>HYPERLINK("https://vtmf.veevavault.com/ui/#doc_info/31061078/1/0", "VTMF-25040752")</f>
        <v/>
      </c>
      <c r="B415" s="20" t="inlineStr">
        <is>
          <t>Yes</t>
        </is>
      </c>
      <c r="C415" s="5" t="inlineStr">
        <is>
          <t>1.0</t>
        </is>
      </c>
      <c r="D415" s="5" t="inlineStr">
        <is>
          <t>GCO</t>
        </is>
      </c>
      <c r="E415" s="5" t="inlineStr">
        <is>
          <t>42847922MDD3003</t>
        </is>
      </c>
      <c r="F415" s="16">
        <f>HYPERLINK("https://vtmf.veevavault.com/ui/#doc_info/31061078/1/0", "42847922MDD3003-USA-S10-US10046-File Note-24 Sep 2024 (v1.0)")</f>
        <v/>
      </c>
      <c r="G415" s="5" t="inlineStr">
        <is>
          <t>Site Management</t>
        </is>
      </c>
      <c r="H415" s="5" t="inlineStr">
        <is>
          <t>General</t>
        </is>
      </c>
      <c r="I415" s="5" t="inlineStr">
        <is>
          <t>File Note</t>
        </is>
      </c>
      <c r="J415" s="5" t="inlineStr">
        <is>
          <t>42847922MDD3003_CTNI recording issue final 24-Sep-24</t>
        </is>
      </c>
      <c r="K415" s="6" t="n">
        <v>519</v>
      </c>
      <c r="L415" s="7" t="n">
        <v>45559</v>
      </c>
      <c r="M415" s="11" t="n">
        <v>46078</v>
      </c>
      <c r="N415" s="5" t="inlineStr">
        <is>
          <t>Approved</t>
        </is>
      </c>
      <c r="O415" s="5" t="inlineStr">
        <is>
          <t>Site</t>
        </is>
      </c>
      <c r="P415" s="5" t="inlineStr">
        <is>
          <t>United States</t>
        </is>
      </c>
      <c r="Q415" s="13" t="inlineStr">
        <is>
          <t>S10-US10046</t>
        </is>
      </c>
      <c r="R415" s="5" t="inlineStr">
        <is>
          <t>Gabriela Dluska</t>
        </is>
      </c>
      <c r="S415" s="8" t="n">
        <v>46078.61799768519</v>
      </c>
    </row>
    <row r="416" hidden="1" ht="29" customHeight="1">
      <c r="A416" s="15">
        <f>HYPERLINK("https://vtmf.veevavault.com/ui/#doc_info/31061079/1/0", "VTMF-25040753")</f>
        <v/>
      </c>
      <c r="B416" s="20" t="inlineStr">
        <is>
          <t>Yes</t>
        </is>
      </c>
      <c r="C416" s="5" t="inlineStr">
        <is>
          <t>1.0</t>
        </is>
      </c>
      <c r="D416" s="5" t="inlineStr">
        <is>
          <t>GCO</t>
        </is>
      </c>
      <c r="E416" s="5" t="inlineStr">
        <is>
          <t>42847922MDD3003</t>
        </is>
      </c>
      <c r="F416" s="16">
        <f>HYPERLINK("https://vtmf.veevavault.com/ui/#doc_info/31061079/1/0", "42847922MDD3003-USA-S10-US10033-File Note-24 Sep 2024 (v1.0)")</f>
        <v/>
      </c>
      <c r="G416" s="5" t="inlineStr">
        <is>
          <t>Site Management</t>
        </is>
      </c>
      <c r="H416" s="5" t="inlineStr">
        <is>
          <t>General</t>
        </is>
      </c>
      <c r="I416" s="5" t="inlineStr">
        <is>
          <t>File Note</t>
        </is>
      </c>
      <c r="J416" s="5" t="inlineStr">
        <is>
          <t>42847922MDD3003_CTNI communication 24 Sep 24 final</t>
        </is>
      </c>
      <c r="K416" s="6" t="n">
        <v>519</v>
      </c>
      <c r="L416" s="7" t="n">
        <v>45559</v>
      </c>
      <c r="M416" s="11" t="n">
        <v>46078</v>
      </c>
      <c r="N416" s="5" t="inlineStr">
        <is>
          <t>Approved</t>
        </is>
      </c>
      <c r="O416" s="5" t="inlineStr">
        <is>
          <t>Site</t>
        </is>
      </c>
      <c r="P416" s="5" t="inlineStr">
        <is>
          <t>United States</t>
        </is>
      </c>
      <c r="Q416" s="13" t="inlineStr">
        <is>
          <t>S10-US10033</t>
        </is>
      </c>
      <c r="R416" s="5" t="inlineStr">
        <is>
          <t>Gabriela Dluska</t>
        </is>
      </c>
      <c r="S416" s="8" t="n">
        <v>46078.61799768519</v>
      </c>
    </row>
    <row r="417" hidden="1" ht="43.5" customHeight="1">
      <c r="A417" s="15">
        <f>HYPERLINK("https://vtmf.veevavault.com/ui/#doc_info/31061080/1/0", "VTMF-25040754")</f>
        <v/>
      </c>
      <c r="B417" s="20" t="inlineStr">
        <is>
          <t>Yes</t>
        </is>
      </c>
      <c r="C417" s="5" t="inlineStr">
        <is>
          <t>1.0</t>
        </is>
      </c>
      <c r="D417" s="5" t="inlineStr">
        <is>
          <t>GCO</t>
        </is>
      </c>
      <c r="E417" s="5" t="inlineStr">
        <is>
          <t>42847922MDD3003</t>
        </is>
      </c>
      <c r="F417" s="16">
        <f>HYPERLINK("https://vtmf.veevavault.com/ui/#doc_info/31061080/1/0", "42847922MDD3003-USA-S10-US10051-Relevant Communications-26 Sep 2024 (v1.0)")</f>
        <v/>
      </c>
      <c r="G417" s="5" t="inlineStr">
        <is>
          <t>Site Management</t>
        </is>
      </c>
      <c r="H417" s="5" t="inlineStr">
        <is>
          <t>General</t>
        </is>
      </c>
      <c r="I417" s="5" t="inlineStr">
        <is>
          <t>Relevant Communications</t>
        </is>
      </c>
      <c r="J417" s="5" t="inlineStr">
        <is>
          <t>MDD3003_PI: Dr. Wylie, Paul_Site:US10051(United States)_Subject ID: US10051001_Visit: UNSCHEDULED / _Alert: Inverted T Wave</t>
        </is>
      </c>
      <c r="K417" s="6" t="n">
        <v>517</v>
      </c>
      <c r="L417" s="7" t="n">
        <v>45561</v>
      </c>
      <c r="M417" s="11" t="n">
        <v>46078</v>
      </c>
      <c r="N417" s="5" t="inlineStr">
        <is>
          <t>Approved</t>
        </is>
      </c>
      <c r="O417" s="5" t="inlineStr">
        <is>
          <t>Site</t>
        </is>
      </c>
      <c r="P417" s="5" t="inlineStr">
        <is>
          <t>United States</t>
        </is>
      </c>
      <c r="Q417" s="13" t="inlineStr">
        <is>
          <t>S10-US10051</t>
        </is>
      </c>
      <c r="R417" s="5" t="inlineStr">
        <is>
          <t>Gabriela Dluska</t>
        </is>
      </c>
      <c r="S417" s="8" t="n">
        <v>46078.61799768519</v>
      </c>
    </row>
    <row r="418" hidden="1" ht="43.5" customHeight="1">
      <c r="A418" s="15">
        <f>HYPERLINK("https://vtmf.veevavault.com/ui/#doc_info/31061081/1/0", "VTMF-25040755")</f>
        <v/>
      </c>
      <c r="B418" s="20" t="inlineStr">
        <is>
          <t>Yes</t>
        </is>
      </c>
      <c r="C418" s="5" t="inlineStr">
        <is>
          <t>1.0</t>
        </is>
      </c>
      <c r="D418" s="5" t="inlineStr">
        <is>
          <t>GCO</t>
        </is>
      </c>
      <c r="E418" s="5" t="inlineStr">
        <is>
          <t>42847922MDD3003</t>
        </is>
      </c>
      <c r="F418" s="16">
        <f>HYPERLINK("https://vtmf.veevavault.com/ui/#doc_info/31061081/1/0", "42847922MDD3003-USA-S10-US10103-Relevant Communications-27 Sep 2024 (v1.0)")</f>
        <v/>
      </c>
      <c r="G418" s="5" t="inlineStr">
        <is>
          <t>Site Management</t>
        </is>
      </c>
      <c r="H418" s="5" t="inlineStr">
        <is>
          <t>General</t>
        </is>
      </c>
      <c r="I418" s="5" t="inlineStr">
        <is>
          <t>Relevant Communications</t>
        </is>
      </c>
      <c r="J418" s="5" t="inlineStr">
        <is>
          <t>MDD3003_PI: Dr. Americo Padilla M.D._Site: US10103(United States)_Subject ID: US101030012_Visit: Part 1 Screening_Alert: TSH</t>
        </is>
      </c>
      <c r="K418" s="6" t="n">
        <v>516</v>
      </c>
      <c r="L418" s="7" t="n">
        <v>45562</v>
      </c>
      <c r="M418" s="11" t="n">
        <v>46078</v>
      </c>
      <c r="N418" s="5" t="inlineStr">
        <is>
          <t>Approved</t>
        </is>
      </c>
      <c r="O418" s="5" t="inlineStr">
        <is>
          <t>Site</t>
        </is>
      </c>
      <c r="P418" s="5" t="inlineStr">
        <is>
          <t>United States</t>
        </is>
      </c>
      <c r="Q418" s="13" t="inlineStr">
        <is>
          <t>S10-US10103</t>
        </is>
      </c>
      <c r="R418" s="5" t="inlineStr">
        <is>
          <t>Gabriela Dluska</t>
        </is>
      </c>
      <c r="S418" s="8" t="n">
        <v>46078.61799768519</v>
      </c>
    </row>
    <row r="419" hidden="1" ht="58" customHeight="1">
      <c r="A419" s="15">
        <f>HYPERLINK("https://vtmf.veevavault.com/ui/#doc_info/31061082/1/0", "VTMF-25040756")</f>
        <v/>
      </c>
      <c r="B419" s="20" t="inlineStr">
        <is>
          <t>Yes</t>
        </is>
      </c>
      <c r="C419" s="5" t="inlineStr">
        <is>
          <t>1.0</t>
        </is>
      </c>
      <c r="D419" s="5" t="inlineStr">
        <is>
          <t>GCO</t>
        </is>
      </c>
      <c r="E419" s="5" t="inlineStr">
        <is>
          <t>42847922MDD3003</t>
        </is>
      </c>
      <c r="F419" s="16">
        <f>HYPERLINK("https://vtmf.veevavault.com/ui/#doc_info/31061082/1/0", "42847922MDD3003-USA-S10-US10103-Relevant Communications-24 Sep 2024 (v1.0)")</f>
        <v/>
      </c>
      <c r="G419" s="5" t="inlineStr">
        <is>
          <t>Site Management</t>
        </is>
      </c>
      <c r="H419" s="5" t="inlineStr">
        <is>
          <t>General</t>
        </is>
      </c>
      <c r="I419" s="5" t="inlineStr">
        <is>
          <t>Relevant Communications</t>
        </is>
      </c>
      <c r="J419" s="5" t="inlineStr">
        <is>
          <t>MDD3003_PI: Dr. Americo Padilla M.D._Site: US10103(United 
States)_Subject ID: US101030007_Visit: Part 1 Screening_Alert: Triglycerides (GPO)</t>
        </is>
      </c>
      <c r="K419" s="6" t="n">
        <v>519</v>
      </c>
      <c r="L419" s="7" t="n">
        <v>45559</v>
      </c>
      <c r="M419" s="11" t="n">
        <v>46078</v>
      </c>
      <c r="N419" s="5" t="inlineStr">
        <is>
          <t>Approved</t>
        </is>
      </c>
      <c r="O419" s="5" t="inlineStr">
        <is>
          <t>Site</t>
        </is>
      </c>
      <c r="P419" s="5" t="inlineStr">
        <is>
          <t>United States</t>
        </is>
      </c>
      <c r="Q419" s="13" t="inlineStr">
        <is>
          <t>S10-US10103</t>
        </is>
      </c>
      <c r="R419" s="5" t="inlineStr">
        <is>
          <t>Gabriela Dluska</t>
        </is>
      </c>
      <c r="S419" s="8" t="n">
        <v>46078.61799768519</v>
      </c>
    </row>
    <row r="420" hidden="1" ht="43.5" customHeight="1">
      <c r="A420" s="15">
        <f>HYPERLINK("https://vtmf.veevavault.com/ui/#doc_info/31061083/1/0", "VTMF-25040757")</f>
        <v/>
      </c>
      <c r="B420" s="20" t="inlineStr">
        <is>
          <t>Yes</t>
        </is>
      </c>
      <c r="C420" s="5" t="inlineStr">
        <is>
          <t>1.0</t>
        </is>
      </c>
      <c r="D420" s="5" t="inlineStr">
        <is>
          <t>GCO</t>
        </is>
      </c>
      <c r="E420" s="5" t="inlineStr">
        <is>
          <t>42847922MDD3003</t>
        </is>
      </c>
      <c r="F420" s="16">
        <f>HYPERLINK("https://vtmf.veevavault.com/ui/#doc_info/31061083/1/0", "42847922MDD3003-USA-S10-US10103-Relevant Communications-25 Sep 2024 (v1.0)")</f>
        <v/>
      </c>
      <c r="G420" s="5" t="inlineStr">
        <is>
          <t>Site Management</t>
        </is>
      </c>
      <c r="H420" s="5" t="inlineStr">
        <is>
          <t>General</t>
        </is>
      </c>
      <c r="I420" s="5" t="inlineStr">
        <is>
          <t>Relevant Communications</t>
        </is>
      </c>
      <c r="J420" s="5" t="inlineStr">
        <is>
          <t>MDD3003_PI: Dr. Americo Padilla M.D._Site: US10103 (United States)_Subject ID: US101030009_Visit: VISIT 1 / _Alert: ECG-LOW VOLTAGE</t>
        </is>
      </c>
      <c r="K420" s="6" t="n">
        <v>518</v>
      </c>
      <c r="L420" s="7" t="n">
        <v>45560</v>
      </c>
      <c r="M420" s="11" t="n">
        <v>46078</v>
      </c>
      <c r="N420" s="5" t="inlineStr">
        <is>
          <t>Approved</t>
        </is>
      </c>
      <c r="O420" s="5" t="inlineStr">
        <is>
          <t>Site</t>
        </is>
      </c>
      <c r="P420" s="5" t="inlineStr">
        <is>
          <t>United States</t>
        </is>
      </c>
      <c r="Q420" s="13" t="inlineStr">
        <is>
          <t>S10-US10103</t>
        </is>
      </c>
      <c r="R420" s="5" t="inlineStr">
        <is>
          <t>Gabriela Dluska</t>
        </is>
      </c>
      <c r="S420" s="8" t="n">
        <v>46078.61799768519</v>
      </c>
    </row>
    <row r="421" hidden="1" ht="43.5" customHeight="1">
      <c r="A421" s="15">
        <f>HYPERLINK("https://vtmf.veevavault.com/ui/#doc_info/31061084/1/0", "VTMF-25040758")</f>
        <v/>
      </c>
      <c r="B421" s="20" t="inlineStr">
        <is>
          <t>Yes</t>
        </is>
      </c>
      <c r="C421" s="5" t="inlineStr">
        <is>
          <t>1.0</t>
        </is>
      </c>
      <c r="D421" s="5" t="inlineStr">
        <is>
          <t>GCO</t>
        </is>
      </c>
      <c r="E421" s="5" t="inlineStr">
        <is>
          <t>42847922MDD3003</t>
        </is>
      </c>
      <c r="F421" s="16">
        <f>HYPERLINK("https://vtmf.veevavault.com/ui/#doc_info/31061084/1/0", "42847922MDD3003-USA-S10-US10103-Relevant Communications-23 Sep 2024 (v1.0)")</f>
        <v/>
      </c>
      <c r="G421" s="5" t="inlineStr">
        <is>
          <t>Site Management</t>
        </is>
      </c>
      <c r="H421" s="5" t="inlineStr">
        <is>
          <t>General</t>
        </is>
      </c>
      <c r="I421" s="5" t="inlineStr">
        <is>
          <t>Relevant Communications</t>
        </is>
      </c>
      <c r="J421" s="5" t="inlineStr">
        <is>
          <t>MDD3003_PI: Dr. Americo Padilla M.D._Site: US10103 (United States)_Subject ID: US101030004_Visit: Part 1 Screening_Alert: UDS-cancelled</t>
        </is>
      </c>
      <c r="K421" s="6" t="n">
        <v>520</v>
      </c>
      <c r="L421" s="7" t="n">
        <v>45558</v>
      </c>
      <c r="M421" s="11" t="n">
        <v>46078</v>
      </c>
      <c r="N421" s="5" t="inlineStr">
        <is>
          <t>Approved</t>
        </is>
      </c>
      <c r="O421" s="5" t="inlineStr">
        <is>
          <t>Site</t>
        </is>
      </c>
      <c r="P421" s="5" t="inlineStr">
        <is>
          <t>United States</t>
        </is>
      </c>
      <c r="Q421" s="13" t="inlineStr">
        <is>
          <t>S10-US10103</t>
        </is>
      </c>
      <c r="R421" s="5" t="inlineStr">
        <is>
          <t>Gabriela Dluska</t>
        </is>
      </c>
      <c r="S421" s="8" t="n">
        <v>46078.61799768519</v>
      </c>
    </row>
    <row r="422" hidden="1" ht="58" customHeight="1">
      <c r="A422" s="15">
        <f>HYPERLINK("https://vtmf.veevavault.com/ui/#doc_info/31061085/1/0", "VTMF-25040759")</f>
        <v/>
      </c>
      <c r="B422" s="20" t="inlineStr">
        <is>
          <t>Yes</t>
        </is>
      </c>
      <c r="C422" s="5" t="inlineStr">
        <is>
          <t>1.0</t>
        </is>
      </c>
      <c r="D422" s="5" t="inlineStr">
        <is>
          <t>GCO</t>
        </is>
      </c>
      <c r="E422" s="5" t="inlineStr">
        <is>
          <t>42847922MDD3003</t>
        </is>
      </c>
      <c r="F422" s="16">
        <f>HYPERLINK("https://vtmf.veevavault.com/ui/#doc_info/31061085/1/0", "42847922MDD3003-USA-S10-US10064-Relevant Communications-23 Sep 2024 (v1.0)")</f>
        <v/>
      </c>
      <c r="G422" s="5" t="inlineStr">
        <is>
          <t>Site Management</t>
        </is>
      </c>
      <c r="H422" s="5" t="inlineStr">
        <is>
          <t>General</t>
        </is>
      </c>
      <c r="I422" s="5" t="inlineStr">
        <is>
          <t>Relevant Communications</t>
        </is>
      </c>
      <c r="J422" s="5" t="inlineStr">
        <is>
          <t>MDD3003_PI_Jorge Venereo_Site_US10064_Subject_US100640001_IQVIA Eligibility 
Review_Approved</t>
        </is>
      </c>
      <c r="K422" s="6" t="n">
        <v>520</v>
      </c>
      <c r="L422" s="7" t="n">
        <v>45558</v>
      </c>
      <c r="M422" s="11" t="n">
        <v>46078</v>
      </c>
      <c r="N422" s="5" t="inlineStr">
        <is>
          <t>Approved</t>
        </is>
      </c>
      <c r="O422" s="5" t="inlineStr">
        <is>
          <t>Site</t>
        </is>
      </c>
      <c r="P422" s="5" t="inlineStr">
        <is>
          <t>United States</t>
        </is>
      </c>
      <c r="Q422" s="13" t="inlineStr">
        <is>
          <t>S10-US10064</t>
        </is>
      </c>
      <c r="R422" s="5" t="inlineStr">
        <is>
          <t>Gabriela Dluska</t>
        </is>
      </c>
      <c r="S422" s="8" t="n">
        <v>46078.61799768519</v>
      </c>
    </row>
    <row r="423" hidden="1" ht="43.5" customHeight="1">
      <c r="A423" s="15">
        <f>HYPERLINK("https://vtmf.veevavault.com/ui/#doc_info/31061086/1/0", "VTMF-25040760")</f>
        <v/>
      </c>
      <c r="B423" s="20" t="inlineStr">
        <is>
          <t>Yes</t>
        </is>
      </c>
      <c r="C423" s="5" t="inlineStr">
        <is>
          <t>1.0</t>
        </is>
      </c>
      <c r="D423" s="5" t="inlineStr">
        <is>
          <t>GCO</t>
        </is>
      </c>
      <c r="E423" s="5" t="inlineStr">
        <is>
          <t>42847922MDD3003</t>
        </is>
      </c>
      <c r="F423" s="16">
        <f>HYPERLINK("https://vtmf.veevavault.com/ui/#doc_info/31061086/1/0", "42847922MDD3003-USA-S10-US10103-Relevant Communications-23 Sep 2024 (v1.0)")</f>
        <v/>
      </c>
      <c r="G423" s="5" t="inlineStr">
        <is>
          <t>Site Management</t>
        </is>
      </c>
      <c r="H423" s="5" t="inlineStr">
        <is>
          <t>General</t>
        </is>
      </c>
      <c r="I423" s="5" t="inlineStr">
        <is>
          <t>Relevant Communications</t>
        </is>
      </c>
      <c r="J423" s="5" t="inlineStr">
        <is>
          <t>MDD3003_PI: Dr. Americo Padilla M.D._Site: US10103 (United States)_Subject ID: US101030011_Visit: Part 1 Screening_Alert: GGT/ UDS-cancelled</t>
        </is>
      </c>
      <c r="K423" s="6" t="n">
        <v>520</v>
      </c>
      <c r="L423" s="7" t="n">
        <v>45558</v>
      </c>
      <c r="M423" s="11" t="n">
        <v>46078</v>
      </c>
      <c r="N423" s="5" t="inlineStr">
        <is>
          <t>Approved</t>
        </is>
      </c>
      <c r="O423" s="5" t="inlineStr">
        <is>
          <t>Site</t>
        </is>
      </c>
      <c r="P423" s="5" t="inlineStr">
        <is>
          <t>United States</t>
        </is>
      </c>
      <c r="Q423" s="13" t="inlineStr">
        <is>
          <t>S10-US10103</t>
        </is>
      </c>
      <c r="R423" s="5" t="inlineStr">
        <is>
          <t>Gabriela Dluska</t>
        </is>
      </c>
      <c r="S423" s="8" t="n">
        <v>46078.61799768519</v>
      </c>
    </row>
    <row r="424" hidden="1" ht="43.5" customHeight="1">
      <c r="A424" s="15">
        <f>HYPERLINK("https://vtmf.veevavault.com/ui/#doc_info/31061087/1/0", "VTMF-25040761")</f>
        <v/>
      </c>
      <c r="B424" s="20" t="inlineStr">
        <is>
          <t>Yes</t>
        </is>
      </c>
      <c r="C424" s="5" t="inlineStr">
        <is>
          <t>1.0</t>
        </is>
      </c>
      <c r="D424" s="5" t="inlineStr">
        <is>
          <t>GCO</t>
        </is>
      </c>
      <c r="E424" s="5" t="inlineStr">
        <is>
          <t>42847922MDD3003</t>
        </is>
      </c>
      <c r="F424" s="16">
        <f>HYPERLINK("https://vtmf.veevavault.com/ui/#doc_info/31061087/1/0", "42847922MDD3003-USA-S10-US10103-Relevant Communications-01 Oct 2024 (v1.0)")</f>
        <v/>
      </c>
      <c r="G424" s="5" t="inlineStr">
        <is>
          <t>Site Management</t>
        </is>
      </c>
      <c r="H424" s="5" t="inlineStr">
        <is>
          <t>General</t>
        </is>
      </c>
      <c r="I424" s="5" t="inlineStr">
        <is>
          <t>Relevant Communications</t>
        </is>
      </c>
      <c r="J424" s="5" t="inlineStr">
        <is>
          <t>MDD3003_PI: Dr. Americo Padilla M.D._Site: US10103 (United States)_Subject ID: US101030011_Visit: Part 1 Screening_Alert: GGT/ UDS-cancelled</t>
        </is>
      </c>
      <c r="K424" s="6" t="n">
        <v>512</v>
      </c>
      <c r="L424" s="7" t="n">
        <v>45566</v>
      </c>
      <c r="M424" s="11" t="n">
        <v>46078</v>
      </c>
      <c r="N424" s="5" t="inlineStr">
        <is>
          <t>Approved</t>
        </is>
      </c>
      <c r="O424" s="5" t="inlineStr">
        <is>
          <t>Site</t>
        </is>
      </c>
      <c r="P424" s="5" t="inlineStr">
        <is>
          <t>United States</t>
        </is>
      </c>
      <c r="Q424" s="13" t="inlineStr">
        <is>
          <t>S10-US10103</t>
        </is>
      </c>
      <c r="R424" s="5" t="inlineStr">
        <is>
          <t>Gabriela Dluska</t>
        </is>
      </c>
      <c r="S424" s="8" t="n">
        <v>46078.61799768519</v>
      </c>
    </row>
    <row r="425" hidden="1" ht="58" customHeight="1">
      <c r="A425" s="15">
        <f>HYPERLINK("https://vtmf.veevavault.com/ui/#doc_info/31061088/1/0", "VTMF-25040762")</f>
        <v/>
      </c>
      <c r="B425" s="20" t="inlineStr">
        <is>
          <t>Yes</t>
        </is>
      </c>
      <c r="C425" s="5" t="inlineStr">
        <is>
          <t>1.0</t>
        </is>
      </c>
      <c r="D425" s="5" t="inlineStr">
        <is>
          <t>GCO</t>
        </is>
      </c>
      <c r="E425" s="5" t="inlineStr">
        <is>
          <t>42847922MDD3003</t>
        </is>
      </c>
      <c r="F425" s="16">
        <f>HYPERLINK("https://vtmf.veevavault.com/ui/#doc_info/31061088/1/0", "42847922MDD3003-USA-S10-US10103-Relevant Communications-21 Sep 2024 (v1.0)")</f>
        <v/>
      </c>
      <c r="G425" s="5" t="inlineStr">
        <is>
          <t>Site Management</t>
        </is>
      </c>
      <c r="H425" s="5" t="inlineStr">
        <is>
          <t>General</t>
        </is>
      </c>
      <c r="I425" s="5" t="inlineStr">
        <is>
          <t>Relevant Communications</t>
        </is>
      </c>
      <c r="J425" s="5" t="inlineStr">
        <is>
          <t>MDD3003 
Project 527278 Padilla_ Site US10103 Country US Web #2710965 _Subject US101030004.msg (786 
KB)</t>
        </is>
      </c>
      <c r="K425" s="6" t="n">
        <v>522</v>
      </c>
      <c r="L425" s="7" t="n">
        <v>45556</v>
      </c>
      <c r="M425" s="11" t="n">
        <v>46078</v>
      </c>
      <c r="N425" s="5" t="inlineStr">
        <is>
          <t>Approved</t>
        </is>
      </c>
      <c r="O425" s="5" t="inlineStr">
        <is>
          <t>Site</t>
        </is>
      </c>
      <c r="P425" s="5" t="inlineStr">
        <is>
          <t>United States</t>
        </is>
      </c>
      <c r="Q425" s="13" t="inlineStr">
        <is>
          <t>S10-US10103</t>
        </is>
      </c>
      <c r="R425" s="5" t="inlineStr">
        <is>
          <t>Gabriela Dluska</t>
        </is>
      </c>
      <c r="S425" s="8" t="n">
        <v>46078.61799768519</v>
      </c>
    </row>
    <row r="426" hidden="1" ht="58" customHeight="1">
      <c r="A426" s="15">
        <f>HYPERLINK("https://vtmf.veevavault.com/ui/#doc_info/31061089/1/0", "VTMF-25040763")</f>
        <v/>
      </c>
      <c r="B426" s="20" t="inlineStr">
        <is>
          <t>Yes</t>
        </is>
      </c>
      <c r="C426" s="5" t="inlineStr">
        <is>
          <t>1.0</t>
        </is>
      </c>
      <c r="D426" s="5" t="inlineStr">
        <is>
          <t>GCO</t>
        </is>
      </c>
      <c r="E426" s="5" t="inlineStr">
        <is>
          <t>42847922MDD3003</t>
        </is>
      </c>
      <c r="F426" s="16">
        <f>HYPERLINK("https://vtmf.veevavault.com/ui/#doc_info/31061089/1/0", "42847922MDD3003-USA-S10-US10046-Relevant Communications-20 Sep 2024 (v1.0)")</f>
        <v/>
      </c>
      <c r="G426" s="5" t="inlineStr">
        <is>
          <t>Site Management</t>
        </is>
      </c>
      <c r="H426" s="5" t="inlineStr">
        <is>
          <t>General</t>
        </is>
      </c>
      <c r="I426" s="5" t="inlineStr">
        <is>
          <t>Relevant Communications</t>
        </is>
      </c>
      <c r="J426" s="5" t="inlineStr">
        <is>
          <t>MDD3003_PI_Moraima Trujillo_Site_US10046_Subject_US100460004_IQVIA Eligibility 
Review_Approved</t>
        </is>
      </c>
      <c r="K426" s="6" t="n">
        <v>523</v>
      </c>
      <c r="L426" s="7" t="n">
        <v>45555</v>
      </c>
      <c r="M426" s="11" t="n">
        <v>46078</v>
      </c>
      <c r="N426" s="5" t="inlineStr">
        <is>
          <t>Approved</t>
        </is>
      </c>
      <c r="O426" s="5" t="inlineStr">
        <is>
          <t>Site</t>
        </is>
      </c>
      <c r="P426" s="5" t="inlineStr">
        <is>
          <t>United States</t>
        </is>
      </c>
      <c r="Q426" s="13" t="inlineStr">
        <is>
          <t>S10-US10046</t>
        </is>
      </c>
      <c r="R426" s="5" t="inlineStr">
        <is>
          <t>Gabriela Dluska</t>
        </is>
      </c>
      <c r="S426" s="8" t="n">
        <v>46078.61799768519</v>
      </c>
    </row>
    <row r="427" hidden="1" ht="58" customHeight="1">
      <c r="A427" s="15">
        <f>HYPERLINK("https://vtmf.veevavault.com/ui/#doc_info/31061090/1/0", "VTMF-25040764")</f>
        <v/>
      </c>
      <c r="B427" s="20" t="inlineStr">
        <is>
          <t>Yes</t>
        </is>
      </c>
      <c r="C427" s="5" t="inlineStr">
        <is>
          <t>1.0</t>
        </is>
      </c>
      <c r="D427" s="5" t="inlineStr">
        <is>
          <t>GCO</t>
        </is>
      </c>
      <c r="E427" s="5" t="inlineStr">
        <is>
          <t>42847922MDD3003</t>
        </is>
      </c>
      <c r="F427" s="16">
        <f>HYPERLINK("https://vtmf.veevavault.com/ui/#doc_info/31061090/1/0", "42847922MDD3003-USA-S10-US10103-Relevant Communications-20 Sep 2024 (v1.0)")</f>
        <v/>
      </c>
      <c r="G427" s="5" t="inlineStr">
        <is>
          <t>Site Management</t>
        </is>
      </c>
      <c r="H427" s="5" t="inlineStr">
        <is>
          <t>General</t>
        </is>
      </c>
      <c r="I427" s="5" t="inlineStr">
        <is>
          <t>Relevant Communications</t>
        </is>
      </c>
      <c r="J427" s="5" t="inlineStr">
        <is>
          <t>MDD3003_PI: Dr. Americo Padilla M.D._Site: US10103 (United 
States)_Subject ID: US101030004_Visit: Part 1 Screening_Alert: Glucose Fasting</t>
        </is>
      </c>
      <c r="K427" s="6" t="n">
        <v>523</v>
      </c>
      <c r="L427" s="7" t="n">
        <v>45555</v>
      </c>
      <c r="M427" s="11" t="n">
        <v>46078</v>
      </c>
      <c r="N427" s="5" t="inlineStr">
        <is>
          <t>Approved</t>
        </is>
      </c>
      <c r="O427" s="5" t="inlineStr">
        <is>
          <t>Site</t>
        </is>
      </c>
      <c r="P427" s="5" t="inlineStr">
        <is>
          <t>United States</t>
        </is>
      </c>
      <c r="Q427" s="13" t="inlineStr">
        <is>
          <t>S10-US10103</t>
        </is>
      </c>
      <c r="R427" s="5" t="inlineStr">
        <is>
          <t>Gabriela Dluska</t>
        </is>
      </c>
      <c r="S427" s="8" t="n">
        <v>46078.61799768519</v>
      </c>
    </row>
    <row r="428" hidden="1" ht="58" customHeight="1">
      <c r="A428" s="15">
        <f>HYPERLINK("https://vtmf.veevavault.com/ui/#doc_info/31061091/1/0", "VTMF-25040765")</f>
        <v/>
      </c>
      <c r="B428" s="20" t="inlineStr">
        <is>
          <t>Yes</t>
        </is>
      </c>
      <c r="C428" s="5" t="inlineStr">
        <is>
          <t>1.0</t>
        </is>
      </c>
      <c r="D428" s="5" t="inlineStr">
        <is>
          <t>GCO</t>
        </is>
      </c>
      <c r="E428" s="5" t="inlineStr">
        <is>
          <t>42847922MDD3003</t>
        </is>
      </c>
      <c r="F428" s="16">
        <f>HYPERLINK("https://vtmf.veevavault.com/ui/#doc_info/31061091/1/0", "42847922MDD3003-USA-S10-US10040-Relevant Communications-23 Oct 2024 (v1.0)")</f>
        <v/>
      </c>
      <c r="G428" s="5" t="inlineStr">
        <is>
          <t>Site Management</t>
        </is>
      </c>
      <c r="H428" s="5" t="inlineStr">
        <is>
          <t>General</t>
        </is>
      </c>
      <c r="I428" s="5" t="inlineStr">
        <is>
          <t>Relevant Communications</t>
        </is>
      </c>
      <c r="J428" s="5" t="inlineStr">
        <is>
          <t>MDD3003_PI: Dr.Daniel Rutrick_Site: US10040 (United 
States)_Subject ID: US100400003/F_Visit: Part 1 Screening _Alert: CBC PANEL and HEMOGLOBIN A1C- Cancelled.</t>
        </is>
      </c>
      <c r="K428" s="6" t="n">
        <v>490</v>
      </c>
      <c r="L428" s="7" t="n">
        <v>45588</v>
      </c>
      <c r="M428" s="11" t="n">
        <v>46078</v>
      </c>
      <c r="N428" s="5" t="inlineStr">
        <is>
          <t>Approved</t>
        </is>
      </c>
      <c r="O428" s="5" t="inlineStr">
        <is>
          <t>Site</t>
        </is>
      </c>
      <c r="P428" s="5" t="inlineStr">
        <is>
          <t>United States</t>
        </is>
      </c>
      <c r="Q428" s="13" t="inlineStr">
        <is>
          <t>S10-US10040</t>
        </is>
      </c>
      <c r="R428" s="5" t="inlineStr">
        <is>
          <t>Gabriela Dluska</t>
        </is>
      </c>
      <c r="S428" s="8" t="n">
        <v>46078.61799768519</v>
      </c>
    </row>
    <row r="429" hidden="1" ht="58" customHeight="1">
      <c r="A429" s="15">
        <f>HYPERLINK("https://vtmf.veevavault.com/ui/#doc_info/31061092/1/0", "VTMF-25040766")</f>
        <v/>
      </c>
      <c r="B429" s="20" t="inlineStr">
        <is>
          <t>Yes</t>
        </is>
      </c>
      <c r="C429" s="5" t="inlineStr">
        <is>
          <t>1.0</t>
        </is>
      </c>
      <c r="D429" s="5" t="inlineStr">
        <is>
          <t>GCO</t>
        </is>
      </c>
      <c r="E429" s="5" t="inlineStr">
        <is>
          <t>42847922MDD3003</t>
        </is>
      </c>
      <c r="F429" s="16">
        <f>HYPERLINK("https://vtmf.veevavault.com/ui/#doc_info/31061092/1/0", "42847922MDD3003-USA-S10-US10012-Relevant Communications-17 Sep 2024 (v1.0)")</f>
        <v/>
      </c>
      <c r="G429" s="5" t="inlineStr">
        <is>
          <t>Site Management</t>
        </is>
      </c>
      <c r="H429" s="5" t="inlineStr">
        <is>
          <t>General</t>
        </is>
      </c>
      <c r="I429" s="5" t="inlineStr">
        <is>
          <t>Relevant Communications</t>
        </is>
      </c>
      <c r="J429" s="5" t="inlineStr">
        <is>
          <t>MDD3003_PI: Dr. Shonna Piegari_Site: US10012 (United States)_Subject ID: US100120001/F_Visit: VISIT 1 / _Alert: ECG-SINUS BRADYCARDIA, ATRIAL PREMATURE COMPLEXES</t>
        </is>
      </c>
      <c r="K429" s="6" t="n">
        <v>526</v>
      </c>
      <c r="L429" s="7" t="n">
        <v>45552</v>
      </c>
      <c r="M429" s="11" t="n">
        <v>46078</v>
      </c>
      <c r="N429" s="5" t="inlineStr">
        <is>
          <t>Approved</t>
        </is>
      </c>
      <c r="O429" s="5" t="inlineStr">
        <is>
          <t>Site</t>
        </is>
      </c>
      <c r="P429" s="5" t="inlineStr">
        <is>
          <t>United States</t>
        </is>
      </c>
      <c r="Q429" s="13" t="inlineStr">
        <is>
          <t>S10-US10012</t>
        </is>
      </c>
      <c r="R429" s="5" t="inlineStr">
        <is>
          <t>Gabriela Dluska</t>
        </is>
      </c>
      <c r="S429" s="8" t="n">
        <v>46078.61799768519</v>
      </c>
    </row>
    <row r="430" hidden="1" ht="29" customHeight="1">
      <c r="A430" s="15">
        <f>HYPERLINK("https://vtmf.veevavault.com/ui/#doc_info/31061309/1/0", "VTMF-25040832")</f>
        <v/>
      </c>
      <c r="B430" s="20" t="inlineStr">
        <is>
          <t>Yes</t>
        </is>
      </c>
      <c r="C430" s="5" t="inlineStr">
        <is>
          <t>1.0</t>
        </is>
      </c>
      <c r="D430" s="5" t="inlineStr">
        <is>
          <t>GCO</t>
        </is>
      </c>
      <c r="E430" s="5" t="inlineStr">
        <is>
          <t>42847922MDD3003</t>
        </is>
      </c>
      <c r="F430" s="16">
        <f>HYPERLINK("https://vtmf.veevavault.com/ui/#doc_info/31061309/1/0", "42847922MDD3003-USA-S10-US10049-File Note-05 Nov 2025 (v1.0)")</f>
        <v/>
      </c>
      <c r="G430" s="5" t="inlineStr">
        <is>
          <t>Third Parties</t>
        </is>
      </c>
      <c r="H430" s="5" t="inlineStr">
        <is>
          <t>General</t>
        </is>
      </c>
      <c r="I430" s="5" t="inlineStr">
        <is>
          <t>File Note</t>
        </is>
      </c>
      <c r="J430" s="5" t="inlineStr">
        <is>
          <t>Beacon Bio Participant ID Correction_Site US10049_17Oct-19Oct25 - audit.</t>
        </is>
      </c>
      <c r="K430" s="6" t="n">
        <v>112</v>
      </c>
      <c r="L430" s="7" t="n">
        <v>45966</v>
      </c>
      <c r="M430" s="11" t="n">
        <v>46078</v>
      </c>
      <c r="N430" s="5" t="inlineStr">
        <is>
          <t>Approved</t>
        </is>
      </c>
      <c r="O430" s="5" t="inlineStr">
        <is>
          <t>Site</t>
        </is>
      </c>
      <c r="P430" s="5" t="inlineStr">
        <is>
          <t>United States</t>
        </is>
      </c>
      <c r="Q430" s="13" t="inlineStr">
        <is>
          <t>S10-US10049</t>
        </is>
      </c>
      <c r="R430" s="5" t="inlineStr">
        <is>
          <t>Gina Stefanelli</t>
        </is>
      </c>
      <c r="S430" s="8" t="n">
        <v>46078.62452546296</v>
      </c>
    </row>
    <row r="431" hidden="1" ht="29" customHeight="1">
      <c r="A431" s="15">
        <f>HYPERLINK("https://vtmf.veevavault.com/ui/#doc_info/31063405/1/0", "VTMF-25042724")</f>
        <v/>
      </c>
      <c r="B431" s="20" t="inlineStr">
        <is>
          <t>Yes</t>
        </is>
      </c>
      <c r="C431" s="5" t="inlineStr">
        <is>
          <t>1.0</t>
        </is>
      </c>
      <c r="D431" s="5" t="inlineStr">
        <is>
          <t>GCO</t>
        </is>
      </c>
      <c r="E431" s="5" t="inlineStr">
        <is>
          <t>42847922MDD3003</t>
        </is>
      </c>
      <c r="F431" s="16">
        <f>HYPERLINK("https://vtmf.veevavault.com/ui/#doc_info/31063405/1/0", "42847922MDD3003-PRT-S10-PT10001-Relevant Communications-27 Nov 2025 (v1.0)")</f>
        <v/>
      </c>
      <c r="G431" s="5" t="inlineStr">
        <is>
          <t>Site Management</t>
        </is>
      </c>
      <c r="H431" s="5" t="inlineStr">
        <is>
          <t>General</t>
        </is>
      </c>
      <c r="I431" s="5" t="inlineStr">
        <is>
          <t>Relevant Communications</t>
        </is>
      </c>
      <c r="J431" s="5" t="inlineStr">
        <is>
          <t>PT100010003 - Screening period extension request_ approved.</t>
        </is>
      </c>
      <c r="K431" s="6" t="n">
        <v>90</v>
      </c>
      <c r="L431" s="7" t="n">
        <v>45988</v>
      </c>
      <c r="M431" s="11" t="n">
        <v>46078</v>
      </c>
      <c r="N431" s="5" t="inlineStr">
        <is>
          <t>Approved</t>
        </is>
      </c>
      <c r="O431" s="5" t="inlineStr">
        <is>
          <t>Site</t>
        </is>
      </c>
      <c r="P431" s="5" t="inlineStr">
        <is>
          <t>Portugal</t>
        </is>
      </c>
      <c r="Q431" s="13" t="inlineStr">
        <is>
          <t>S10-PT10001</t>
        </is>
      </c>
      <c r="R431" s="5" t="inlineStr">
        <is>
          <t>Gina Stefanelli</t>
        </is>
      </c>
      <c r="S431" s="8" t="n">
        <v>46078.81078703704</v>
      </c>
    </row>
    <row r="432" hidden="1" ht="58" customHeight="1">
      <c r="A432" s="15">
        <f>HYPERLINK("https://vtmf.veevavault.com/ui/#doc_info/31063458/1/0", "VTMF-25042826")</f>
        <v/>
      </c>
      <c r="B432" s="20" t="inlineStr">
        <is>
          <t>Yes</t>
        </is>
      </c>
      <c r="C432" s="5" t="inlineStr">
        <is>
          <t>1.0</t>
        </is>
      </c>
      <c r="D432" s="5" t="inlineStr">
        <is>
          <t>GCO</t>
        </is>
      </c>
      <c r="E432" s="5" t="inlineStr">
        <is>
          <t>42847922MDD3003</t>
        </is>
      </c>
      <c r="F432" s="16">
        <f>HYPERLINK("https://vtmf.veevavault.com/ui/#doc_info/31063458/1/0", "42847922MDD3003-USA-S10-US10188-Relevant Communications-07 Jan 2026 (v1.0)")</f>
        <v/>
      </c>
      <c r="G432" s="5" t="inlineStr">
        <is>
          <t>Site Management</t>
        </is>
      </c>
      <c r="H432" s="5" t="inlineStr">
        <is>
          <t>General</t>
        </is>
      </c>
      <c r="I432" s="5" t="inlineStr">
        <is>
          <t>Relevant Communications</t>
        </is>
      </c>
      <c r="J432" s="5" t="inlineStr">
        <is>
          <t>: Relevant suicidality information reported at CSSRS Baseline version)Study42847922MDD3003/Site Group'USA'/SiteS10-US10188/PatientUS101880009)-updated CSSRS-Baseline/Screening Version</t>
        </is>
      </c>
      <c r="K432" s="6" t="n">
        <v>49</v>
      </c>
      <c r="L432" s="7" t="n">
        <v>46029</v>
      </c>
      <c r="M432" s="11" t="n">
        <v>46078</v>
      </c>
      <c r="N432" s="5" t="inlineStr">
        <is>
          <t>Approved</t>
        </is>
      </c>
      <c r="O432" s="5" t="inlineStr">
        <is>
          <t>Site</t>
        </is>
      </c>
      <c r="P432" s="5" t="inlineStr">
        <is>
          <t>United States</t>
        </is>
      </c>
      <c r="Q432" s="13" t="inlineStr">
        <is>
          <t>S10-US10188, S10-US10189</t>
        </is>
      </c>
      <c r="R432" s="5" t="inlineStr">
        <is>
          <t>Gina Stefanelli</t>
        </is>
      </c>
      <c r="S432" s="8" t="n">
        <v>46078.82340277778</v>
      </c>
    </row>
    <row r="433" hidden="1" ht="29" customHeight="1">
      <c r="A433" s="15">
        <f>HYPERLINK("https://vtmf.veevavault.com/ui/#doc_info/31064120/1/0", "VTMF-25043105")</f>
        <v/>
      </c>
      <c r="B433" s="20" t="inlineStr">
        <is>
          <t>Yes</t>
        </is>
      </c>
      <c r="C433" s="5" t="inlineStr">
        <is>
          <t>1.0</t>
        </is>
      </c>
      <c r="D433" s="5" t="inlineStr">
        <is>
          <t>GCO</t>
        </is>
      </c>
      <c r="E433" s="5" t="inlineStr">
        <is>
          <t>42847922MDD3003</t>
        </is>
      </c>
      <c r="F433" s="16">
        <f>HYPERLINK("https://vtmf.veevavault.com/ui/#doc_info/31064120/1/0", "42847922MDD3003-USA-S10-US10174-Relevant Communications-09 Jan 2026 (v1.0)")</f>
        <v/>
      </c>
      <c r="G433" s="5" t="inlineStr">
        <is>
          <t>Site Management</t>
        </is>
      </c>
      <c r="H433" s="5" t="inlineStr">
        <is>
          <t>General</t>
        </is>
      </c>
      <c r="I433" s="5" t="inlineStr">
        <is>
          <t>Relevant Communications</t>
        </is>
      </c>
      <c r="J433" s="5" t="inlineStr">
        <is>
          <t>42847922MDD3003 S10-US10174_ZBenzar_NTF Diary signed_16Dec2025_09Jan2026</t>
        </is>
      </c>
      <c r="K433" s="6" t="n">
        <v>47</v>
      </c>
      <c r="L433" s="7" t="n">
        <v>46031</v>
      </c>
      <c r="M433" s="11" t="n">
        <v>46078</v>
      </c>
      <c r="N433" s="5" t="inlineStr">
        <is>
          <t>Approved</t>
        </is>
      </c>
      <c r="O433" s="5" t="inlineStr">
        <is>
          <t>Site</t>
        </is>
      </c>
      <c r="P433" s="5" t="inlineStr">
        <is>
          <t>United States</t>
        </is>
      </c>
      <c r="Q433" s="13" t="inlineStr">
        <is>
          <t>S10-US10174</t>
        </is>
      </c>
      <c r="R433" s="5" t="inlineStr">
        <is>
          <t>Jerry Torne</t>
        </is>
      </c>
      <c r="S433" s="8" t="n">
        <v>46078.86032407408</v>
      </c>
    </row>
    <row r="434" hidden="1">
      <c r="A434" s="15">
        <f>HYPERLINK("https://vtmf.veevavault.com/ui/#doc_info/31066568/1/0", "VTMF-25046739")</f>
        <v/>
      </c>
      <c r="B434" s="19" t="inlineStr">
        <is>
          <t>No</t>
        </is>
      </c>
      <c r="C434" s="5" t="inlineStr">
        <is>
          <t>1.0</t>
        </is>
      </c>
      <c r="D434" s="5" t="inlineStr">
        <is>
          <t>GCO</t>
        </is>
      </c>
      <c r="E434" s="5" t="inlineStr">
        <is>
          <t>42847922MDD3003</t>
        </is>
      </c>
      <c r="F434" s="16">
        <f>HYPERLINK("https://vtmf.veevavault.com/ui/#doc_info/31066568/1/0", "42847922MDD3003-PRT-S10-PT10010-Visit Log (v1.0)")</f>
        <v/>
      </c>
      <c r="G434" s="5" t="inlineStr">
        <is>
          <t>Site Management</t>
        </is>
      </c>
      <c r="H434" s="5" t="inlineStr">
        <is>
          <t>Site Management</t>
        </is>
      </c>
      <c r="I434" s="5" t="inlineStr">
        <is>
          <t>Visit Log</t>
        </is>
      </c>
      <c r="J434" s="5" t="inlineStr">
        <is>
          <t>Trial Center Visit Log-Pharmacy</t>
        </is>
      </c>
      <c r="K434" s="6" t="n">
        <v>31</v>
      </c>
      <c r="L434" s="7" t="n">
        <v>46048</v>
      </c>
      <c r="M434" s="11" t="n">
        <v>46079</v>
      </c>
      <c r="N434" s="5" t="inlineStr">
        <is>
          <t>Approved</t>
        </is>
      </c>
      <c r="O434" s="5" t="inlineStr">
        <is>
          <t>Site</t>
        </is>
      </c>
      <c r="P434" s="5" t="inlineStr">
        <is>
          <t>Portugal</t>
        </is>
      </c>
      <c r="Q434" s="13" t="inlineStr">
        <is>
          <t>S10-PT10010</t>
        </is>
      </c>
      <c r="R434" s="5" t="inlineStr">
        <is>
          <t>Ruben Ayora</t>
        </is>
      </c>
      <c r="S434" s="8" t="n">
        <v>46079.36012731482</v>
      </c>
    </row>
    <row r="435" hidden="1">
      <c r="A435" s="15">
        <f>HYPERLINK("https://vtmf.veevavault.com/ui/#doc_info/31068080/1/0", "VTMF-25046874")</f>
        <v/>
      </c>
      <c r="B435" s="19" t="inlineStr">
        <is>
          <t>No</t>
        </is>
      </c>
      <c r="C435" s="5" t="inlineStr">
        <is>
          <t>1.0</t>
        </is>
      </c>
      <c r="D435" s="5" t="inlineStr">
        <is>
          <t>GCO</t>
        </is>
      </c>
      <c r="E435" s="5" t="inlineStr">
        <is>
          <t>42847922MDD3003</t>
        </is>
      </c>
      <c r="F435" s="16">
        <f>HYPERLINK("https://vtmf.veevavault.com/ui/#doc_info/31068080/1/0", "42847922MDD3003-TUR-S10-TR10008-Visit Log (v1.0)")</f>
        <v/>
      </c>
      <c r="G435" s="5" t="inlineStr">
        <is>
          <t>Site Management</t>
        </is>
      </c>
      <c r="H435" s="5" t="inlineStr">
        <is>
          <t>Site Management</t>
        </is>
      </c>
      <c r="I435" s="5" t="inlineStr">
        <is>
          <t>Visit Log</t>
        </is>
      </c>
      <c r="J435" s="5" t="inlineStr">
        <is>
          <t>Visit Log</t>
        </is>
      </c>
      <c r="K435" s="6" t="n">
        <v>154</v>
      </c>
      <c r="L435" s="7" t="n">
        <v>45925</v>
      </c>
      <c r="M435" s="11" t="n">
        <v>46079</v>
      </c>
      <c r="N435" s="5" t="inlineStr">
        <is>
          <t>Approved</t>
        </is>
      </c>
      <c r="O435" s="5" t="inlineStr">
        <is>
          <t>Site</t>
        </is>
      </c>
      <c r="P435" s="5" t="inlineStr">
        <is>
          <t>Türkiye</t>
        </is>
      </c>
      <c r="Q435" s="13" t="inlineStr">
        <is>
          <t>S10-TR10008</t>
        </is>
      </c>
      <c r="R435" s="5" t="inlineStr">
        <is>
          <t>Yagmur Tugce Comert</t>
        </is>
      </c>
      <c r="S435" s="8" t="n">
        <v>46079.39076388889</v>
      </c>
    </row>
    <row r="436" hidden="1" ht="58" customHeight="1">
      <c r="A436" s="15">
        <f>HYPERLINK("https://vtmf.veevavault.com/ui/#doc_info/31068734/1/0", "VTMF-25047263")</f>
        <v/>
      </c>
      <c r="B436" s="20" t="inlineStr">
        <is>
          <t>Yes</t>
        </is>
      </c>
      <c r="C436" s="5" t="inlineStr">
        <is>
          <t>1.0</t>
        </is>
      </c>
      <c r="D436" s="5" t="inlineStr">
        <is>
          <t>GCO</t>
        </is>
      </c>
      <c r="E436" s="5" t="inlineStr">
        <is>
          <t>42847922MDD3003</t>
        </is>
      </c>
      <c r="F436" s="16">
        <f>HYPERLINK("https://vtmf.veevavault.com/ui/#doc_info/31068734/1/0", "42847922MDD3003-USA-S10-US10064-Relevant Communications-02 Dec 2024 (v1.0)")</f>
        <v/>
      </c>
      <c r="G436" s="5" t="inlineStr">
        <is>
          <t>Site Management</t>
        </is>
      </c>
      <c r="H436" s="5" t="inlineStr">
        <is>
          <t>General</t>
        </is>
      </c>
      <c r="I436" s="5" t="inlineStr">
        <is>
          <t>Relevant Communications</t>
        </is>
      </c>
      <c r="J436" s="5" t="inlineStr">
        <is>
          <t>MDD3003_PI: Dr. Jorge Venereo M.D._Site: US10064 (United 
States)_Subject ID: US100640012_Visit: Part 1 Screening_Alert: SSRI</t>
        </is>
      </c>
      <c r="K436" s="6" t="n">
        <v>451</v>
      </c>
      <c r="L436" s="7" t="n">
        <v>45628</v>
      </c>
      <c r="M436" s="11" t="n">
        <v>46079</v>
      </c>
      <c r="N436" s="5" t="inlineStr">
        <is>
          <t>Approved</t>
        </is>
      </c>
      <c r="O436" s="5" t="inlineStr">
        <is>
          <t>Site</t>
        </is>
      </c>
      <c r="P436" s="5" t="inlineStr">
        <is>
          <t>United States</t>
        </is>
      </c>
      <c r="Q436" s="13" t="inlineStr">
        <is>
          <t>S10-US10064</t>
        </is>
      </c>
      <c r="R436" s="5" t="inlineStr">
        <is>
          <t>Gabriela Dluska</t>
        </is>
      </c>
      <c r="S436" s="8" t="n">
        <v>46079.43462962963</v>
      </c>
    </row>
    <row r="437" hidden="1" ht="58" customHeight="1">
      <c r="A437" s="15">
        <f>HYPERLINK("https://vtmf.veevavault.com/ui/#doc_info/31068735/1/0", "VTMF-25047264")</f>
        <v/>
      </c>
      <c r="B437" s="20" t="inlineStr">
        <is>
          <t>Yes</t>
        </is>
      </c>
      <c r="C437" s="5" t="inlineStr">
        <is>
          <t>1.0</t>
        </is>
      </c>
      <c r="D437" s="5" t="inlineStr">
        <is>
          <t>GCO</t>
        </is>
      </c>
      <c r="E437" s="5" t="inlineStr">
        <is>
          <t>42847922MDD3003</t>
        </is>
      </c>
      <c r="F437" s="16">
        <f>HYPERLINK("https://vtmf.veevavault.com/ui/#doc_info/31068735/1/0", "42847922MDD3003-USA-S10-US10036-Relevant Communications-18 Nov 2024 (v1.0)")</f>
        <v/>
      </c>
      <c r="G437" s="5" t="inlineStr">
        <is>
          <t>Site Management</t>
        </is>
      </c>
      <c r="H437" s="5" t="inlineStr">
        <is>
          <t>General</t>
        </is>
      </c>
      <c r="I437" s="5" t="inlineStr">
        <is>
          <t>Relevant Communications</t>
        </is>
      </c>
      <c r="J437" s="5" t="inlineStr">
        <is>
          <t>MDD3003_PI: Dr. Patricia Bravo M.D._Site: 
US10036(United States)_Subject ID: US100360002/F_Visit: Part 1 Screening / _Alert: URINE PANEL</t>
        </is>
      </c>
      <c r="K437" s="6" t="n">
        <v>465</v>
      </c>
      <c r="L437" s="7" t="n">
        <v>45614</v>
      </c>
      <c r="M437" s="11" t="n">
        <v>46079</v>
      </c>
      <c r="N437" s="5" t="inlineStr">
        <is>
          <t>Approved</t>
        </is>
      </c>
      <c r="O437" s="5" t="inlineStr">
        <is>
          <t>Site</t>
        </is>
      </c>
      <c r="P437" s="5" t="inlineStr">
        <is>
          <t>United States</t>
        </is>
      </c>
      <c r="Q437" s="13" t="inlineStr">
        <is>
          <t>S10-US10036</t>
        </is>
      </c>
      <c r="R437" s="5" t="inlineStr">
        <is>
          <t>Gabriela Dluska</t>
        </is>
      </c>
      <c r="S437" s="8" t="n">
        <v>46079.43462962963</v>
      </c>
    </row>
    <row r="438" hidden="1" ht="58" customHeight="1">
      <c r="A438" s="15">
        <f>HYPERLINK("https://vtmf.veevavault.com/ui/#doc_info/31068736/1/0", "VTMF-25047265")</f>
        <v/>
      </c>
      <c r="B438" s="20" t="inlineStr">
        <is>
          <t>Yes</t>
        </is>
      </c>
      <c r="C438" s="5" t="inlineStr">
        <is>
          <t>1.0</t>
        </is>
      </c>
      <c r="D438" s="5" t="inlineStr">
        <is>
          <t>GCO</t>
        </is>
      </c>
      <c r="E438" s="5" t="inlineStr">
        <is>
          <t>42847922MDD3003</t>
        </is>
      </c>
      <c r="F438" s="16">
        <f>HYPERLINK("https://vtmf.veevavault.com/ui/#doc_info/31068736/1/0", "42847922MDD3003-USA-S10-US10155-Relevant Communications-05 Nov 2024 (v1.0)")</f>
        <v/>
      </c>
      <c r="G438" s="5" t="inlineStr">
        <is>
          <t>Site Management</t>
        </is>
      </c>
      <c r="H438" s="5" t="inlineStr">
        <is>
          <t>General</t>
        </is>
      </c>
      <c r="I438" s="5" t="inlineStr">
        <is>
          <t>Relevant Communications</t>
        </is>
      </c>
      <c r="J438" s="5" t="inlineStr">
        <is>
          <t>MDD3003/Site Group'USA'/Magness-Wellmann / SiteS10-US10155/ Patient 
US101550002 -updated CSSRS-Baseline/Screening Version YES Suicide Attempt Past 6 Months SF</t>
        </is>
      </c>
      <c r="K438" s="6" t="n">
        <v>478</v>
      </c>
      <c r="L438" s="7" t="n">
        <v>45601</v>
      </c>
      <c r="M438" s="11" t="n">
        <v>46079</v>
      </c>
      <c r="N438" s="5" t="inlineStr">
        <is>
          <t>Approved</t>
        </is>
      </c>
      <c r="O438" s="5" t="inlineStr">
        <is>
          <t>Site</t>
        </is>
      </c>
      <c r="P438" s="5" t="inlineStr">
        <is>
          <t>United States</t>
        </is>
      </c>
      <c r="Q438" s="13" t="inlineStr">
        <is>
          <t>S10-US10155</t>
        </is>
      </c>
      <c r="R438" s="5" t="inlineStr">
        <is>
          <t>Gabriela Dluska</t>
        </is>
      </c>
      <c r="S438" s="8" t="n">
        <v>46079.43462962963</v>
      </c>
    </row>
    <row r="439" hidden="1" ht="29" customHeight="1">
      <c r="A439" s="15">
        <f>HYPERLINK("https://vtmf.veevavault.com/ui/#doc_info/31068737/1/0", "VTMF-25047266")</f>
        <v/>
      </c>
      <c r="B439" s="20" t="inlineStr">
        <is>
          <t>Yes</t>
        </is>
      </c>
      <c r="C439" s="5" t="inlineStr">
        <is>
          <t>1.0</t>
        </is>
      </c>
      <c r="D439" s="5" t="inlineStr">
        <is>
          <t>GCO</t>
        </is>
      </c>
      <c r="E439" s="5" t="inlineStr">
        <is>
          <t>42847922MDD3003</t>
        </is>
      </c>
      <c r="F439" s="16">
        <f>HYPERLINK("https://vtmf.veevavault.com/ui/#doc_info/31068737/1/0", "42847922MDD3003---Relevant Communications-01 Nov 2024 (v1.0)")</f>
        <v/>
      </c>
      <c r="G439" s="5" t="inlineStr">
        <is>
          <t>Trial Management</t>
        </is>
      </c>
      <c r="H439" s="5" t="inlineStr">
        <is>
          <t>General</t>
        </is>
      </c>
      <c r="I439" s="5" t="inlineStr">
        <is>
          <t>Relevant Communications</t>
        </is>
      </c>
      <c r="J439" s="5" t="inlineStr">
        <is>
          <t>MDD3003: finalization: AE/AESI's related to suicidal thoughts, ideation, behaviors</t>
        </is>
      </c>
      <c r="K439" s="6" t="n">
        <v>482</v>
      </c>
      <c r="L439" s="7" t="n">
        <v>45597</v>
      </c>
      <c r="M439" s="11" t="n">
        <v>46079</v>
      </c>
      <c r="N439" s="5" t="inlineStr">
        <is>
          <t>Approved</t>
        </is>
      </c>
      <c r="O439" s="5" t="inlineStr">
        <is>
          <t>Study</t>
        </is>
      </c>
      <c r="P439" s="5" t="inlineStr"/>
      <c r="Q439" s="13" t="inlineStr"/>
      <c r="R439" s="5" t="inlineStr">
        <is>
          <t>Gabriela Dluska</t>
        </is>
      </c>
      <c r="S439" s="8" t="n">
        <v>46079.43462962963</v>
      </c>
    </row>
    <row r="440" hidden="1" ht="43.5" customHeight="1">
      <c r="A440" s="15">
        <f>HYPERLINK("https://vtmf.veevavault.com/ui/#doc_info/31068738/1/0", "VTMF-25047267")</f>
        <v/>
      </c>
      <c r="B440" s="20" t="inlineStr">
        <is>
          <t>Yes</t>
        </is>
      </c>
      <c r="C440" s="5" t="inlineStr">
        <is>
          <t>1.0</t>
        </is>
      </c>
      <c r="D440" s="5" t="inlineStr">
        <is>
          <t>GCO</t>
        </is>
      </c>
      <c r="E440" s="5" t="inlineStr">
        <is>
          <t>42847922MDD3003</t>
        </is>
      </c>
      <c r="F440" s="16">
        <f>HYPERLINK("https://vtmf.veevavault.com/ui/#doc_info/31068738/1/0", "42847922MDD3003-ARG-S10-AR10012-Relevant Communications-18 Dec 2024 (v1.0)")</f>
        <v/>
      </c>
      <c r="G440" s="5" t="inlineStr">
        <is>
          <t>Site Management</t>
        </is>
      </c>
      <c r="H440" s="5" t="inlineStr">
        <is>
          <t>General</t>
        </is>
      </c>
      <c r="I440" s="5" t="inlineStr">
        <is>
          <t>Relevant Communications</t>
        </is>
      </c>
      <c r="J440" s="5" t="inlineStr">
        <is>
          <t>MDD3003 OARS-7 Lupo ARG site Subject AR100120003 _ MGH-CTNI Screen Failure due to Severity INC 5 met - CAN NOT BE APPROVED</t>
        </is>
      </c>
      <c r="K440" s="6" t="n">
        <v>435</v>
      </c>
      <c r="L440" s="7" t="n">
        <v>45644</v>
      </c>
      <c r="M440" s="11" t="n">
        <v>46079</v>
      </c>
      <c r="N440" s="5" t="inlineStr">
        <is>
          <t>Approved</t>
        </is>
      </c>
      <c r="O440" s="5" t="inlineStr">
        <is>
          <t>Site</t>
        </is>
      </c>
      <c r="P440" s="5" t="inlineStr">
        <is>
          <t>Argentina</t>
        </is>
      </c>
      <c r="Q440" s="13" t="inlineStr">
        <is>
          <t>S10-AR10012</t>
        </is>
      </c>
      <c r="R440" s="5" t="inlineStr">
        <is>
          <t>Gabriela Dluska</t>
        </is>
      </c>
      <c r="S440" s="8" t="n">
        <v>46079.43462962963</v>
      </c>
    </row>
    <row r="441" hidden="1" ht="58" customHeight="1">
      <c r="A441" s="15">
        <f>HYPERLINK("https://vtmf.veevavault.com/ui/#doc_info/31068739/1/0", "VTMF-25047268")</f>
        <v/>
      </c>
      <c r="B441" s="20" t="inlineStr">
        <is>
          <t>Yes</t>
        </is>
      </c>
      <c r="C441" s="5" t="inlineStr">
        <is>
          <t>1.0</t>
        </is>
      </c>
      <c r="D441" s="5" t="inlineStr">
        <is>
          <t>GCO</t>
        </is>
      </c>
      <c r="E441" s="5" t="inlineStr">
        <is>
          <t>42847922MDD3003</t>
        </is>
      </c>
      <c r="F441" s="16">
        <f>HYPERLINK("https://vtmf.veevavault.com/ui/#doc_info/31068739/1/0", "42847922MDD3003-USA-S10-US10064-Relevant Communications-20 Nov 2024 (v1.0)")</f>
        <v/>
      </c>
      <c r="G441" s="5" t="inlineStr">
        <is>
          <t>Site Management</t>
        </is>
      </c>
      <c r="H441" s="5" t="inlineStr">
        <is>
          <t>General</t>
        </is>
      </c>
      <c r="I441" s="5" t="inlineStr">
        <is>
          <t>Relevant Communications</t>
        </is>
      </c>
      <c r="J441" s="5" t="inlineStr">
        <is>
          <t>MDD3003_PI: Dr. Jorge Venereo M.D._Site: US10064 (United States)_Subject 
ID: US100640001/F_Visit: ADT Compliance _Alert: Urine SSRI alert</t>
        </is>
      </c>
      <c r="K441" s="6" t="n">
        <v>463</v>
      </c>
      <c r="L441" s="7" t="n">
        <v>45616</v>
      </c>
      <c r="M441" s="11" t="n">
        <v>46079</v>
      </c>
      <c r="N441" s="5" t="inlineStr">
        <is>
          <t>Approved</t>
        </is>
      </c>
      <c r="O441" s="5" t="inlineStr">
        <is>
          <t>Site</t>
        </is>
      </c>
      <c r="P441" s="5" t="inlineStr">
        <is>
          <t>United States</t>
        </is>
      </c>
      <c r="Q441" s="13" t="inlineStr">
        <is>
          <t>S10-US10064</t>
        </is>
      </c>
      <c r="R441" s="5" t="inlineStr">
        <is>
          <t>Gabriela Dluska</t>
        </is>
      </c>
      <c r="S441" s="8" t="n">
        <v>46079.43462962963</v>
      </c>
    </row>
    <row r="442" hidden="1" ht="43.5" customHeight="1">
      <c r="A442" s="15">
        <f>HYPERLINK("https://vtmf.veevavault.com/ui/#doc_info/31068740/1/0", "VTMF-25047269")</f>
        <v/>
      </c>
      <c r="B442" s="20" t="inlineStr">
        <is>
          <t>Yes</t>
        </is>
      </c>
      <c r="C442" s="5" t="inlineStr">
        <is>
          <t>1.0</t>
        </is>
      </c>
      <c r="D442" s="5" t="inlineStr">
        <is>
          <t>GCO</t>
        </is>
      </c>
      <c r="E442" s="5" t="inlineStr">
        <is>
          <t>42847922MDD3003</t>
        </is>
      </c>
      <c r="F442" s="16">
        <f>HYPERLINK("https://vtmf.veevavault.com/ui/#doc_info/31068740/1/0", "42847922MDD3003-USA-S10-US10040-Relevant Communications-08 Oct 2024 (v1.0)")</f>
        <v/>
      </c>
      <c r="G442" s="5" t="inlineStr">
        <is>
          <t>Site Management</t>
        </is>
      </c>
      <c r="H442" s="5" t="inlineStr">
        <is>
          <t>General</t>
        </is>
      </c>
      <c r="I442" s="5" t="inlineStr">
        <is>
          <t>Relevant Communications</t>
        </is>
      </c>
      <c r="J442" s="5" t="inlineStr">
        <is>
          <t>MDD3003_PI: Dr. Daniel Rutrick M.D._Site: US10040 (United States)_Subject ID: US100400001/M_Visit: Part 1 Screening / _Alert: Neutrophils</t>
        </is>
      </c>
      <c r="K442" s="6" t="n">
        <v>506</v>
      </c>
      <c r="L442" s="7" t="n">
        <v>45573</v>
      </c>
      <c r="M442" s="11" t="n">
        <v>46079</v>
      </c>
      <c r="N442" s="5" t="inlineStr">
        <is>
          <t>Approved</t>
        </is>
      </c>
      <c r="O442" s="5" t="inlineStr">
        <is>
          <t>Site</t>
        </is>
      </c>
      <c r="P442" s="5" t="inlineStr">
        <is>
          <t>United States</t>
        </is>
      </c>
      <c r="Q442" s="13" t="inlineStr">
        <is>
          <t>S10-US10040</t>
        </is>
      </c>
      <c r="R442" s="5" t="inlineStr">
        <is>
          <t>Gabriela Dluska</t>
        </is>
      </c>
      <c r="S442" s="8" t="n">
        <v>46079.43462962963</v>
      </c>
    </row>
    <row r="443" hidden="1" ht="43.5" customHeight="1">
      <c r="A443" s="15">
        <f>HYPERLINK("https://vtmf.veevavault.com/ui/#doc_info/31068741/1/0", "VTMF-25047270")</f>
        <v/>
      </c>
      <c r="B443" s="20" t="inlineStr">
        <is>
          <t>Yes</t>
        </is>
      </c>
      <c r="C443" s="5" t="inlineStr">
        <is>
          <t>1.0</t>
        </is>
      </c>
      <c r="D443" s="5" t="inlineStr">
        <is>
          <t>GCO</t>
        </is>
      </c>
      <c r="E443" s="5" t="inlineStr">
        <is>
          <t>42847922MDD3003</t>
        </is>
      </c>
      <c r="F443" s="16">
        <f>HYPERLINK("https://vtmf.veevavault.com/ui/#doc_info/31068741/1/0", "42847922MDD3003-USA-S10-US10120-Relevant Communications-31 Dec 2024 (v1.0)")</f>
        <v/>
      </c>
      <c r="G443" s="5" t="inlineStr">
        <is>
          <t>Site Management</t>
        </is>
      </c>
      <c r="H443" s="5" t="inlineStr">
        <is>
          <t>General</t>
        </is>
      </c>
      <c r="I443" s="5" t="inlineStr">
        <is>
          <t>Relevant Communications</t>
        </is>
      </c>
      <c r="J443" s="5" t="inlineStr">
        <is>
          <t>MDD3003 Knutson Site US10120 PI Knutson: Subject US101200005 Screening Period 
Extension Request of 6 Days _ APPROVED</t>
        </is>
      </c>
      <c r="K443" s="6" t="n">
        <v>422</v>
      </c>
      <c r="L443" s="7" t="n">
        <v>45657</v>
      </c>
      <c r="M443" s="11" t="n">
        <v>46079</v>
      </c>
      <c r="N443" s="5" t="inlineStr">
        <is>
          <t>Approved</t>
        </is>
      </c>
      <c r="O443" s="5" t="inlineStr">
        <is>
          <t>Site</t>
        </is>
      </c>
      <c r="P443" s="5" t="inlineStr">
        <is>
          <t>United States</t>
        </is>
      </c>
      <c r="Q443" s="13" t="inlineStr">
        <is>
          <t>S10-US10120</t>
        </is>
      </c>
      <c r="R443" s="5" t="inlineStr">
        <is>
          <t>Gabriela Dluska</t>
        </is>
      </c>
      <c r="S443" s="8" t="n">
        <v>46079.43462962963</v>
      </c>
    </row>
    <row r="444" hidden="1" ht="43.5" customHeight="1">
      <c r="A444" s="15">
        <f>HYPERLINK("https://vtmf.veevavault.com/ui/#doc_info/31068742/1/0", "VTMF-25047271")</f>
        <v/>
      </c>
      <c r="B444" s="20" t="inlineStr">
        <is>
          <t>Yes</t>
        </is>
      </c>
      <c r="C444" s="5" t="inlineStr">
        <is>
          <t>1.0</t>
        </is>
      </c>
      <c r="D444" s="5" t="inlineStr">
        <is>
          <t>GCO</t>
        </is>
      </c>
      <c r="E444" s="5" t="inlineStr">
        <is>
          <t>42847922MDD3003</t>
        </is>
      </c>
      <c r="F444" s="16">
        <f>HYPERLINK("https://vtmf.veevavault.com/ui/#doc_info/31068742/1/0", "42847922MDD3003-USA-S10-US10120-Relevant Communications-31 Dec 2024 (v1.0)")</f>
        <v/>
      </c>
      <c r="G444" s="5" t="inlineStr">
        <is>
          <t>Site Management</t>
        </is>
      </c>
      <c r="H444" s="5" t="inlineStr">
        <is>
          <t>General</t>
        </is>
      </c>
      <c r="I444" s="5" t="inlineStr">
        <is>
          <t>Relevant Communications</t>
        </is>
      </c>
      <c r="J444" s="5" t="inlineStr">
        <is>
          <t>MDD3003 Knutson Site US10120 PI Knutson: Subject US101200005 Screening Period Extension Secong Request of 8 Days _ APPROVED</t>
        </is>
      </c>
      <c r="K444" s="6" t="n">
        <v>422</v>
      </c>
      <c r="L444" s="7" t="n">
        <v>45657</v>
      </c>
      <c r="M444" s="11" t="n">
        <v>46079</v>
      </c>
      <c r="N444" s="5" t="inlineStr">
        <is>
          <t>Approved</t>
        </is>
      </c>
      <c r="O444" s="5" t="inlineStr">
        <is>
          <t>Site</t>
        </is>
      </c>
      <c r="P444" s="5" t="inlineStr">
        <is>
          <t>United States</t>
        </is>
      </c>
      <c r="Q444" s="13" t="inlineStr">
        <is>
          <t>S10-US10120</t>
        </is>
      </c>
      <c r="R444" s="5" t="inlineStr">
        <is>
          <t>Gabriela Dluska</t>
        </is>
      </c>
      <c r="S444" s="8" t="n">
        <v>46079.43462962963</v>
      </c>
    </row>
    <row r="445" hidden="1" ht="29" customHeight="1">
      <c r="A445" s="15">
        <f>HYPERLINK("https://vtmf.veevavault.com/ui/#doc_info/31068743/1/0", "VTMF-25047272")</f>
        <v/>
      </c>
      <c r="B445" s="20" t="inlineStr">
        <is>
          <t>Yes</t>
        </is>
      </c>
      <c r="C445" s="5" t="inlineStr">
        <is>
          <t>1.0</t>
        </is>
      </c>
      <c r="D445" s="5" t="inlineStr">
        <is>
          <t>GCO</t>
        </is>
      </c>
      <c r="E445" s="5" t="inlineStr">
        <is>
          <t>42847922MDD3003</t>
        </is>
      </c>
      <c r="F445" s="16">
        <f>HYPERLINK("https://vtmf.veevavault.com/ui/#doc_info/31068743/1/0", "42847922MDD3003-ARG-S10-AR10012-Relevant Communications-17 Dec 2024 (v1.0)")</f>
        <v/>
      </c>
      <c r="G445" s="5" t="inlineStr">
        <is>
          <t>Site Management</t>
        </is>
      </c>
      <c r="H445" s="5" t="inlineStr">
        <is>
          <t>General</t>
        </is>
      </c>
      <c r="I445" s="5" t="inlineStr">
        <is>
          <t>Relevant Communications</t>
        </is>
      </c>
      <c r="J445" s="5" t="inlineStr">
        <is>
          <t>MDD3003 OARS-7 Lupo ARG site Subject AR100120003 _ MGH-CTNI Screen Failure</t>
        </is>
      </c>
      <c r="K445" s="6" t="n">
        <v>436</v>
      </c>
      <c r="L445" s="7" t="n">
        <v>45643</v>
      </c>
      <c r="M445" s="11" t="n">
        <v>46079</v>
      </c>
      <c r="N445" s="5" t="inlineStr">
        <is>
          <t>Approved</t>
        </is>
      </c>
      <c r="O445" s="5" t="inlineStr">
        <is>
          <t>Site</t>
        </is>
      </c>
      <c r="P445" s="5" t="inlineStr">
        <is>
          <t>Argentina</t>
        </is>
      </c>
      <c r="Q445" s="13" t="inlineStr">
        <is>
          <t>S10-AR10012</t>
        </is>
      </c>
      <c r="R445" s="5" t="inlineStr">
        <is>
          <t>Gabriela Dluska</t>
        </is>
      </c>
      <c r="S445" s="8" t="n">
        <v>46079.43462962963</v>
      </c>
    </row>
    <row r="446" hidden="1" ht="58" customHeight="1">
      <c r="A446" s="15">
        <f>HYPERLINK("https://vtmf.veevavault.com/ui/#doc_info/31068744/1/0", "VTMF-25047273")</f>
        <v/>
      </c>
      <c r="B446" s="20" t="inlineStr">
        <is>
          <t>Yes</t>
        </is>
      </c>
      <c r="C446" s="5" t="inlineStr">
        <is>
          <t>1.0</t>
        </is>
      </c>
      <c r="D446" s="5" t="inlineStr">
        <is>
          <t>GCO</t>
        </is>
      </c>
      <c r="E446" s="5" t="inlineStr">
        <is>
          <t>42847922MDD3003</t>
        </is>
      </c>
      <c r="F446" s="16">
        <f>HYPERLINK("https://vtmf.veevavault.com/ui/#doc_info/31068744/1/0", "42847922MDD3003-USA-S10-US10058-Relevant Communications-20 Nov 2024 (v1.0)")</f>
        <v/>
      </c>
      <c r="G446" s="5" t="inlineStr">
        <is>
          <t>Site Management</t>
        </is>
      </c>
      <c r="H446" s="5" t="inlineStr">
        <is>
          <t>General</t>
        </is>
      </c>
      <c r="I446" s="5" t="inlineStr">
        <is>
          <t>Relevant Communications</t>
        </is>
      </c>
      <c r="J446" s="5" t="inlineStr">
        <is>
          <t>MDD3003_PI: Dr Kenia Castro_Site: S10-US10058 (United States of America)_Subject ID: US100580007_Visit: VISIT 1_Alert: FIRST DEGREE AV BLOCK</t>
        </is>
      </c>
      <c r="K446" s="6" t="n">
        <v>463</v>
      </c>
      <c r="L446" s="7" t="n">
        <v>45616</v>
      </c>
      <c r="M446" s="11" t="n">
        <v>46079</v>
      </c>
      <c r="N446" s="5" t="inlineStr">
        <is>
          <t>Approved</t>
        </is>
      </c>
      <c r="O446" s="5" t="inlineStr">
        <is>
          <t>Site</t>
        </is>
      </c>
      <c r="P446" s="5" t="inlineStr">
        <is>
          <t>United States</t>
        </is>
      </c>
      <c r="Q446" s="13" t="inlineStr">
        <is>
          <t>S10-US10058</t>
        </is>
      </c>
      <c r="R446" s="5" t="inlineStr">
        <is>
          <t>Gabriela Dluska</t>
        </is>
      </c>
      <c r="S446" s="8" t="n">
        <v>46079.43462962963</v>
      </c>
    </row>
    <row r="447" hidden="1" ht="43.5" customHeight="1">
      <c r="A447" s="15">
        <f>HYPERLINK("https://vtmf.veevavault.com/ui/#doc_info/31068745/1/0", "VTMF-25047274")</f>
        <v/>
      </c>
      <c r="B447" s="20" t="inlineStr">
        <is>
          <t>Yes</t>
        </is>
      </c>
      <c r="C447" s="5" t="inlineStr">
        <is>
          <t>1.0</t>
        </is>
      </c>
      <c r="D447" s="5" t="inlineStr">
        <is>
          <t>GCO</t>
        </is>
      </c>
      <c r="E447" s="5" t="inlineStr">
        <is>
          <t>42847922MDD3003</t>
        </is>
      </c>
      <c r="F447" s="16">
        <f>HYPERLINK("https://vtmf.veevavault.com/ui/#doc_info/31068745/1/0", "42847922MDD3003-ARG-S10-AR10001-Relevant Communications-27 Dec 2024 (v1.0)")</f>
        <v/>
      </c>
      <c r="G447" s="5" t="inlineStr">
        <is>
          <t>Site Management</t>
        </is>
      </c>
      <c r="H447" s="5" t="inlineStr">
        <is>
          <t>General</t>
        </is>
      </c>
      <c r="I447" s="5" t="inlineStr">
        <is>
          <t>Relevant Communications</t>
        </is>
      </c>
      <c r="J447" s="5" t="inlineStr">
        <is>
          <t>MDD3003_PI: Dr. Hector Fabian Lamaison M.D._Site: AR10001(Argentina)_Subject ID: AR100010002_Visit: VISIT 3_Alert: First Degree AV Block</t>
        </is>
      </c>
      <c r="K447" s="6" t="n">
        <v>426</v>
      </c>
      <c r="L447" s="7" t="n">
        <v>45653</v>
      </c>
      <c r="M447" s="11" t="n">
        <v>46079</v>
      </c>
      <c r="N447" s="5" t="inlineStr">
        <is>
          <t>Approved</t>
        </is>
      </c>
      <c r="O447" s="5" t="inlineStr">
        <is>
          <t>Site</t>
        </is>
      </c>
      <c r="P447" s="5" t="inlineStr">
        <is>
          <t>Argentina</t>
        </is>
      </c>
      <c r="Q447" s="13" t="inlineStr">
        <is>
          <t>S10-AR10001</t>
        </is>
      </c>
      <c r="R447" s="5" t="inlineStr">
        <is>
          <t>Gabriela Dluska</t>
        </is>
      </c>
      <c r="S447" s="8" t="n">
        <v>46079.43462962963</v>
      </c>
    </row>
    <row r="448" hidden="1" ht="58" customHeight="1">
      <c r="A448" s="15">
        <f>HYPERLINK("https://vtmf.veevavault.com/ui/#doc_info/31068746/1/0", "VTMF-25047275")</f>
        <v/>
      </c>
      <c r="B448" s="20" t="inlineStr">
        <is>
          <t>Yes</t>
        </is>
      </c>
      <c r="C448" s="5" t="inlineStr">
        <is>
          <t>1.0</t>
        </is>
      </c>
      <c r="D448" s="5" t="inlineStr">
        <is>
          <t>GCO</t>
        </is>
      </c>
      <c r="E448" s="5" t="inlineStr">
        <is>
          <t>42847922MDD3003</t>
        </is>
      </c>
      <c r="F448" s="16">
        <f>HYPERLINK("https://vtmf.veevavault.com/ui/#doc_info/31068746/1/0", "42847922MDD3003-USA-S10-US10219-Relevant Communications-27 Nov 2024 (v1.0)")</f>
        <v/>
      </c>
      <c r="G448" s="5" t="inlineStr">
        <is>
          <t>Site Management</t>
        </is>
      </c>
      <c r="H448" s="5" t="inlineStr">
        <is>
          <t>General</t>
        </is>
      </c>
      <c r="I448" s="5" t="inlineStr">
        <is>
          <t>Relevant Communications</t>
        </is>
      </c>
      <c r="J448" s="5" t="inlineStr">
        <is>
          <t>MDD3003_PI: Dr. Jorge Betancourt M.D._Site: US10219(United States)_Subject ID: US102190004/F_Visit: Part 1 DB Baseline _Alert: Lymphocytes</t>
        </is>
      </c>
      <c r="K448" s="6" t="n">
        <v>456</v>
      </c>
      <c r="L448" s="7" t="n">
        <v>45623</v>
      </c>
      <c r="M448" s="11" t="n">
        <v>46079</v>
      </c>
      <c r="N448" s="5" t="inlineStr">
        <is>
          <t>Approved</t>
        </is>
      </c>
      <c r="O448" s="5" t="inlineStr">
        <is>
          <t>Site</t>
        </is>
      </c>
      <c r="P448" s="5" t="inlineStr">
        <is>
          <t>United States</t>
        </is>
      </c>
      <c r="Q448" s="13" t="inlineStr">
        <is>
          <t>S10-US10219</t>
        </is>
      </c>
      <c r="R448" s="5" t="inlineStr">
        <is>
          <t>Gabriela Dluska</t>
        </is>
      </c>
      <c r="S448" s="8" t="n">
        <v>46079.43462962963</v>
      </c>
    </row>
    <row r="449" hidden="1" ht="29" customHeight="1">
      <c r="A449" s="15">
        <f>HYPERLINK("https://vtmf.veevavault.com/ui/#doc_info/31069312/1/0", "VTMF-25047737")</f>
        <v/>
      </c>
      <c r="B449" s="20" t="inlineStr">
        <is>
          <t>Yes</t>
        </is>
      </c>
      <c r="C449" s="5" t="inlineStr">
        <is>
          <t>1.0</t>
        </is>
      </c>
      <c r="D449" s="5" t="inlineStr">
        <is>
          <t>GCO</t>
        </is>
      </c>
      <c r="E449" s="5" t="inlineStr">
        <is>
          <t>42847922MDD3003</t>
        </is>
      </c>
      <c r="F449" s="16">
        <f>HYPERLINK("https://vtmf.veevavault.com/ui/#doc_info/31069312/1/0", "42847922MDD3003-TUR-S10-TR10008-On-site Drug Inventory and Reconciliation Form-25 Sep 2025 (v1.0)")</f>
        <v/>
      </c>
      <c r="G449" s="5" t="inlineStr">
        <is>
          <t>IP and Trial Supplies</t>
        </is>
      </c>
      <c r="H449" s="5" t="inlineStr">
        <is>
          <t>IP Documentation</t>
        </is>
      </c>
      <c r="I449" s="5" t="inlineStr">
        <is>
          <t>On-site Drug Inventory and Reconciliation Form</t>
        </is>
      </c>
      <c r="J449" s="5" t="inlineStr">
        <is>
          <t>Site inventory summary</t>
        </is>
      </c>
      <c r="K449" s="6" t="n">
        <v>154</v>
      </c>
      <c r="L449" s="7" t="n">
        <v>45925</v>
      </c>
      <c r="M449" s="11" t="n">
        <v>46079</v>
      </c>
      <c r="N449" s="5" t="inlineStr">
        <is>
          <t>Approved</t>
        </is>
      </c>
      <c r="O449" s="5" t="inlineStr">
        <is>
          <t>Site</t>
        </is>
      </c>
      <c r="P449" s="5" t="inlineStr">
        <is>
          <t>Türkiye</t>
        </is>
      </c>
      <c r="Q449" s="13" t="inlineStr">
        <is>
          <t>S10-TR10008</t>
        </is>
      </c>
      <c r="R449" s="5" t="inlineStr">
        <is>
          <t>Yagmur Tugce Comert</t>
        </is>
      </c>
      <c r="S449" s="8" t="n">
        <v>46079.48081018519</v>
      </c>
    </row>
    <row r="450" hidden="1" ht="29" customHeight="1">
      <c r="A450" s="15">
        <f>HYPERLINK("https://vtmf.veevavault.com/ui/#doc_info/31069331/1/0", "VTMF-25047779")</f>
        <v/>
      </c>
      <c r="B450" s="20" t="inlineStr">
        <is>
          <t>Yes</t>
        </is>
      </c>
      <c r="C450" s="5" t="inlineStr">
        <is>
          <t>1.0</t>
        </is>
      </c>
      <c r="D450" s="5" t="inlineStr">
        <is>
          <t>GCO</t>
        </is>
      </c>
      <c r="E450" s="5" t="inlineStr">
        <is>
          <t>42847922MDD3003</t>
        </is>
      </c>
      <c r="F450" s="16">
        <f>HYPERLINK("https://vtmf.veevavault.com/ui/#doc_info/31069331/1/0", "42847922MDD3003-TUR-S10-TR10008-On-site Drug Inventory and Reconciliation Form-25 Sep 2025 (v1.0)")</f>
        <v/>
      </c>
      <c r="G450" s="5" t="inlineStr">
        <is>
          <t>IP and Trial Supplies</t>
        </is>
      </c>
      <c r="H450" s="5" t="inlineStr">
        <is>
          <t>IP Documentation</t>
        </is>
      </c>
      <c r="I450" s="5" t="inlineStr">
        <is>
          <t>On-site Drug Inventory and Reconciliation Form</t>
        </is>
      </c>
      <c r="J450" s="5" t="inlineStr">
        <is>
          <t>On-site Drug Inventory</t>
        </is>
      </c>
      <c r="K450" s="6" t="n">
        <v>154</v>
      </c>
      <c r="L450" s="7" t="n">
        <v>45925</v>
      </c>
      <c r="M450" s="11" t="n">
        <v>46079</v>
      </c>
      <c r="N450" s="5" t="inlineStr">
        <is>
          <t>Approved</t>
        </is>
      </c>
      <c r="O450" s="5" t="inlineStr">
        <is>
          <t>Site</t>
        </is>
      </c>
      <c r="P450" s="5" t="inlineStr">
        <is>
          <t>Türkiye</t>
        </is>
      </c>
      <c r="Q450" s="13" t="inlineStr">
        <is>
          <t>S10-TR10008</t>
        </is>
      </c>
      <c r="R450" s="5" t="inlineStr">
        <is>
          <t>Yagmur Tugce Comert</t>
        </is>
      </c>
      <c r="S450" s="8" t="n">
        <v>46079.48534722222</v>
      </c>
    </row>
    <row r="451" hidden="1" ht="29" customHeight="1">
      <c r="A451" s="15">
        <f>HYPERLINK("https://vtmf.veevavault.com/ui/#doc_info/31069775/1/0", "VTMF-25048289")</f>
        <v/>
      </c>
      <c r="B451" s="20" t="inlineStr">
        <is>
          <t>Yes</t>
        </is>
      </c>
      <c r="C451" s="5" t="inlineStr">
        <is>
          <t>1.0</t>
        </is>
      </c>
      <c r="D451" s="5" t="inlineStr">
        <is>
          <t>GCO</t>
        </is>
      </c>
      <c r="E451" s="5" t="inlineStr">
        <is>
          <t>42847922MDD3003</t>
        </is>
      </c>
      <c r="F451" s="16">
        <f>HYPERLINK("https://vtmf.veevavault.com/ui/#doc_info/31069775/1/0", "42847922MDD3003-TUR-S10-TR10008-Non-IP Return Documentation-25 Sep 2025 (v1.0)")</f>
        <v/>
      </c>
      <c r="G451" s="5" t="inlineStr">
        <is>
          <t>IP and Trial Supplies</t>
        </is>
      </c>
      <c r="H451" s="5" t="inlineStr">
        <is>
          <t>Non-IP Documentation</t>
        </is>
      </c>
      <c r="I451" s="5" t="inlineStr">
        <is>
          <t>Non-IP Return Documentation</t>
        </is>
      </c>
      <c r="J451" s="5" t="inlineStr">
        <is>
          <t>Non-IP Return Documentation_kits,ICF</t>
        </is>
      </c>
      <c r="K451" s="6" t="n">
        <v>154</v>
      </c>
      <c r="L451" s="7" t="n">
        <v>45925</v>
      </c>
      <c r="M451" s="11" t="n">
        <v>46079</v>
      </c>
      <c r="N451" s="5" t="inlineStr">
        <is>
          <t>Approved</t>
        </is>
      </c>
      <c r="O451" s="5" t="inlineStr">
        <is>
          <t>Site</t>
        </is>
      </c>
      <c r="P451" s="5" t="inlineStr">
        <is>
          <t>Türkiye</t>
        </is>
      </c>
      <c r="Q451" s="13" t="inlineStr">
        <is>
          <t>S10-TR10008</t>
        </is>
      </c>
      <c r="R451" s="5" t="inlineStr">
        <is>
          <t>Yagmur Tugce Comert</t>
        </is>
      </c>
      <c r="S451" s="8" t="n">
        <v>46079.56045138889</v>
      </c>
    </row>
    <row r="452" hidden="1" ht="29" customHeight="1">
      <c r="A452" s="15">
        <f>HYPERLINK("https://vtmf.veevavault.com/ui/#doc_info/31069781/1/0", "VTMF-25048298")</f>
        <v/>
      </c>
      <c r="B452" s="20" t="inlineStr">
        <is>
          <t>Yes</t>
        </is>
      </c>
      <c r="C452" s="5" t="inlineStr">
        <is>
          <t>1.0</t>
        </is>
      </c>
      <c r="D452" s="5" t="inlineStr">
        <is>
          <t>GCO</t>
        </is>
      </c>
      <c r="E452" s="5" t="inlineStr">
        <is>
          <t>42847922MDD3003</t>
        </is>
      </c>
      <c r="F452" s="16">
        <f>HYPERLINK("https://vtmf.veevavault.com/ui/#doc_info/31069781/1/0", "42847922MDD3003-TUR-S10-TR10008-Non-IP Return Documentation-24 Apr 2025 (v1.0)")</f>
        <v/>
      </c>
      <c r="G452" s="5" t="inlineStr">
        <is>
          <t>IP and Trial Supplies</t>
        </is>
      </c>
      <c r="H452" s="5" t="inlineStr">
        <is>
          <t>Non-IP Documentation</t>
        </is>
      </c>
      <c r="I452" s="5" t="inlineStr">
        <is>
          <t>Non-IP Return Documentation</t>
        </is>
      </c>
      <c r="J452" s="5" t="inlineStr">
        <is>
          <t>Non-IP Return Documentation_ICF</t>
        </is>
      </c>
      <c r="K452" s="6" t="n">
        <v>308</v>
      </c>
      <c r="L452" s="7" t="n">
        <v>45771</v>
      </c>
      <c r="M452" s="11" t="n">
        <v>46079</v>
      </c>
      <c r="N452" s="5" t="inlineStr">
        <is>
          <t>Approved</t>
        </is>
      </c>
      <c r="O452" s="5" t="inlineStr">
        <is>
          <t>Site</t>
        </is>
      </c>
      <c r="P452" s="5" t="inlineStr">
        <is>
          <t>Türkiye</t>
        </is>
      </c>
      <c r="Q452" s="13" t="inlineStr">
        <is>
          <t>S10-TR10008</t>
        </is>
      </c>
      <c r="R452" s="5" t="inlineStr">
        <is>
          <t>Yagmur Tugce Comert</t>
        </is>
      </c>
      <c r="S452" s="8" t="n">
        <v>46079.56207175926</v>
      </c>
    </row>
    <row r="453" hidden="1" ht="29" customHeight="1">
      <c r="A453" s="15">
        <f>HYPERLINK("https://vtmf.veevavault.com/ui/#doc_info/31069783/1/0", "VTMF-25048309")</f>
        <v/>
      </c>
      <c r="B453" s="20" t="inlineStr">
        <is>
          <t>Yes</t>
        </is>
      </c>
      <c r="C453" s="5" t="inlineStr">
        <is>
          <t>1.0</t>
        </is>
      </c>
      <c r="D453" s="5" t="inlineStr">
        <is>
          <t>GCO</t>
        </is>
      </c>
      <c r="E453" s="5" t="inlineStr">
        <is>
          <t>42847922MDD3003</t>
        </is>
      </c>
      <c r="F453" s="16">
        <f>HYPERLINK("https://vtmf.veevavault.com/ui/#doc_info/31069783/1/0", "42847922MDD3003-TUR-S10-TR10008-Non-IP Return Documentation-15 May 2025 (v1.0)")</f>
        <v/>
      </c>
      <c r="G453" s="5" t="inlineStr">
        <is>
          <t>IP and Trial Supplies</t>
        </is>
      </c>
      <c r="H453" s="5" t="inlineStr">
        <is>
          <t>Non-IP Documentation</t>
        </is>
      </c>
      <c r="I453" s="5" t="inlineStr">
        <is>
          <t>Non-IP Return Documentation</t>
        </is>
      </c>
      <c r="J453" s="5" t="inlineStr">
        <is>
          <t>Non-IP Return Documentation_ICF</t>
        </is>
      </c>
      <c r="K453" s="6" t="n">
        <v>287</v>
      </c>
      <c r="L453" s="7" t="n">
        <v>45792</v>
      </c>
      <c r="M453" s="11" t="n">
        <v>46079</v>
      </c>
      <c r="N453" s="5" t="inlineStr">
        <is>
          <t>Approved</t>
        </is>
      </c>
      <c r="O453" s="5" t="inlineStr">
        <is>
          <t>Site</t>
        </is>
      </c>
      <c r="P453" s="5" t="inlineStr">
        <is>
          <t>Türkiye</t>
        </is>
      </c>
      <c r="Q453" s="13" t="inlineStr">
        <is>
          <t>S10-TR10008</t>
        </is>
      </c>
      <c r="R453" s="5" t="inlineStr">
        <is>
          <t>Yagmur Tugce Comert</t>
        </is>
      </c>
      <c r="S453" s="8" t="n">
        <v>46079.56357638889</v>
      </c>
    </row>
    <row r="454" hidden="1" ht="29" customHeight="1">
      <c r="A454" s="15">
        <f>HYPERLINK("https://vtmf.veevavault.com/ui/#doc_info/31069786/1/0", "VTMF-25048321")</f>
        <v/>
      </c>
      <c r="B454" s="19" t="inlineStr">
        <is>
          <t>No</t>
        </is>
      </c>
      <c r="C454" s="5" t="inlineStr">
        <is>
          <t>1.0</t>
        </is>
      </c>
      <c r="D454" s="5" t="inlineStr">
        <is>
          <t>GCO</t>
        </is>
      </c>
      <c r="E454" s="5" t="inlineStr">
        <is>
          <t>42847922MDD3003</t>
        </is>
      </c>
      <c r="F454" s="16">
        <f>HYPERLINK("https://vtmf.veevavault.com/ui/#doc_info/31069786/1/0", "42847922MDD3003-TUR-S10-TR10008-Site Training Documentation-16 Jun 2025 (v1.0)")</f>
        <v/>
      </c>
      <c r="G454" s="5" t="inlineStr">
        <is>
          <t>Site Management</t>
        </is>
      </c>
      <c r="H454" s="5" t="inlineStr">
        <is>
          <t>Site Initiation</t>
        </is>
      </c>
      <c r="I454" s="5" t="inlineStr">
        <is>
          <t>Site Training Documentation</t>
        </is>
      </c>
      <c r="J454" s="5" t="inlineStr">
        <is>
          <t>Site Training Documentation
_GCP_Usta,I</t>
        </is>
      </c>
      <c r="K454" s="6" t="n">
        <v>255</v>
      </c>
      <c r="L454" s="7" t="n">
        <v>45824</v>
      </c>
      <c r="M454" s="11" t="n">
        <v>46079</v>
      </c>
      <c r="N454" s="5" t="inlineStr">
        <is>
          <t>Approved</t>
        </is>
      </c>
      <c r="O454" s="5" t="inlineStr">
        <is>
          <t>Site</t>
        </is>
      </c>
      <c r="P454" s="5" t="inlineStr">
        <is>
          <t>Türkiye</t>
        </is>
      </c>
      <c r="Q454" s="13" t="inlineStr">
        <is>
          <t>S10-TR10008</t>
        </is>
      </c>
      <c r="R454" s="5" t="inlineStr">
        <is>
          <t>Yagmur Tugce Comert</t>
        </is>
      </c>
      <c r="S454" s="8" t="n">
        <v>46079.56519675926</v>
      </c>
    </row>
    <row r="455" hidden="1" ht="43.5" customHeight="1">
      <c r="A455" s="15">
        <f>HYPERLINK("https://vtmf.veevavault.com/ui/#doc_info/31070435/1/0", "VTMF-25048583")</f>
        <v/>
      </c>
      <c r="B455" s="20" t="inlineStr">
        <is>
          <t>Yes</t>
        </is>
      </c>
      <c r="C455" s="5" t="inlineStr">
        <is>
          <t>1.0</t>
        </is>
      </c>
      <c r="D455" s="5" t="inlineStr">
        <is>
          <t>GCO</t>
        </is>
      </c>
      <c r="E455" s="5" t="inlineStr">
        <is>
          <t>42847922MDD3003</t>
        </is>
      </c>
      <c r="F455" s="16">
        <f>HYPERLINK("https://vtmf.veevavault.com/ui/#doc_info/31070435/1/0", "42847922MDD3003-ARG-S10-AR10014-Relevant Communications-06 Jan 2025 (v1.0)")</f>
        <v/>
      </c>
      <c r="G455" s="5" t="inlineStr">
        <is>
          <t>Site Management</t>
        </is>
      </c>
      <c r="H455" s="5" t="inlineStr">
        <is>
          <t>General</t>
        </is>
      </c>
      <c r="I455" s="5" t="inlineStr">
        <is>
          <t>Relevant Communications</t>
        </is>
      </c>
      <c r="J455" s="5" t="inlineStr">
        <is>
          <t>MDD3003_PI: Dr.Mariano Andres Buteler M.D._Site: AR10014(United States)_Subject ID:AR100140005 /F_Visit: Part 1 Screening _Alert: Hematocrit</t>
        </is>
      </c>
      <c r="K455" s="6" t="n">
        <v>416</v>
      </c>
      <c r="L455" s="7" t="n">
        <v>45663</v>
      </c>
      <c r="M455" s="11" t="n">
        <v>46079</v>
      </c>
      <c r="N455" s="5" t="inlineStr">
        <is>
          <t>Approved</t>
        </is>
      </c>
      <c r="O455" s="5" t="inlineStr">
        <is>
          <t>Site</t>
        </is>
      </c>
      <c r="P455" s="5" t="inlineStr">
        <is>
          <t>Argentina</t>
        </is>
      </c>
      <c r="Q455" s="13" t="inlineStr">
        <is>
          <t>S10-AR10014</t>
        </is>
      </c>
      <c r="R455" s="5" t="inlineStr">
        <is>
          <t>Gabriela Dluska</t>
        </is>
      </c>
      <c r="S455" s="8" t="n">
        <v>46079.59490740741</v>
      </c>
    </row>
    <row r="456" hidden="1" ht="43.5" customHeight="1">
      <c r="A456" s="15">
        <f>HYPERLINK("https://vtmf.veevavault.com/ui/#doc_info/31070436/1/0", "VTMF-25048584")</f>
        <v/>
      </c>
      <c r="B456" s="20" t="inlineStr">
        <is>
          <t>Yes</t>
        </is>
      </c>
      <c r="C456" s="5" t="inlineStr">
        <is>
          <t>1.0</t>
        </is>
      </c>
      <c r="D456" s="5" t="inlineStr">
        <is>
          <t>GCO</t>
        </is>
      </c>
      <c r="E456" s="5" t="inlineStr">
        <is>
          <t>42847922MDD3003</t>
        </is>
      </c>
      <c r="F456" s="16">
        <f>HYPERLINK("https://vtmf.veevavault.com/ui/#doc_info/31070436/1/0", "42847922MDD3003-USA-S10-US10218-Relevant Communications-20 Dec 2024 (v1.0)")</f>
        <v/>
      </c>
      <c r="G456" s="5" t="inlineStr">
        <is>
          <t>Site Management</t>
        </is>
      </c>
      <c r="H456" s="5" t="inlineStr">
        <is>
          <t>General</t>
        </is>
      </c>
      <c r="I456" s="5" t="inlineStr">
        <is>
          <t>Relevant Communications</t>
        </is>
      </c>
      <c r="J456" s="5" t="inlineStr">
        <is>
          <t>MDD3003 US10218/NISAR Subject 102180004 Screening Period Extension Request _APPROVED by Ewa</t>
        </is>
      </c>
      <c r="K456" s="6" t="n">
        <v>433</v>
      </c>
      <c r="L456" s="7" t="n">
        <v>45646</v>
      </c>
      <c r="M456" s="11" t="n">
        <v>46079</v>
      </c>
      <c r="N456" s="5" t="inlineStr">
        <is>
          <t>Approved</t>
        </is>
      </c>
      <c r="O456" s="5" t="inlineStr">
        <is>
          <t>Site</t>
        </is>
      </c>
      <c r="P456" s="5" t="inlineStr">
        <is>
          <t>United States</t>
        </is>
      </c>
      <c r="Q456" s="13" t="inlineStr">
        <is>
          <t>S10-US10218</t>
        </is>
      </c>
      <c r="R456" s="5" t="inlineStr">
        <is>
          <t>Gabriela Dluska</t>
        </is>
      </c>
      <c r="S456" s="8" t="n">
        <v>46079.59490740741</v>
      </c>
    </row>
    <row r="457" hidden="1" ht="58" customHeight="1">
      <c r="A457" s="15">
        <f>HYPERLINK("https://vtmf.veevavault.com/ui/#doc_info/31070437/1/0", "VTMF-25048585")</f>
        <v/>
      </c>
      <c r="B457" s="20" t="inlineStr">
        <is>
          <t>Yes</t>
        </is>
      </c>
      <c r="C457" s="5" t="inlineStr">
        <is>
          <t>1.0</t>
        </is>
      </c>
      <c r="D457" s="5" t="inlineStr">
        <is>
          <t>GCO</t>
        </is>
      </c>
      <c r="E457" s="5" t="inlineStr">
        <is>
          <t>42847922MDD3003</t>
        </is>
      </c>
      <c r="F457" s="16">
        <f>HYPERLINK("https://vtmf.veevavault.com/ui/#doc_info/31070437/1/0", "42847922MDD3003-USA-S10-US10118-Relevant Communications-20 Dec 2024 (v1.0)")</f>
        <v/>
      </c>
      <c r="G457" s="5" t="inlineStr">
        <is>
          <t>Site Management</t>
        </is>
      </c>
      <c r="H457" s="5" t="inlineStr">
        <is>
          <t>General</t>
        </is>
      </c>
      <c r="I457" s="5" t="inlineStr">
        <is>
          <t>Relevant Communications</t>
        </is>
      </c>
      <c r="J457" s="5" t="inlineStr">
        <is>
          <t>MDD3003 - Joyce Site S10-US10118 _ SUBJECT US101180001 MEDICATION Doxycycline 100mg BID AE URI prescribed for 7 days from 03 Dec 2024_ Confirmed as Not prohibited.</t>
        </is>
      </c>
      <c r="K457" s="6" t="n">
        <v>433</v>
      </c>
      <c r="L457" s="7" t="n">
        <v>45646</v>
      </c>
      <c r="M457" s="11" t="n">
        <v>46079</v>
      </c>
      <c r="N457" s="5" t="inlineStr">
        <is>
          <t>Approved</t>
        </is>
      </c>
      <c r="O457" s="5" t="inlineStr">
        <is>
          <t>Site</t>
        </is>
      </c>
      <c r="P457" s="5" t="inlineStr">
        <is>
          <t>United States</t>
        </is>
      </c>
      <c r="Q457" s="13" t="inlineStr">
        <is>
          <t>S10-US10118</t>
        </is>
      </c>
      <c r="R457" s="5" t="inlineStr">
        <is>
          <t>Gabriela Dluska</t>
        </is>
      </c>
      <c r="S457" s="8" t="n">
        <v>46079.59490740741</v>
      </c>
    </row>
    <row r="458" hidden="1" ht="58" customHeight="1">
      <c r="A458" s="15">
        <f>HYPERLINK("https://vtmf.veevavault.com/ui/#doc_info/31070438/1/0", "VTMF-25048586")</f>
        <v/>
      </c>
      <c r="B458" s="20" t="inlineStr">
        <is>
          <t>Yes</t>
        </is>
      </c>
      <c r="C458" s="5" t="inlineStr">
        <is>
          <t>1.0</t>
        </is>
      </c>
      <c r="D458" s="5" t="inlineStr">
        <is>
          <t>GCO</t>
        </is>
      </c>
      <c r="E458" s="5" t="inlineStr">
        <is>
          <t>42847922MDD3003</t>
        </is>
      </c>
      <c r="F458" s="16">
        <f>HYPERLINK("https://vtmf.veevavault.com/ui/#doc_info/31070438/1/0", "42847922MDD3003-USA-S10-US10118-Relevant Communications-16 Dec 2024 (v1.0)")</f>
        <v/>
      </c>
      <c r="G458" s="5" t="inlineStr">
        <is>
          <t>Site Management</t>
        </is>
      </c>
      <c r="H458" s="5" t="inlineStr">
        <is>
          <t>General</t>
        </is>
      </c>
      <c r="I458" s="5" t="inlineStr">
        <is>
          <t>Relevant Communications</t>
        </is>
      </c>
      <c r="J458" s="5" t="inlineStr">
        <is>
          <t>MDD3003 - Joyce Site S10-US10118 _ SUBJECT US101180001 PROHIBITED 
MEDICATION Doxycycline 100mg BID AE URI prescribed for 7 days from 03 Dec 2024</t>
        </is>
      </c>
      <c r="K458" s="6" t="n">
        <v>437</v>
      </c>
      <c r="L458" s="7" t="n">
        <v>45642</v>
      </c>
      <c r="M458" s="11" t="n">
        <v>46079</v>
      </c>
      <c r="N458" s="5" t="inlineStr">
        <is>
          <t>Approved</t>
        </is>
      </c>
      <c r="O458" s="5" t="inlineStr">
        <is>
          <t>Site</t>
        </is>
      </c>
      <c r="P458" s="5" t="inlineStr">
        <is>
          <t>United States</t>
        </is>
      </c>
      <c r="Q458" s="13" t="inlineStr">
        <is>
          <t>S10-US10118</t>
        </is>
      </c>
      <c r="R458" s="5" t="inlineStr">
        <is>
          <t>Gabriela Dluska</t>
        </is>
      </c>
      <c r="S458" s="8" t="n">
        <v>46079.59490740741</v>
      </c>
    </row>
    <row r="459" hidden="1" ht="43.5" customHeight="1">
      <c r="A459" s="15">
        <f>HYPERLINK("https://vtmf.veevavault.com/ui/#doc_info/31070439/1/0", "VTMF-25048587")</f>
        <v/>
      </c>
      <c r="B459" s="20" t="inlineStr">
        <is>
          <t>Yes</t>
        </is>
      </c>
      <c r="C459" s="5" t="inlineStr">
        <is>
          <t>1.0</t>
        </is>
      </c>
      <c r="D459" s="5" t="inlineStr">
        <is>
          <t>GCO</t>
        </is>
      </c>
      <c r="E459" s="5" t="inlineStr">
        <is>
          <t>42847922MDD3003</t>
        </is>
      </c>
      <c r="F459" s="16">
        <f>HYPERLINK("https://vtmf.veevavault.com/ui/#doc_info/31070439/1/0", "42847922MDD3003-USA-S10-US10058-Relevant Communications-19 Dec 2024 (v1.0)")</f>
        <v/>
      </c>
      <c r="G459" s="5" t="inlineStr">
        <is>
          <t>Site Management</t>
        </is>
      </c>
      <c r="H459" s="5" t="inlineStr">
        <is>
          <t>General</t>
        </is>
      </c>
      <c r="I459" s="5" t="inlineStr">
        <is>
          <t>Relevant Communications</t>
        </is>
      </c>
      <c r="J459" s="5" t="inlineStr">
        <is>
          <t>MDD3003 | Castro |S10- US10058_Dr | US100580009 I Screening Period Extension - Request _ CAN NOT BE APPROVED</t>
        </is>
      </c>
      <c r="K459" s="6" t="n">
        <v>434</v>
      </c>
      <c r="L459" s="7" t="n">
        <v>45645</v>
      </c>
      <c r="M459" s="11" t="n">
        <v>46079</v>
      </c>
      <c r="N459" s="5" t="inlineStr">
        <is>
          <t>Approved</t>
        </is>
      </c>
      <c r="O459" s="5" t="inlineStr">
        <is>
          <t>Site</t>
        </is>
      </c>
      <c r="P459" s="5" t="inlineStr">
        <is>
          <t>United States</t>
        </is>
      </c>
      <c r="Q459" s="13" t="inlineStr">
        <is>
          <t>S10-US10058</t>
        </is>
      </c>
      <c r="R459" s="5" t="inlineStr">
        <is>
          <t>Gabriela Dluska</t>
        </is>
      </c>
      <c r="S459" s="8" t="n">
        <v>46079.59490740741</v>
      </c>
    </row>
    <row r="460" hidden="1" ht="43.5" customHeight="1">
      <c r="A460" s="15">
        <f>HYPERLINK("https://vtmf.veevavault.com/ui/#doc_info/31070440/1/0", "VTMF-25048588")</f>
        <v/>
      </c>
      <c r="B460" s="20" t="inlineStr">
        <is>
          <t>Yes</t>
        </is>
      </c>
      <c r="C460" s="5" t="inlineStr">
        <is>
          <t>1.0</t>
        </is>
      </c>
      <c r="D460" s="5" t="inlineStr">
        <is>
          <t>GCO</t>
        </is>
      </c>
      <c r="E460" s="5" t="inlineStr">
        <is>
          <t>42847922MDD3003</t>
        </is>
      </c>
      <c r="F460" s="16">
        <f>HYPERLINK("https://vtmf.veevavault.com/ui/#doc_info/31070440/1/0", "42847922MDD3003-USA-S10-US10103-Relevant Communications-20 Dec 2024 (v1.0)")</f>
        <v/>
      </c>
      <c r="G460" s="5" t="inlineStr">
        <is>
          <t>Site Management</t>
        </is>
      </c>
      <c r="H460" s="5" t="inlineStr">
        <is>
          <t>General</t>
        </is>
      </c>
      <c r="I460" s="5" t="inlineStr">
        <is>
          <t>Relevant Communications</t>
        </is>
      </c>
      <c r="J460" s="5" t="inlineStr">
        <is>
          <t>MDD3003 | US10103 PI Padilla | US101030028 Screening Period Extension 
Request_ Approved - 6 days to Baseline 13 Jan 2025</t>
        </is>
      </c>
      <c r="K460" s="6" t="n">
        <v>433</v>
      </c>
      <c r="L460" s="7" t="n">
        <v>45646</v>
      </c>
      <c r="M460" s="11" t="n">
        <v>46079</v>
      </c>
      <c r="N460" s="5" t="inlineStr">
        <is>
          <t>Approved</t>
        </is>
      </c>
      <c r="O460" s="5" t="inlineStr">
        <is>
          <t>Site</t>
        </is>
      </c>
      <c r="P460" s="5" t="inlineStr">
        <is>
          <t>United States</t>
        </is>
      </c>
      <c r="Q460" s="13" t="inlineStr">
        <is>
          <t>S10-US10103</t>
        </is>
      </c>
      <c r="R460" s="5" t="inlineStr">
        <is>
          <t>Gabriela Dluska</t>
        </is>
      </c>
      <c r="S460" s="8" t="n">
        <v>46079.59490740741</v>
      </c>
    </row>
    <row r="461" hidden="1" ht="43.5" customHeight="1">
      <c r="A461" s="15">
        <f>HYPERLINK("https://vtmf.veevavault.com/ui/#doc_info/31070441/1/0", "VTMF-25048589")</f>
        <v/>
      </c>
      <c r="B461" s="20" t="inlineStr">
        <is>
          <t>Yes</t>
        </is>
      </c>
      <c r="C461" s="5" t="inlineStr">
        <is>
          <t>1.0</t>
        </is>
      </c>
      <c r="D461" s="5" t="inlineStr">
        <is>
          <t>GCO</t>
        </is>
      </c>
      <c r="E461" s="5" t="inlineStr">
        <is>
          <t>42847922MDD3003</t>
        </is>
      </c>
      <c r="F461" s="16">
        <f>HYPERLINK("https://vtmf.veevavault.com/ui/#doc_info/31070441/1/0", "42847922MDD3003-BRA-S10-BR10002-Relevant Communications-20 Dec 2024 (v1.0)")</f>
        <v/>
      </c>
      <c r="G461" s="5" t="inlineStr">
        <is>
          <t>Site Management</t>
        </is>
      </c>
      <c r="H461" s="5" t="inlineStr">
        <is>
          <t>General</t>
        </is>
      </c>
      <c r="I461" s="5" t="inlineStr">
        <is>
          <t>Relevant Communications</t>
        </is>
      </c>
      <c r="J461" s="5" t="inlineStr">
        <is>
          <t>MDD3003 Ruschel Subject BR100020003 in Screening pending MDR review 
approval</t>
        </is>
      </c>
      <c r="K461" s="6" t="n">
        <v>433</v>
      </c>
      <c r="L461" s="7" t="n">
        <v>45646</v>
      </c>
      <c r="M461" s="11" t="n">
        <v>46079</v>
      </c>
      <c r="N461" s="5" t="inlineStr">
        <is>
          <t>Approved</t>
        </is>
      </c>
      <c r="O461" s="5" t="inlineStr">
        <is>
          <t>Site</t>
        </is>
      </c>
      <c r="P461" s="5" t="inlineStr">
        <is>
          <t>Brazil</t>
        </is>
      </c>
      <c r="Q461" s="13" t="inlineStr">
        <is>
          <t>S10-BR10002</t>
        </is>
      </c>
      <c r="R461" s="5" t="inlineStr">
        <is>
          <t>Gabriela Dluska</t>
        </is>
      </c>
      <c r="S461" s="8" t="n">
        <v>46079.59490740741</v>
      </c>
    </row>
    <row r="462" hidden="1" ht="43.5" customHeight="1">
      <c r="A462" s="15">
        <f>HYPERLINK("https://vtmf.veevavault.com/ui/#doc_info/31070442/1/0", "VTMF-25048590")</f>
        <v/>
      </c>
      <c r="B462" s="20" t="inlineStr">
        <is>
          <t>Yes</t>
        </is>
      </c>
      <c r="C462" s="5" t="inlineStr">
        <is>
          <t>1.0</t>
        </is>
      </c>
      <c r="D462" s="5" t="inlineStr">
        <is>
          <t>GCO</t>
        </is>
      </c>
      <c r="E462" s="5" t="inlineStr">
        <is>
          <t>42847922MDD3003</t>
        </is>
      </c>
      <c r="F462" s="16">
        <f>HYPERLINK("https://vtmf.veevavault.com/ui/#doc_info/31070442/1/0", "42847922MDD3003-ARG-S10-AR10010-Relevant Communications-31 Dec 2024 (v1.0)")</f>
        <v/>
      </c>
      <c r="G462" s="5" t="inlineStr">
        <is>
          <t>Site Management</t>
        </is>
      </c>
      <c r="H462" s="5" t="inlineStr">
        <is>
          <t>General</t>
        </is>
      </c>
      <c r="I462" s="5" t="inlineStr">
        <is>
          <t>Relevant Communications</t>
        </is>
      </c>
      <c r="J462" s="5" t="inlineStr">
        <is>
          <t>MDD3003_ Ruggeri__ Site S10-AR10010_ Subject Subject ID: AR100100003_Screening Period Extension Request_ Approved</t>
        </is>
      </c>
      <c r="K462" s="6" t="n">
        <v>422</v>
      </c>
      <c r="L462" s="7" t="n">
        <v>45657</v>
      </c>
      <c r="M462" s="11" t="n">
        <v>46079</v>
      </c>
      <c r="N462" s="5" t="inlineStr">
        <is>
          <t>Approved</t>
        </is>
      </c>
      <c r="O462" s="5" t="inlineStr">
        <is>
          <t>Site</t>
        </is>
      </c>
      <c r="P462" s="5" t="inlineStr">
        <is>
          <t>Argentina</t>
        </is>
      </c>
      <c r="Q462" s="13" t="inlineStr">
        <is>
          <t>S10-AR10010</t>
        </is>
      </c>
      <c r="R462" s="5" t="inlineStr">
        <is>
          <t>Gabriela Dluska</t>
        </is>
      </c>
      <c r="S462" s="8" t="n">
        <v>46079.59490740741</v>
      </c>
    </row>
    <row r="463" hidden="1" ht="43.5" customHeight="1">
      <c r="A463" s="15">
        <f>HYPERLINK("https://vtmf.veevavault.com/ui/#doc_info/31070443/1/0", "VTMF-25048591")</f>
        <v/>
      </c>
      <c r="B463" s="20" t="inlineStr">
        <is>
          <t>Yes</t>
        </is>
      </c>
      <c r="C463" s="5" t="inlineStr">
        <is>
          <t>1.0</t>
        </is>
      </c>
      <c r="D463" s="5" t="inlineStr">
        <is>
          <t>GCO</t>
        </is>
      </c>
      <c r="E463" s="5" t="inlineStr">
        <is>
          <t>42847922MDD3003</t>
        </is>
      </c>
      <c r="F463" s="16">
        <f>HYPERLINK("https://vtmf.veevavault.com/ui/#doc_info/31070443/1/0", "42847922MDD3003-USA-S10-US10040-Relevant Communications-03 Jan 2025 (v1.0)")</f>
        <v/>
      </c>
      <c r="G463" s="5" t="inlineStr">
        <is>
          <t>Site Management</t>
        </is>
      </c>
      <c r="H463" s="5" t="inlineStr">
        <is>
          <t>General</t>
        </is>
      </c>
      <c r="I463" s="5" t="inlineStr">
        <is>
          <t>Relevant Communications</t>
        </is>
      </c>
      <c r="J463" s="5" t="inlineStr">
        <is>
          <t>MDD3003 / S10-US10040 / PI Rutrick / Subject US100400006 / Screening Period Extension Request for 6 Days _APPROVED</t>
        </is>
      </c>
      <c r="K463" s="6" t="n">
        <v>419</v>
      </c>
      <c r="L463" s="7" t="n">
        <v>45660</v>
      </c>
      <c r="M463" s="11" t="n">
        <v>46079</v>
      </c>
      <c r="N463" s="5" t="inlineStr">
        <is>
          <t>Approved</t>
        </is>
      </c>
      <c r="O463" s="5" t="inlineStr">
        <is>
          <t>Site</t>
        </is>
      </c>
      <c r="P463" s="5" t="inlineStr">
        <is>
          <t>United States</t>
        </is>
      </c>
      <c r="Q463" s="13" t="inlineStr">
        <is>
          <t>S10-US10040</t>
        </is>
      </c>
      <c r="R463" s="5" t="inlineStr">
        <is>
          <t>Gabriela Dluska</t>
        </is>
      </c>
      <c r="S463" s="8" t="n">
        <v>46079.59490740741</v>
      </c>
    </row>
    <row r="464" hidden="1" ht="58" customHeight="1">
      <c r="A464" s="15">
        <f>HYPERLINK("https://vtmf.veevavault.com/ui/#doc_info/31070444/1/0", "VTMF-25048592")</f>
        <v/>
      </c>
      <c r="B464" s="20" t="inlineStr">
        <is>
          <t>Yes</t>
        </is>
      </c>
      <c r="C464" s="5" t="inlineStr">
        <is>
          <t>1.0</t>
        </is>
      </c>
      <c r="D464" s="5" t="inlineStr">
        <is>
          <t>GCO</t>
        </is>
      </c>
      <c r="E464" s="5" t="inlineStr">
        <is>
          <t>42847922MDD3003</t>
        </is>
      </c>
      <c r="F464" s="16">
        <f>HYPERLINK("https://vtmf.veevavault.com/ui/#doc_info/31070444/1/0", "42847922MDD3003-ARG-S10-AR10001-Relevant Communications-20 Dec 2024 (v1.0)")</f>
        <v/>
      </c>
      <c r="G464" s="5" t="inlineStr">
        <is>
          <t>Site Management</t>
        </is>
      </c>
      <c r="H464" s="5" t="inlineStr">
        <is>
          <t>General</t>
        </is>
      </c>
      <c r="I464" s="5" t="inlineStr">
        <is>
          <t>Relevant Communications</t>
        </is>
      </c>
      <c r="J464" s="5" t="inlineStr">
        <is>
          <t>MDD3003_PI: Dr. Hector Fabian Lamaison 
M.D._Site: AR10001 (Argentina)_Subject ID: AR100010001_Visit: Part 1 Screening_Alert: 
BenzodiazepineConf-</t>
        </is>
      </c>
      <c r="K464" s="6" t="n">
        <v>433</v>
      </c>
      <c r="L464" s="7" t="n">
        <v>45646</v>
      </c>
      <c r="M464" s="11" t="n">
        <v>46079</v>
      </c>
      <c r="N464" s="5" t="inlineStr">
        <is>
          <t>Approved</t>
        </is>
      </c>
      <c r="O464" s="5" t="inlineStr">
        <is>
          <t>Site</t>
        </is>
      </c>
      <c r="P464" s="5" t="inlineStr">
        <is>
          <t>Argentina</t>
        </is>
      </c>
      <c r="Q464" s="13" t="inlineStr">
        <is>
          <t>S10-AR10001</t>
        </is>
      </c>
      <c r="R464" s="5" t="inlineStr">
        <is>
          <t>Gabriela Dluska</t>
        </is>
      </c>
      <c r="S464" s="8" t="n">
        <v>46079.59490740741</v>
      </c>
    </row>
    <row r="465" hidden="1" ht="43.5" customHeight="1">
      <c r="A465" s="15">
        <f>HYPERLINK("https://vtmf.veevavault.com/ui/#doc_info/31070445/1/0", "VTMF-25048593")</f>
        <v/>
      </c>
      <c r="B465" s="20" t="inlineStr">
        <is>
          <t>Yes</t>
        </is>
      </c>
      <c r="C465" s="5" t="inlineStr">
        <is>
          <t>1.0</t>
        </is>
      </c>
      <c r="D465" s="5" t="inlineStr">
        <is>
          <t>GCO</t>
        </is>
      </c>
      <c r="E465" s="5" t="inlineStr">
        <is>
          <t>42847922MDD3003</t>
        </is>
      </c>
      <c r="F465" s="16">
        <f>HYPERLINK("https://vtmf.veevavault.com/ui/#doc_info/31070445/1/0", "42847922MDD3003-ARG-S10-AR10001-Relevant Communications-27 Dec 2024 (v1.0)")</f>
        <v/>
      </c>
      <c r="G465" s="5" t="inlineStr">
        <is>
          <t>Site Management</t>
        </is>
      </c>
      <c r="H465" s="5" t="inlineStr">
        <is>
          <t>General</t>
        </is>
      </c>
      <c r="I465" s="5" t="inlineStr">
        <is>
          <t>Relevant Communications</t>
        </is>
      </c>
      <c r="J465" s="5" t="inlineStr">
        <is>
          <t>MDD3003_PI: Dr. Hector Fabian Lamaison M.D._Site: 
AR10001(Argentina)_Subject ID: AR100010002_Visit: Part 1 DB Baseline_Alert: Glucose fasting</t>
        </is>
      </c>
      <c r="K465" s="6" t="n">
        <v>426</v>
      </c>
      <c r="L465" s="7" t="n">
        <v>45653</v>
      </c>
      <c r="M465" s="11" t="n">
        <v>46079</v>
      </c>
      <c r="N465" s="5" t="inlineStr">
        <is>
          <t>Approved</t>
        </is>
      </c>
      <c r="O465" s="5" t="inlineStr">
        <is>
          <t>Site</t>
        </is>
      </c>
      <c r="P465" s="5" t="inlineStr">
        <is>
          <t>Argentina</t>
        </is>
      </c>
      <c r="Q465" s="13" t="inlineStr">
        <is>
          <t>S10-AR10001</t>
        </is>
      </c>
      <c r="R465" s="5" t="inlineStr">
        <is>
          <t>Gabriela Dluska</t>
        </is>
      </c>
      <c r="S465" s="8" t="n">
        <v>46079.59490740741</v>
      </c>
    </row>
    <row r="466" hidden="1" ht="43.5" customHeight="1">
      <c r="A466" s="15">
        <f>HYPERLINK("https://vtmf.veevavault.com/ui/#doc_info/31070446/1/0", "VTMF-25048594")</f>
        <v/>
      </c>
      <c r="B466" s="20" t="inlineStr">
        <is>
          <t>Yes</t>
        </is>
      </c>
      <c r="C466" s="5" t="inlineStr">
        <is>
          <t>1.0</t>
        </is>
      </c>
      <c r="D466" s="5" t="inlineStr">
        <is>
          <t>GCO</t>
        </is>
      </c>
      <c r="E466" s="5" t="inlineStr">
        <is>
          <t>42847922MDD3003</t>
        </is>
      </c>
      <c r="F466" s="16">
        <f>HYPERLINK("https://vtmf.veevavault.com/ui/#doc_info/31070446/1/0", "42847922MDD3003-USA-S10-US10046-Relevant Communications-20 Dec 2024 (v1.0)")</f>
        <v/>
      </c>
      <c r="G466" s="5" t="inlineStr">
        <is>
          <t>Site Management</t>
        </is>
      </c>
      <c r="H466" s="5" t="inlineStr">
        <is>
          <t>General</t>
        </is>
      </c>
      <c r="I466" s="5" t="inlineStr">
        <is>
          <t>Relevant Communications</t>
        </is>
      </c>
      <c r="J466" s="5" t="inlineStr">
        <is>
          <t>MDD3003_PI: Dr. Moraima Trujillo_Site: US10046 (United States)_Subject ID: US100460003/F_Visit: End of Phase/Treatment_Alert: TSH</t>
        </is>
      </c>
      <c r="K466" s="6" t="n">
        <v>433</v>
      </c>
      <c r="L466" s="7" t="n">
        <v>45646</v>
      </c>
      <c r="M466" s="11" t="n">
        <v>46079</v>
      </c>
      <c r="N466" s="5" t="inlineStr">
        <is>
          <t>Approved</t>
        </is>
      </c>
      <c r="O466" s="5" t="inlineStr">
        <is>
          <t>Site</t>
        </is>
      </c>
      <c r="P466" s="5" t="inlineStr">
        <is>
          <t>United States</t>
        </is>
      </c>
      <c r="Q466" s="13" t="inlineStr">
        <is>
          <t>S10-US10046</t>
        </is>
      </c>
      <c r="R466" s="5" t="inlineStr">
        <is>
          <t>Gabriela Dluska</t>
        </is>
      </c>
      <c r="S466" s="8" t="n">
        <v>46079.59490740741</v>
      </c>
    </row>
    <row r="467" hidden="1" ht="58" customHeight="1">
      <c r="A467" s="15">
        <f>HYPERLINK("https://vtmf.veevavault.com/ui/#doc_info/31070447/1/0", "VTMF-25048595")</f>
        <v/>
      </c>
      <c r="B467" s="20" t="inlineStr">
        <is>
          <t>Yes</t>
        </is>
      </c>
      <c r="C467" s="5" t="inlineStr">
        <is>
          <t>1.0</t>
        </is>
      </c>
      <c r="D467" s="5" t="inlineStr">
        <is>
          <t>GCO</t>
        </is>
      </c>
      <c r="E467" s="5" t="inlineStr">
        <is>
          <t>42847922MDD3003</t>
        </is>
      </c>
      <c r="F467" s="16">
        <f>HYPERLINK("https://vtmf.veevavault.com/ui/#doc_info/31070447/1/0", "42847922MDD3003-USA-S10-US10036-Relevant Communications-20 Dec 2024 (v1.0)")</f>
        <v/>
      </c>
      <c r="G467" s="5" t="inlineStr">
        <is>
          <t>Site Management</t>
        </is>
      </c>
      <c r="H467" s="5" t="inlineStr">
        <is>
          <t>General</t>
        </is>
      </c>
      <c r="I467" s="5" t="inlineStr">
        <is>
          <t>Relevant Communications</t>
        </is>
      </c>
      <c r="J467" s="5" t="inlineStr">
        <is>
          <t>MDD3003_PI: Dr. Patricia Bravo M.D._Site: US10036(United States)_Subject ID: US100360004/F_Visit:Part 1 Screening / _Alert:LDH-Cancelled</t>
        </is>
      </c>
      <c r="K467" s="6" t="n">
        <v>433</v>
      </c>
      <c r="L467" s="7" t="n">
        <v>45646</v>
      </c>
      <c r="M467" s="11" t="n">
        <v>46079</v>
      </c>
      <c r="N467" s="5" t="inlineStr">
        <is>
          <t>Approved</t>
        </is>
      </c>
      <c r="O467" s="5" t="inlineStr">
        <is>
          <t>Site</t>
        </is>
      </c>
      <c r="P467" s="5" t="inlineStr">
        <is>
          <t>United States</t>
        </is>
      </c>
      <c r="Q467" s="13" t="inlineStr">
        <is>
          <t>S10-US10036</t>
        </is>
      </c>
      <c r="R467" s="5" t="inlineStr">
        <is>
          <t>Gabriela Dluska</t>
        </is>
      </c>
      <c r="S467" s="8" t="n">
        <v>46079.59490740741</v>
      </c>
    </row>
    <row r="468" hidden="1" ht="58" customHeight="1">
      <c r="A468" s="15">
        <f>HYPERLINK("https://vtmf.veevavault.com/ui/#doc_info/31070448/1/0", "VTMF-25048596")</f>
        <v/>
      </c>
      <c r="B468" s="20" t="inlineStr">
        <is>
          <t>Yes</t>
        </is>
      </c>
      <c r="C468" s="5" t="inlineStr">
        <is>
          <t>1.0</t>
        </is>
      </c>
      <c r="D468" s="5" t="inlineStr">
        <is>
          <t>GCO</t>
        </is>
      </c>
      <c r="E468" s="5" t="inlineStr">
        <is>
          <t>42847922MDD3003</t>
        </is>
      </c>
      <c r="F468" s="16">
        <f>HYPERLINK("https://vtmf.veevavault.com/ui/#doc_info/31070448/1/0", "42847922MDD3003-USA-S10-US10036-Relevant Communications-20 Dec 2024 (v1.0)")</f>
        <v/>
      </c>
      <c r="G468" s="5" t="inlineStr">
        <is>
          <t>Site Management</t>
        </is>
      </c>
      <c r="H468" s="5" t="inlineStr">
        <is>
          <t>General</t>
        </is>
      </c>
      <c r="I468" s="5" t="inlineStr">
        <is>
          <t>Relevant Communications</t>
        </is>
      </c>
      <c r="J468" s="5" t="inlineStr">
        <is>
          <t>MDD3003_PI: Dr. Patricia Bravo M.D._Site: US10036(United States)_Subject ID: US100360005/F_Visit:Part 1 Screening / _Alert:BenzodiazepineConf-LCMSMS-LDT</t>
        </is>
      </c>
      <c r="K468" s="6" t="n">
        <v>433</v>
      </c>
      <c r="L468" s="7" t="n">
        <v>45646</v>
      </c>
      <c r="M468" s="11" t="n">
        <v>46079</v>
      </c>
      <c r="N468" s="5" t="inlineStr">
        <is>
          <t>Approved</t>
        </is>
      </c>
      <c r="O468" s="5" t="inlineStr">
        <is>
          <t>Site</t>
        </is>
      </c>
      <c r="P468" s="5" t="inlineStr">
        <is>
          <t>United States</t>
        </is>
      </c>
      <c r="Q468" s="13" t="inlineStr">
        <is>
          <t>S10-US10036</t>
        </is>
      </c>
      <c r="R468" s="5" t="inlineStr">
        <is>
          <t>Gabriela Dluska</t>
        </is>
      </c>
      <c r="S468" s="8" t="n">
        <v>46079.59490740741</v>
      </c>
    </row>
    <row r="469" hidden="1" ht="72.5" customHeight="1">
      <c r="A469" s="15">
        <f>HYPERLINK("https://vtmf.veevavault.com/ui/#doc_info/31070449/1/0", "VTMF-25048597")</f>
        <v/>
      </c>
      <c r="B469" s="20" t="inlineStr">
        <is>
          <t>Yes</t>
        </is>
      </c>
      <c r="C469" s="5" t="inlineStr">
        <is>
          <t>1.0</t>
        </is>
      </c>
      <c r="D469" s="5" t="inlineStr">
        <is>
          <t>GCO</t>
        </is>
      </c>
      <c r="E469" s="5" t="inlineStr">
        <is>
          <t>42847922MDD3003</t>
        </is>
      </c>
      <c r="F469" s="16">
        <f>HYPERLINK("https://vtmf.veevavault.com/ui/#doc_info/31070449/1/0", "42847922MDD3003-USA-S10-US10086-Relevant Communications-23 Dec 2024 (v1.0)")</f>
        <v/>
      </c>
      <c r="G469" s="5" t="inlineStr">
        <is>
          <t>Site Management</t>
        </is>
      </c>
      <c r="H469" s="5" t="inlineStr">
        <is>
          <t>General</t>
        </is>
      </c>
      <c r="I469" s="5" t="inlineStr">
        <is>
          <t>Relevant Communications</t>
        </is>
      </c>
      <c r="J469" s="5" t="inlineStr">
        <is>
          <t>MDD3003_PI: Dr. Ronald Warnell M.D._Site: US10086(United States)_Subject ID: US100860001_Visit: Part 1 DB Baseline_Alert: Triglycerides (GPO) ,Glucose Fasting, Heamoglobin,Ur glucose</t>
        </is>
      </c>
      <c r="K469" s="6" t="n">
        <v>430</v>
      </c>
      <c r="L469" s="7" t="n">
        <v>45649</v>
      </c>
      <c r="M469" s="11" t="n">
        <v>46079</v>
      </c>
      <c r="N469" s="5" t="inlineStr">
        <is>
          <t>Approved</t>
        </is>
      </c>
      <c r="O469" s="5" t="inlineStr">
        <is>
          <t>Site</t>
        </is>
      </c>
      <c r="P469" s="5" t="inlineStr">
        <is>
          <t>United States</t>
        </is>
      </c>
      <c r="Q469" s="13" t="inlineStr">
        <is>
          <t>S10-US10086</t>
        </is>
      </c>
      <c r="R469" s="5" t="inlineStr">
        <is>
          <t>Gabriela Dluska</t>
        </is>
      </c>
      <c r="S469" s="8" t="n">
        <v>46079.59490740741</v>
      </c>
    </row>
    <row r="470" hidden="1" ht="58" customHeight="1">
      <c r="A470" s="15">
        <f>HYPERLINK("https://vtmf.veevavault.com/ui/#doc_info/31070450/1/0", "VTMF-25048598")</f>
        <v/>
      </c>
      <c r="B470" s="20" t="inlineStr">
        <is>
          <t>Yes</t>
        </is>
      </c>
      <c r="C470" s="5" t="inlineStr">
        <is>
          <t>1.0</t>
        </is>
      </c>
      <c r="D470" s="5" t="inlineStr">
        <is>
          <t>GCO</t>
        </is>
      </c>
      <c r="E470" s="5" t="inlineStr">
        <is>
          <t>42847922MDD3003</t>
        </is>
      </c>
      <c r="F470" s="16">
        <f>HYPERLINK("https://vtmf.veevavault.com/ui/#doc_info/31070450/1/0", "42847922MDD3003-USA-S10-US10086-Relevant Communications-28 Dec 2024 (v1.0)")</f>
        <v/>
      </c>
      <c r="G470" s="5" t="inlineStr">
        <is>
          <t>Site Management</t>
        </is>
      </c>
      <c r="H470" s="5" t="inlineStr">
        <is>
          <t>General</t>
        </is>
      </c>
      <c r="I470" s="5" t="inlineStr">
        <is>
          <t>Relevant Communications</t>
        </is>
      </c>
      <c r="J470" s="5" t="inlineStr">
        <is>
          <t>MDD3003_PI: Dr. Ronald Warnell M.D._Site: 
US10086(United States)_Subject ID: US100860001_Visit: Part 2 OL Induction Baseline Elevated Glucose and Triglycerides</t>
        </is>
      </c>
      <c r="K470" s="6" t="n">
        <v>425</v>
      </c>
      <c r="L470" s="7" t="n">
        <v>45654</v>
      </c>
      <c r="M470" s="11" t="n">
        <v>46079</v>
      </c>
      <c r="N470" s="5" t="inlineStr">
        <is>
          <t>Approved</t>
        </is>
      </c>
      <c r="O470" s="5" t="inlineStr">
        <is>
          <t>Site</t>
        </is>
      </c>
      <c r="P470" s="5" t="inlineStr">
        <is>
          <t>United States</t>
        </is>
      </c>
      <c r="Q470" s="13" t="inlineStr">
        <is>
          <t>S10-US10086</t>
        </is>
      </c>
      <c r="R470" s="5" t="inlineStr">
        <is>
          <t>Gabriela Dluska</t>
        </is>
      </c>
      <c r="S470" s="8" t="n">
        <v>46079.59490740741</v>
      </c>
    </row>
    <row r="471" hidden="1" ht="43.5" customHeight="1">
      <c r="A471" s="15">
        <f>HYPERLINK("https://vtmf.veevavault.com/ui/#doc_info/31070451/1/0", "VTMF-25048599")</f>
        <v/>
      </c>
      <c r="B471" s="20" t="inlineStr">
        <is>
          <t>Yes</t>
        </is>
      </c>
      <c r="C471" s="5" t="inlineStr">
        <is>
          <t>1.0</t>
        </is>
      </c>
      <c r="D471" s="5" t="inlineStr">
        <is>
          <t>GCO</t>
        </is>
      </c>
      <c r="E471" s="5" t="inlineStr">
        <is>
          <t>42847922MDD3003</t>
        </is>
      </c>
      <c r="F471" s="16">
        <f>HYPERLINK("https://vtmf.veevavault.com/ui/#doc_info/31070451/1/0", "42847922MDD3003-BRA-S10-BR10002-Relevant Communications-20 Dec 2024 (v1.0)")</f>
        <v/>
      </c>
      <c r="G471" s="5" t="inlineStr">
        <is>
          <t>Site Management</t>
        </is>
      </c>
      <c r="H471" s="5" t="inlineStr">
        <is>
          <t>General</t>
        </is>
      </c>
      <c r="I471" s="5" t="inlineStr">
        <is>
          <t>Relevant Communications</t>
        </is>
      </c>
      <c r="J471" s="5" t="inlineStr">
        <is>
          <t>MDD3003_PI: Dr. Sandra Ruschel M.D.._Site: BR10002
(Brazil)_Subject ID: BR100020002_Visit: Part 1 Screening_Alert: BenzodiazepineConf</t>
        </is>
      </c>
      <c r="K471" s="6" t="n">
        <v>433</v>
      </c>
      <c r="L471" s="7" t="n">
        <v>45646</v>
      </c>
      <c r="M471" s="11" t="n">
        <v>46079</v>
      </c>
      <c r="N471" s="5" t="inlineStr">
        <is>
          <t>Approved</t>
        </is>
      </c>
      <c r="O471" s="5" t="inlineStr">
        <is>
          <t>Site</t>
        </is>
      </c>
      <c r="P471" s="5" t="inlineStr">
        <is>
          <t>Brazil</t>
        </is>
      </c>
      <c r="Q471" s="13" t="inlineStr">
        <is>
          <t>S10-BR10002</t>
        </is>
      </c>
      <c r="R471" s="5" t="inlineStr">
        <is>
          <t>Gabriela Dluska</t>
        </is>
      </c>
      <c r="S471" s="8" t="n">
        <v>46079.59490740741</v>
      </c>
    </row>
    <row r="472" hidden="1" ht="72.5" customHeight="1">
      <c r="A472" s="15">
        <f>HYPERLINK("https://vtmf.veevavault.com/ui/#doc_info/31070452/1/0", "VTMF-25048600")</f>
        <v/>
      </c>
      <c r="B472" s="20" t="inlineStr">
        <is>
          <t>Yes</t>
        </is>
      </c>
      <c r="C472" s="5" t="inlineStr">
        <is>
          <t>1.0</t>
        </is>
      </c>
      <c r="D472" s="5" t="inlineStr">
        <is>
          <t>GCO</t>
        </is>
      </c>
      <c r="E472" s="5" t="inlineStr">
        <is>
          <t>42847922MDD3003</t>
        </is>
      </c>
      <c r="F472" s="16">
        <f>HYPERLINK("https://vtmf.veevavault.com/ui/#doc_info/31070452/1/0", "42847922MDD3003-ARG-S10-AR10014-Relevant Communications-16 Dec 2024 (v1.0)")</f>
        <v/>
      </c>
      <c r="G472" s="5" t="inlineStr">
        <is>
          <t>Site Management</t>
        </is>
      </c>
      <c r="H472" s="5" t="inlineStr">
        <is>
          <t>General</t>
        </is>
      </c>
      <c r="I472" s="5" t="inlineStr">
        <is>
          <t>Relevant Communications</t>
        </is>
      </c>
      <c r="J472" s="5" t="inlineStr">
        <is>
          <t>MDD3003_PI: Dr.Mariano Andres Buteler M.D._Site: AR10014(United 
States)_Subject ID:AR100140003 /F_Visit: Part 1 DB Baseline _Alert: Ur Bacteria ,Ur Leukocyte Esterase,Ur Nitrite</t>
        </is>
      </c>
      <c r="K472" s="6" t="n">
        <v>437</v>
      </c>
      <c r="L472" s="7" t="n">
        <v>45642</v>
      </c>
      <c r="M472" s="11" t="n">
        <v>46079</v>
      </c>
      <c r="N472" s="5" t="inlineStr">
        <is>
          <t>Approved</t>
        </is>
      </c>
      <c r="O472" s="5" t="inlineStr">
        <is>
          <t>Site</t>
        </is>
      </c>
      <c r="P472" s="5" t="inlineStr">
        <is>
          <t>Argentina</t>
        </is>
      </c>
      <c r="Q472" s="13" t="inlineStr">
        <is>
          <t>S10-AR10014</t>
        </is>
      </c>
      <c r="R472" s="5" t="inlineStr">
        <is>
          <t>Gabriela Dluska</t>
        </is>
      </c>
      <c r="S472" s="8" t="n">
        <v>46079.59490740741</v>
      </c>
    </row>
    <row r="473" hidden="1" ht="29" customHeight="1">
      <c r="A473" s="15">
        <f>HYPERLINK("https://vtmf.veevavault.com/ui/#doc_info/31070346/1/0", "VTMF-25048621")</f>
        <v/>
      </c>
      <c r="B473" s="19" t="inlineStr">
        <is>
          <t>No</t>
        </is>
      </c>
      <c r="C473" s="5" t="inlineStr">
        <is>
          <t>1.0</t>
        </is>
      </c>
      <c r="D473" s="5" t="inlineStr">
        <is>
          <t>GCO</t>
        </is>
      </c>
      <c r="E473" s="5" t="inlineStr">
        <is>
          <t>42847922MDD3003</t>
        </is>
      </c>
      <c r="F473" s="16">
        <f>HYPERLINK("https://vtmf.veevavault.com/ui/#doc_info/31070346/1/0", "42847922MDD3003-TUR-S10-TR10008-IP Destruction Form-29 Sep 2025 (v1.0)")</f>
        <v/>
      </c>
      <c r="G473" s="5" t="inlineStr">
        <is>
          <t>IP and Trial Supplies</t>
        </is>
      </c>
      <c r="H473" s="5" t="inlineStr">
        <is>
          <t>IP Documentation</t>
        </is>
      </c>
      <c r="I473" s="5" t="inlineStr">
        <is>
          <t>IP Destruction Form</t>
        </is>
      </c>
      <c r="J473" s="5" t="inlineStr">
        <is>
          <t>IP Destruction Form</t>
        </is>
      </c>
      <c r="K473" s="6" t="n">
        <v>150</v>
      </c>
      <c r="L473" s="7" t="n">
        <v>45929</v>
      </c>
      <c r="M473" s="11" t="n">
        <v>46079</v>
      </c>
      <c r="N473" s="5" t="inlineStr">
        <is>
          <t>Approved</t>
        </is>
      </c>
      <c r="O473" s="5" t="inlineStr">
        <is>
          <t>Site</t>
        </is>
      </c>
      <c r="P473" s="5" t="inlineStr">
        <is>
          <t>Türkiye</t>
        </is>
      </c>
      <c r="Q473" s="13" t="inlineStr">
        <is>
          <t>S10-TR10008</t>
        </is>
      </c>
      <c r="R473" s="5" t="inlineStr">
        <is>
          <t>Yagmur Tugce Comert</t>
        </is>
      </c>
      <c r="S473" s="8" t="n">
        <v>46079.59681712963</v>
      </c>
    </row>
    <row r="474" hidden="1" ht="29" customHeight="1">
      <c r="A474" s="15">
        <f>HYPERLINK("https://vtmf.veevavault.com/ui/#doc_info/31070350/1/0", "VTMF-25048628")</f>
        <v/>
      </c>
      <c r="B474" s="19" t="inlineStr">
        <is>
          <t>No</t>
        </is>
      </c>
      <c r="C474" s="5" t="inlineStr">
        <is>
          <t>1.0</t>
        </is>
      </c>
      <c r="D474" s="5" t="inlineStr">
        <is>
          <t>GCO</t>
        </is>
      </c>
      <c r="E474" s="5" t="inlineStr">
        <is>
          <t>42847922MDD3003</t>
        </is>
      </c>
      <c r="F474" s="16">
        <f>HYPERLINK("https://vtmf.veevavault.com/ui/#doc_info/31070350/1/0", "42847922MDD3003-TUR-S10-TR10013-IP Destruction Form-08 Jan 2026 (v1.0)")</f>
        <v/>
      </c>
      <c r="G474" s="5" t="inlineStr">
        <is>
          <t>IP and Trial Supplies</t>
        </is>
      </c>
      <c r="H474" s="5" t="inlineStr">
        <is>
          <t>IP Documentation</t>
        </is>
      </c>
      <c r="I474" s="5" t="inlineStr">
        <is>
          <t>IP Destruction Form</t>
        </is>
      </c>
      <c r="J474" s="5" t="inlineStr">
        <is>
          <t>IP Destruction Form</t>
        </is>
      </c>
      <c r="K474" s="6" t="n">
        <v>49</v>
      </c>
      <c r="L474" s="7" t="n">
        <v>46030</v>
      </c>
      <c r="M474" s="11" t="n">
        <v>46079</v>
      </c>
      <c r="N474" s="5" t="inlineStr">
        <is>
          <t>Approved</t>
        </is>
      </c>
      <c r="O474" s="5" t="inlineStr">
        <is>
          <t>Site</t>
        </is>
      </c>
      <c r="P474" s="5" t="inlineStr">
        <is>
          <t>Türkiye</t>
        </is>
      </c>
      <c r="Q474" s="13" t="inlineStr">
        <is>
          <t>S10-TR10013</t>
        </is>
      </c>
      <c r="R474" s="5" t="inlineStr">
        <is>
          <t>Yagmur Tugce Comert</t>
        </is>
      </c>
      <c r="S474" s="8" t="n">
        <v>46079.59782407407</v>
      </c>
    </row>
    <row r="475" hidden="1" ht="29" customHeight="1">
      <c r="A475" s="15">
        <f>HYPERLINK("https://vtmf.veevavault.com/ui/#doc_info/31070539/1/0", "VTMF-25048747")</f>
        <v/>
      </c>
      <c r="B475" s="19" t="inlineStr">
        <is>
          <t>No</t>
        </is>
      </c>
      <c r="C475" s="5" t="inlineStr">
        <is>
          <t>1.0</t>
        </is>
      </c>
      <c r="D475" s="5" t="inlineStr">
        <is>
          <t>GCO</t>
        </is>
      </c>
      <c r="E475" s="5" t="inlineStr">
        <is>
          <t>42847922MDD3003</t>
        </is>
      </c>
      <c r="F475" s="16">
        <f>HYPERLINK("https://vtmf.veevavault.com/ui/#doc_info/31070539/1/0", "42847922MDD3003-ITA-S10-IT10010-Maintenance Logs (Device)-12 Oct 2018 (v1.0)")</f>
        <v/>
      </c>
      <c r="G475" s="5" t="inlineStr">
        <is>
          <t>IP and Trial Supplies</t>
        </is>
      </c>
      <c r="H475" s="5" t="inlineStr">
        <is>
          <t>Storage</t>
        </is>
      </c>
      <c r="I475" s="5" t="inlineStr">
        <is>
          <t>Maintenance Logs (Device)</t>
        </is>
      </c>
      <c r="J475" s="5" t="inlineStr">
        <is>
          <t>Site ECG Calibration_12Oct2028_26Feb2026</t>
        </is>
      </c>
      <c r="K475" s="6" t="n">
        <v>2694</v>
      </c>
      <c r="L475" s="7" t="n">
        <v>43385</v>
      </c>
      <c r="M475" s="11" t="n">
        <v>46079</v>
      </c>
      <c r="N475" s="5" t="inlineStr">
        <is>
          <t>Approved</t>
        </is>
      </c>
      <c r="O475" s="5" t="inlineStr">
        <is>
          <t>Site</t>
        </is>
      </c>
      <c r="P475" s="5" t="inlineStr">
        <is>
          <t>Italy</t>
        </is>
      </c>
      <c r="Q475" s="13" t="inlineStr">
        <is>
          <t>S10-IT10010</t>
        </is>
      </c>
      <c r="R475" s="5" t="inlineStr">
        <is>
          <t>Alessia Campagnano</t>
        </is>
      </c>
      <c r="S475" s="8" t="n">
        <v>46079.61270833333</v>
      </c>
    </row>
    <row r="476" hidden="1" ht="29" customHeight="1">
      <c r="A476" s="15">
        <f>HYPERLINK("https://vtmf.veevavault.com/ui/#doc_info/31070757/1/0", "VTMF-25048944")</f>
        <v/>
      </c>
      <c r="B476" s="19" t="inlineStr">
        <is>
          <t>No</t>
        </is>
      </c>
      <c r="C476" s="5" t="inlineStr">
        <is>
          <t>1.0</t>
        </is>
      </c>
      <c r="D476" s="5" t="inlineStr">
        <is>
          <t>GCO</t>
        </is>
      </c>
      <c r="E476" s="5" t="inlineStr">
        <is>
          <t>42847922MDD3003</t>
        </is>
      </c>
      <c r="F476" s="16">
        <f>HYPERLINK("https://vtmf.veevavault.com/ui/#doc_info/31070757/1/0", "42847922MDD3003-USA-S10-US10013-Advertisements for Subject Recruitment-21 Jan 2026 (v1.0)")</f>
        <v/>
      </c>
      <c r="G476" s="5" t="inlineStr">
        <is>
          <t>Central Trial Documents</t>
        </is>
      </c>
      <c r="H476" s="5" t="inlineStr">
        <is>
          <t>Subject Documents</t>
        </is>
      </c>
      <c r="I476" s="5" t="inlineStr">
        <is>
          <t>Advertisements for Subject Recruitment</t>
        </is>
      </c>
      <c r="J476" s="5" t="inlineStr">
        <is>
          <t>Advertisements for Subject Recruitment_21-Jan-2026</t>
        </is>
      </c>
      <c r="K476" s="6" t="n">
        <v>36</v>
      </c>
      <c r="L476" s="7" t="n">
        <v>46043</v>
      </c>
      <c r="M476" s="11" t="n">
        <v>46079</v>
      </c>
      <c r="N476" s="5" t="inlineStr">
        <is>
          <t>Approved</t>
        </is>
      </c>
      <c r="O476" s="5" t="inlineStr">
        <is>
          <t>Site</t>
        </is>
      </c>
      <c r="P476" s="5" t="inlineStr">
        <is>
          <t>United States</t>
        </is>
      </c>
      <c r="Q476" s="13" t="inlineStr">
        <is>
          <t>S10-US10013</t>
        </is>
      </c>
      <c r="R476" s="5" t="inlineStr">
        <is>
          <t>Catherine Morningstar</t>
        </is>
      </c>
      <c r="S476" s="8" t="n">
        <v>46079.63209490741</v>
      </c>
    </row>
    <row r="477" hidden="1" ht="29" customHeight="1">
      <c r="A477" s="15">
        <f>HYPERLINK("https://vtmf.veevavault.com/ui/#doc_info/31071380/1/0", "VTMF-25049532")</f>
        <v/>
      </c>
      <c r="B477" s="19" t="inlineStr">
        <is>
          <t>No</t>
        </is>
      </c>
      <c r="C477" s="5" t="inlineStr">
        <is>
          <t>1.0</t>
        </is>
      </c>
      <c r="D477" s="5" t="inlineStr">
        <is>
          <t>GCO</t>
        </is>
      </c>
      <c r="E477" s="5" t="inlineStr">
        <is>
          <t>42847922MDD3003</t>
        </is>
      </c>
      <c r="F477" s="16">
        <f>HYPERLINK("https://vtmf.veevavault.com/ui/#doc_info/31071380/1/0", "42847922MDD3003-COL-S10-CO10004-Non-IP Shipment Documentation-06 Aug 2025 (v1.0)")</f>
        <v/>
      </c>
      <c r="G477" s="5" t="inlineStr">
        <is>
          <t>IP and Trial Supplies</t>
        </is>
      </c>
      <c r="H477" s="5" t="inlineStr">
        <is>
          <t>Non-IP Documentation</t>
        </is>
      </c>
      <c r="I477" s="5" t="inlineStr">
        <is>
          <t>Non-IP Shipment Documentation</t>
        </is>
      </c>
      <c r="J477" s="5" t="inlineStr">
        <is>
          <t>Site receipt_Prorocol clarification communications 30 Apr &amp; 06 Jun 2025_06 Aug 2025</t>
        </is>
      </c>
      <c r="K477" s="6" t="n">
        <v>237</v>
      </c>
      <c r="L477" s="7" t="n">
        <v>45875</v>
      </c>
      <c r="M477" s="11" t="n">
        <v>46112</v>
      </c>
      <c r="N477" s="5" t="inlineStr">
        <is>
          <t>Approved</t>
        </is>
      </c>
      <c r="O477" s="5" t="inlineStr">
        <is>
          <t>Site</t>
        </is>
      </c>
      <c r="P477" s="5" t="inlineStr">
        <is>
          <t>Colombia</t>
        </is>
      </c>
      <c r="Q477" s="13" t="inlineStr">
        <is>
          <t>S10-CO10004</t>
        </is>
      </c>
      <c r="R477" s="5" t="inlineStr">
        <is>
          <t>Monica Romero</t>
        </is>
      </c>
      <c r="S477" s="8" t="n">
        <v>46112.91899305556</v>
      </c>
    </row>
    <row r="478" hidden="1" ht="29" customHeight="1">
      <c r="A478" s="15">
        <f>HYPERLINK("https://vtmf.veevavault.com/ui/#doc_info/31071382/1/0", "VTMF-25049534")</f>
        <v/>
      </c>
      <c r="B478" s="19" t="inlineStr">
        <is>
          <t>No</t>
        </is>
      </c>
      <c r="C478" s="5" t="inlineStr">
        <is>
          <t>1.0</t>
        </is>
      </c>
      <c r="D478" s="5" t="inlineStr">
        <is>
          <t>GCO</t>
        </is>
      </c>
      <c r="E478" s="5" t="inlineStr">
        <is>
          <t>42847922MDD3003</t>
        </is>
      </c>
      <c r="F478" s="16">
        <f>HYPERLINK("https://vtmf.veevavault.com/ui/#doc_info/31071382/1/0", "42847922MDD3003-COL-S10-CO10004-Non-IP Shipment Documentation-07 Oct 2025 (v1.0)")</f>
        <v/>
      </c>
      <c r="G478" s="5" t="inlineStr">
        <is>
          <t>IP and Trial Supplies</t>
        </is>
      </c>
      <c r="H478" s="5" t="inlineStr">
        <is>
          <t>Non-IP Documentation</t>
        </is>
      </c>
      <c r="I478" s="5" t="inlineStr">
        <is>
          <t>Non-IP Shipment Documentation</t>
        </is>
      </c>
      <c r="J478" s="5" t="inlineStr">
        <is>
          <t>Site receipt_NTF Regarding SCIDT-CT translation footer error_07 Oct 2025</t>
        </is>
      </c>
      <c r="K478" s="6" t="n">
        <v>175</v>
      </c>
      <c r="L478" s="7" t="n">
        <v>45937</v>
      </c>
      <c r="M478" s="11" t="n">
        <v>46112</v>
      </c>
      <c r="N478" s="5" t="inlineStr">
        <is>
          <t>Approved</t>
        </is>
      </c>
      <c r="O478" s="5" t="inlineStr">
        <is>
          <t>Site</t>
        </is>
      </c>
      <c r="P478" s="5" t="inlineStr">
        <is>
          <t>Colombia</t>
        </is>
      </c>
      <c r="Q478" s="13" t="inlineStr">
        <is>
          <t>S10-CO10004</t>
        </is>
      </c>
      <c r="R478" s="5" t="inlineStr">
        <is>
          <t>Monica Romero</t>
        </is>
      </c>
      <c r="S478" s="8" t="n">
        <v>46112.91106481481</v>
      </c>
    </row>
    <row r="479" hidden="1" ht="29" customHeight="1">
      <c r="A479" s="15">
        <f>HYPERLINK("https://vtmf.veevavault.com/ui/#doc_info/31071384/1/0", "VTMF-25049541")</f>
        <v/>
      </c>
      <c r="B479" s="20" t="inlineStr">
        <is>
          <t>Yes</t>
        </is>
      </c>
      <c r="C479" s="5" t="inlineStr">
        <is>
          <t>1.0</t>
        </is>
      </c>
      <c r="D479" s="5" t="inlineStr">
        <is>
          <t>GCO</t>
        </is>
      </c>
      <c r="E479" s="5" t="inlineStr">
        <is>
          <t>42847922MDD3003</t>
        </is>
      </c>
      <c r="F479" s="16">
        <f>HYPERLINK("https://vtmf.veevavault.com/ui/#doc_info/31071384/1/0", "42847922MDD3003-COL-S10-CO10004-Acceptance of Investigator Brochure-28 Jan 2026 (v1.0)")</f>
        <v/>
      </c>
      <c r="G479" s="5" t="inlineStr">
        <is>
          <t>Site Management</t>
        </is>
      </c>
      <c r="H479" s="5" t="inlineStr">
        <is>
          <t>Site Set-up Documentation</t>
        </is>
      </c>
      <c r="I479" s="5" t="inlineStr">
        <is>
          <t>Acceptance of Investigator Brochure</t>
        </is>
      </c>
      <c r="J479" s="5" t="inlineStr">
        <is>
          <t>Site receipt_IB Ed 14 &amp; ICFs V6.0_28 Jan 2026</t>
        </is>
      </c>
      <c r="K479" s="6" t="n">
        <v>56</v>
      </c>
      <c r="L479" s="7" t="n">
        <v>46050</v>
      </c>
      <c r="M479" s="11" t="n">
        <v>46106</v>
      </c>
      <c r="N479" s="5" t="inlineStr">
        <is>
          <t>Approved</t>
        </is>
      </c>
      <c r="O479" s="5" t="inlineStr">
        <is>
          <t>Site</t>
        </is>
      </c>
      <c r="P479" s="5" t="inlineStr">
        <is>
          <t>Colombia</t>
        </is>
      </c>
      <c r="Q479" s="13" t="inlineStr">
        <is>
          <t>S10-CO10004</t>
        </is>
      </c>
      <c r="R479" s="5" t="inlineStr">
        <is>
          <t>Alejandra Torres (VeevaID)</t>
        </is>
      </c>
      <c r="S479" s="8" t="n">
        <v>46079.67931712963</v>
      </c>
    </row>
    <row r="480" hidden="1" ht="58" customHeight="1">
      <c r="A480" s="15">
        <f>HYPERLINK("https://vtmf.veevavault.com/ui/#doc_info/31072515/1/0", "VTMF-25050258")</f>
        <v/>
      </c>
      <c r="B480" s="20" t="inlineStr">
        <is>
          <t>Yes</t>
        </is>
      </c>
      <c r="C480" s="5" t="inlineStr">
        <is>
          <t>1.0</t>
        </is>
      </c>
      <c r="D480" s="5" t="inlineStr">
        <is>
          <t>GCO</t>
        </is>
      </c>
      <c r="E480" s="5" t="inlineStr">
        <is>
          <t>42847922MDD3003</t>
        </is>
      </c>
      <c r="F480" s="16">
        <f>HYPERLINK("https://vtmf.veevavault.com/ui/#doc_info/31072515/1/0", "42847922MDD3003-BRA-S10-BR10010-Relevant Communications-07 Jan 2026 (v1.0)")</f>
        <v/>
      </c>
      <c r="G480" s="5" t="inlineStr">
        <is>
          <t>Site Management</t>
        </is>
      </c>
      <c r="H480" s="5" t="inlineStr">
        <is>
          <t>General</t>
        </is>
      </c>
      <c r="I480" s="5" t="inlineStr">
        <is>
          <t>Relevant Communications</t>
        </is>
      </c>
      <c r="J480" s="5" t="inlineStr">
        <is>
          <t>Notification:J&amp;J_42847922MDD3003_PI: Dr. Moacyr Rosa M.D._Site: BR10010 (Brazil)_Subject ID: BR100100012_Visit: Retest_ Alert: Hematology Panel, TSH</t>
        </is>
      </c>
      <c r="K480" s="6" t="n">
        <v>50</v>
      </c>
      <c r="L480" s="7" t="n">
        <v>46029</v>
      </c>
      <c r="M480" s="11" t="n">
        <v>46079</v>
      </c>
      <c r="N480" s="5" t="inlineStr">
        <is>
          <t>Approved</t>
        </is>
      </c>
      <c r="O480" s="5" t="inlineStr">
        <is>
          <t>Site</t>
        </is>
      </c>
      <c r="P480" s="5" t="inlineStr">
        <is>
          <t>Brazil</t>
        </is>
      </c>
      <c r="Q480" s="13" t="inlineStr">
        <is>
          <t>S10-BR10010</t>
        </is>
      </c>
      <c r="R480" s="5" t="inlineStr">
        <is>
          <t>Gina Stefanelli</t>
        </is>
      </c>
      <c r="S480" s="8" t="n">
        <v>46079.74721064815</v>
      </c>
    </row>
    <row r="481" hidden="1" ht="43.5" customHeight="1">
      <c r="A481" s="15">
        <f>HYPERLINK("https://vtmf.veevavault.com/ui/#doc_info/31072525/1/0", "VTMF-25050297")</f>
        <v/>
      </c>
      <c r="B481" s="20" t="inlineStr">
        <is>
          <t>Yes</t>
        </is>
      </c>
      <c r="C481" s="5" t="inlineStr">
        <is>
          <t>1.0</t>
        </is>
      </c>
      <c r="D481" s="5" t="inlineStr">
        <is>
          <t>GCO</t>
        </is>
      </c>
      <c r="E481" s="5" t="inlineStr">
        <is>
          <t>42847922MDD3003</t>
        </is>
      </c>
      <c r="F481" s="16">
        <f>HYPERLINK("https://vtmf.veevavault.com/ui/#doc_info/31072525/1/0", "42847922MDD3003-BRA-S10-BR10007-Relevant Communications-08 Jan 2026 (v1.0)")</f>
        <v/>
      </c>
      <c r="G481" s="5" t="inlineStr">
        <is>
          <t>Site Management</t>
        </is>
      </c>
      <c r="H481" s="5" t="inlineStr">
        <is>
          <t>General</t>
        </is>
      </c>
      <c r="I481" s="5" t="inlineStr">
        <is>
          <t>Relevant Communications</t>
        </is>
      </c>
      <c r="J481" s="5" t="inlineStr">
        <is>
          <t>PI: Dr. Emerson Nunes M.D._Site: BR10007 (Brazil)_Subject ID: BR100070019_Visit: Retest_ Alert-Creatinine Kinase</t>
        </is>
      </c>
      <c r="K481" s="6" t="n">
        <v>49</v>
      </c>
      <c r="L481" s="7" t="n">
        <v>46030</v>
      </c>
      <c r="M481" s="11" t="n">
        <v>46079</v>
      </c>
      <c r="N481" s="5" t="inlineStr">
        <is>
          <t>Approved</t>
        </is>
      </c>
      <c r="O481" s="5" t="inlineStr">
        <is>
          <t>Site</t>
        </is>
      </c>
      <c r="P481" s="5" t="inlineStr">
        <is>
          <t>Brazil</t>
        </is>
      </c>
      <c r="Q481" s="13" t="inlineStr">
        <is>
          <t>S10-BR10007</t>
        </is>
      </c>
      <c r="R481" s="5" t="inlineStr">
        <is>
          <t>Gina Stefanelli</t>
        </is>
      </c>
      <c r="S481" s="8" t="n">
        <v>46079.75268518519</v>
      </c>
    </row>
    <row r="482" hidden="1" ht="43.5" customHeight="1">
      <c r="A482" s="15">
        <f>HYPERLINK("https://vtmf.veevavault.com/ui/#doc_info/31072528/1/0", "VTMF-25050303")</f>
        <v/>
      </c>
      <c r="B482" s="20" t="inlineStr">
        <is>
          <t>Yes</t>
        </is>
      </c>
      <c r="C482" s="5" t="inlineStr">
        <is>
          <t>1.0</t>
        </is>
      </c>
      <c r="D482" s="5" t="inlineStr">
        <is>
          <t>GCO</t>
        </is>
      </c>
      <c r="E482" s="5" t="inlineStr">
        <is>
          <t>42847922MDD3003</t>
        </is>
      </c>
      <c r="F482" s="16">
        <f>HYPERLINK("https://vtmf.veevavault.com/ui/#doc_info/31072528/1/0", "42847922MDD3003-ARG-S10-AR10001-Relevant Communications-18 Dec 2025 (v1.0)")</f>
        <v/>
      </c>
      <c r="G482" s="5" t="inlineStr">
        <is>
          <t>Site Management</t>
        </is>
      </c>
      <c r="H482" s="5" t="inlineStr">
        <is>
          <t>General</t>
        </is>
      </c>
      <c r="I482" s="5" t="inlineStr">
        <is>
          <t>Relevant Communications</t>
        </is>
      </c>
      <c r="J482" s="5" t="inlineStr">
        <is>
          <t>PI: Dr. Hernan David Ruggeri M.D._Site: AR10010(Argentina)_Subject ID: AR100100008/F _Part 2 DB Week 13 _Alert: Triglycerides</t>
        </is>
      </c>
      <c r="K482" s="6" t="n">
        <v>70</v>
      </c>
      <c r="L482" s="7" t="n">
        <v>46009</v>
      </c>
      <c r="M482" s="11" t="n">
        <v>46079</v>
      </c>
      <c r="N482" s="5" t="inlineStr">
        <is>
          <t>Approved</t>
        </is>
      </c>
      <c r="O482" s="5" t="inlineStr">
        <is>
          <t>Site</t>
        </is>
      </c>
      <c r="P482" s="5" t="inlineStr">
        <is>
          <t>Argentina</t>
        </is>
      </c>
      <c r="Q482" s="13" t="inlineStr">
        <is>
          <t>S10-AR10001</t>
        </is>
      </c>
      <c r="R482" s="5" t="inlineStr">
        <is>
          <t>Gina Stefanelli</t>
        </is>
      </c>
      <c r="S482" s="8" t="n">
        <v>46079.75408564815</v>
      </c>
    </row>
    <row r="483" hidden="1" ht="43.5" customHeight="1">
      <c r="A483" s="15">
        <f>HYPERLINK("https://vtmf.veevavault.com/ui/#doc_info/31072535/1/0", "VTMF-25050314")</f>
        <v/>
      </c>
      <c r="B483" s="20" t="inlineStr">
        <is>
          <t>Yes</t>
        </is>
      </c>
      <c r="C483" s="5" t="inlineStr">
        <is>
          <t>1.0</t>
        </is>
      </c>
      <c r="D483" s="5" t="inlineStr">
        <is>
          <t>GCO</t>
        </is>
      </c>
      <c r="E483" s="5" t="inlineStr">
        <is>
          <t>42847922MDD3003</t>
        </is>
      </c>
      <c r="F483" s="16">
        <f>HYPERLINK("https://vtmf.veevavault.com/ui/#doc_info/31072535/1/0", "42847922MDD3003-BRA-S10-BR10007-Relevant Communications-08 Jan 2026 (v1.0)")</f>
        <v/>
      </c>
      <c r="G483" s="5" t="inlineStr">
        <is>
          <t>Site Management</t>
        </is>
      </c>
      <c r="H483" s="5" t="inlineStr">
        <is>
          <t>General</t>
        </is>
      </c>
      <c r="I483" s="5" t="inlineStr">
        <is>
          <t>Relevant Communications</t>
        </is>
      </c>
      <c r="J483" s="5" t="inlineStr">
        <is>
          <t>PI: Dr. Emerson Nunes M.D._Site: BR10007 (Brazil)_Subject ID: BR100070019_Visit: Retest_ Alert-Creatinine Kinase</t>
        </is>
      </c>
      <c r="K483" s="6" t="n">
        <v>49</v>
      </c>
      <c r="L483" s="7" t="n">
        <v>46030</v>
      </c>
      <c r="M483" s="11" t="n">
        <v>46079</v>
      </c>
      <c r="N483" s="5" t="inlineStr">
        <is>
          <t>Approved</t>
        </is>
      </c>
      <c r="O483" s="5" t="inlineStr">
        <is>
          <t>Site</t>
        </is>
      </c>
      <c r="P483" s="5" t="inlineStr">
        <is>
          <t>Brazil</t>
        </is>
      </c>
      <c r="Q483" s="13" t="inlineStr">
        <is>
          <t>S10-BR10007</t>
        </is>
      </c>
      <c r="R483" s="5" t="inlineStr">
        <is>
          <t>Gina Stefanelli</t>
        </is>
      </c>
      <c r="S483" s="8" t="n">
        <v>46079.75549768518</v>
      </c>
    </row>
    <row r="484" hidden="1" ht="58" customHeight="1">
      <c r="A484" s="15">
        <f>HYPERLINK("https://vtmf.veevavault.com/ui/#doc_info/31072468/1/0", "VTMF-25050344")</f>
        <v/>
      </c>
      <c r="B484" s="20" t="inlineStr">
        <is>
          <t>Yes</t>
        </is>
      </c>
      <c r="C484" s="5" t="inlineStr">
        <is>
          <t>1.0</t>
        </is>
      </c>
      <c r="D484" s="5" t="inlineStr">
        <is>
          <t>GCO</t>
        </is>
      </c>
      <c r="E484" s="5" t="inlineStr">
        <is>
          <t>42847922MDD3003</t>
        </is>
      </c>
      <c r="F484" s="16">
        <f>HYPERLINK("https://vtmf.veevavault.com/ui/#doc_info/31072468/1/0", "42847922MDD3003-ARG-S10-AR10010-Relevant Communications-18 Dec 2025 (v1.0)")</f>
        <v/>
      </c>
      <c r="G484" s="5" t="inlineStr">
        <is>
          <t>Site Management</t>
        </is>
      </c>
      <c r="H484" s="5" t="inlineStr">
        <is>
          <t>General</t>
        </is>
      </c>
      <c r="I484" s="5" t="inlineStr">
        <is>
          <t>Relevant Communications</t>
        </is>
      </c>
      <c r="J484" s="5" t="inlineStr">
        <is>
          <t>Non-Critical_JANSSEN_42847922MDD3003_PI: Dr. Hernan David Ruggeri M.D._Site: AR10010(Argentina)_Subject ID: AR100100008/F _Part 2 DB Week 13 _Alert: Triglycerides</t>
        </is>
      </c>
      <c r="K484" s="6" t="n">
        <v>70</v>
      </c>
      <c r="L484" s="7" t="n">
        <v>46009</v>
      </c>
      <c r="M484" s="11" t="n">
        <v>46079</v>
      </c>
      <c r="N484" s="5" t="inlineStr">
        <is>
          <t>Approved</t>
        </is>
      </c>
      <c r="O484" s="5" t="inlineStr">
        <is>
          <t>Site</t>
        </is>
      </c>
      <c r="P484" s="5" t="inlineStr">
        <is>
          <t>Argentina</t>
        </is>
      </c>
      <c r="Q484" s="13" t="inlineStr">
        <is>
          <t>S10-AR10010</t>
        </is>
      </c>
      <c r="R484" s="5" t="inlineStr">
        <is>
          <t>Gina Stefanelli</t>
        </is>
      </c>
      <c r="S484" s="8" t="n">
        <v>46079.75957175926</v>
      </c>
    </row>
    <row r="485" hidden="1" ht="58" customHeight="1">
      <c r="A485" s="15">
        <f>HYPERLINK("https://vtmf.veevavault.com/ui/#doc_info/31072836/1/0", "VTMF-25050635")</f>
        <v/>
      </c>
      <c r="B485" s="20" t="inlineStr">
        <is>
          <t>Yes</t>
        </is>
      </c>
      <c r="C485" s="5" t="inlineStr">
        <is>
          <t>1.0</t>
        </is>
      </c>
      <c r="D485" s="5" t="inlineStr">
        <is>
          <t>GCO</t>
        </is>
      </c>
      <c r="E485" s="5" t="inlineStr">
        <is>
          <t>42847922MDD3003</t>
        </is>
      </c>
      <c r="F485" s="16">
        <f>HYPERLINK("https://vtmf.veevavault.com/ui/#doc_info/31072836/1/0", "42847922MDD3003-ARG-S10-AR10010-Relevant Communications-18 Dec 2025 (v1.0)")</f>
        <v/>
      </c>
      <c r="G485" s="5" t="inlineStr">
        <is>
          <t>Site Management</t>
        </is>
      </c>
      <c r="H485" s="5" t="inlineStr">
        <is>
          <t>General</t>
        </is>
      </c>
      <c r="I485" s="5" t="inlineStr">
        <is>
          <t>Relevant Communications</t>
        </is>
      </c>
      <c r="J485" s="5" t="inlineStr">
        <is>
          <t>: Non-Critical_JANSSEN_42847922MDD3003_PI: Dr. Hernan David Ruggeri M.D._Site: AR10010(Argentina)_Subject ID: AR100100008/F _Part 2 DB Week 13 _Alert: Triglycerides</t>
        </is>
      </c>
      <c r="K485" s="6" t="n">
        <v>70</v>
      </c>
      <c r="L485" s="7" t="n">
        <v>46009</v>
      </c>
      <c r="M485" s="11" t="n">
        <v>46079</v>
      </c>
      <c r="N485" s="5" t="inlineStr">
        <is>
          <t>Approved</t>
        </is>
      </c>
      <c r="O485" s="5" t="inlineStr">
        <is>
          <t>Site</t>
        </is>
      </c>
      <c r="P485" s="5" t="inlineStr">
        <is>
          <t>Argentina</t>
        </is>
      </c>
      <c r="Q485" s="13" t="inlineStr">
        <is>
          <t>S10-AR10010</t>
        </is>
      </c>
      <c r="R485" s="5" t="inlineStr">
        <is>
          <t>Gina Stefanelli</t>
        </is>
      </c>
      <c r="S485" s="8" t="n">
        <v>46079.79585648148</v>
      </c>
    </row>
    <row r="486" hidden="1" ht="29" customHeight="1">
      <c r="A486" s="15">
        <f>HYPERLINK("https://vtmf.veevavault.com/ui/#doc_info/31073123/1/0", "VTMF-25050882")</f>
        <v/>
      </c>
      <c r="B486" s="20" t="inlineStr">
        <is>
          <t>Yes</t>
        </is>
      </c>
      <c r="C486" s="5" t="inlineStr">
        <is>
          <t>1.0</t>
        </is>
      </c>
      <c r="D486" s="5" t="inlineStr">
        <is>
          <t>GCO</t>
        </is>
      </c>
      <c r="E486" s="5" t="inlineStr">
        <is>
          <t>42847922MDD3003</t>
        </is>
      </c>
      <c r="F486" s="16">
        <f>HYPERLINK("https://vtmf.veevavault.com/ui/#doc_info/31073123/1/0", "42847922MDD3003-SWE-S10-SE10002-Relevant Communications-26 Jun 2025 (v1.0)")</f>
        <v/>
      </c>
      <c r="G486" s="5" t="inlineStr">
        <is>
          <t>Trial Management</t>
        </is>
      </c>
      <c r="H486" s="5" t="inlineStr">
        <is>
          <t>General</t>
        </is>
      </c>
      <c r="I486" s="5" t="inlineStr">
        <is>
          <t>Relevant Communications</t>
        </is>
      </c>
      <c r="J486" s="5" t="inlineStr">
        <is>
          <t>Mail to site regarding Removal of the Collection of the PROMIS-SD at Screening Visit.</t>
        </is>
      </c>
      <c r="K486" s="6" t="n">
        <v>245</v>
      </c>
      <c r="L486" s="7" t="n">
        <v>45834</v>
      </c>
      <c r="M486" s="11" t="n">
        <v>46079</v>
      </c>
      <c r="N486" s="5" t="inlineStr">
        <is>
          <t>Approved</t>
        </is>
      </c>
      <c r="O486" s="5" t="inlineStr">
        <is>
          <t>Site</t>
        </is>
      </c>
      <c r="P486" s="5" t="inlineStr">
        <is>
          <t>Sweden</t>
        </is>
      </c>
      <c r="Q486" s="13" t="inlineStr">
        <is>
          <t>S10-SE10002</t>
        </is>
      </c>
      <c r="R486" s="5" t="inlineStr">
        <is>
          <t>Victoria Rye</t>
        </is>
      </c>
      <c r="S486" s="8" t="n">
        <v>46079.83396990741</v>
      </c>
    </row>
    <row r="487" hidden="1" ht="43.5" customHeight="1">
      <c r="A487" s="15">
        <f>HYPERLINK("https://vtmf.veevavault.com/ui/#doc_info/31080637/1/0", "VTMF-25057436")</f>
        <v/>
      </c>
      <c r="B487" s="20" t="inlineStr">
        <is>
          <t>Yes</t>
        </is>
      </c>
      <c r="C487" s="5" t="inlineStr">
        <is>
          <t>1.0</t>
        </is>
      </c>
      <c r="D487" s="5" t="inlineStr">
        <is>
          <t>GCO</t>
        </is>
      </c>
      <c r="E487" s="5" t="inlineStr">
        <is>
          <t>42847922MDD3003</t>
        </is>
      </c>
      <c r="F487" s="16">
        <f>HYPERLINK("https://vtmf.veevavault.com/ui/#doc_info/31080637/1/0", "42847922MDD3003-BRA-S10-BR10007-Relevant Communications-08 Jan 2026 (v1.0)")</f>
        <v/>
      </c>
      <c r="G487" s="5" t="inlineStr">
        <is>
          <t>Site Management</t>
        </is>
      </c>
      <c r="H487" s="5" t="inlineStr">
        <is>
          <t>General</t>
        </is>
      </c>
      <c r="I487" s="5" t="inlineStr">
        <is>
          <t>Relevant Communications</t>
        </is>
      </c>
      <c r="J487" s="5" t="inlineStr">
        <is>
          <t>Critical:J&amp;J_42847922MDD3003_PI: Dr. Emerson Nunes M.D._Site: BR10007 (Brazil)_Subject ID: BR100070019_Visit: Retest_ Alert-Creatinine Kinase</t>
        </is>
      </c>
      <c r="K487" s="6" t="n">
        <v>50</v>
      </c>
      <c r="L487" s="7" t="n">
        <v>46030</v>
      </c>
      <c r="M487" s="11" t="n">
        <v>46080</v>
      </c>
      <c r="N487" s="5" t="inlineStr">
        <is>
          <t>Approved</t>
        </is>
      </c>
      <c r="O487" s="5" t="inlineStr">
        <is>
          <t>Site</t>
        </is>
      </c>
      <c r="P487" s="5" t="inlineStr">
        <is>
          <t>Brazil</t>
        </is>
      </c>
      <c r="Q487" s="13" t="inlineStr">
        <is>
          <t>S10-BR10007</t>
        </is>
      </c>
      <c r="R487" s="5" t="inlineStr">
        <is>
          <t>Gina Stefanelli</t>
        </is>
      </c>
      <c r="S487" s="8" t="n">
        <v>46080.65075231482</v>
      </c>
    </row>
    <row r="488" hidden="1" ht="58" customHeight="1">
      <c r="A488" s="15">
        <f>HYPERLINK("https://vtmf.veevavault.com/ui/#doc_info/31081427/1/0", "VTMF-25057912")</f>
        <v/>
      </c>
      <c r="B488" s="20" t="inlineStr">
        <is>
          <t>Yes</t>
        </is>
      </c>
      <c r="C488" s="5" t="inlineStr">
        <is>
          <t>1.0</t>
        </is>
      </c>
      <c r="D488" s="5" t="inlineStr">
        <is>
          <t>GCO</t>
        </is>
      </c>
      <c r="E488" s="5" t="inlineStr">
        <is>
          <t>42847922MDD3003</t>
        </is>
      </c>
      <c r="F488" s="16">
        <f>HYPERLINK("https://vtmf.veevavault.com/ui/#doc_info/31081427/1/0", "42847922MDD3003-ARG-S10-AR10010-Relevant Communications-18 Dec 2025 (v1.0)")</f>
        <v/>
      </c>
      <c r="G488" s="5" t="inlineStr">
        <is>
          <t>Site Management</t>
        </is>
      </c>
      <c r="H488" s="5" t="inlineStr">
        <is>
          <t>General</t>
        </is>
      </c>
      <c r="I488" s="5" t="inlineStr">
        <is>
          <t>Relevant Communications</t>
        </is>
      </c>
      <c r="J488" s="5" t="inlineStr">
        <is>
          <t>Non-Critical_JANSSEN_42847922MDD3003_PI: Dr. Hernan David Ruggeri M.D._Site: AR10010(Argentina)_Subject ID: AR100100008/F _Part 2 DB Week 13 _Alert: Triglycerides</t>
        </is>
      </c>
      <c r="K488" s="6" t="n">
        <v>71</v>
      </c>
      <c r="L488" s="7" t="n">
        <v>46009</v>
      </c>
      <c r="M488" s="11" t="n">
        <v>46080</v>
      </c>
      <c r="N488" s="5" t="inlineStr">
        <is>
          <t>Approved</t>
        </is>
      </c>
      <c r="O488" s="5" t="inlineStr">
        <is>
          <t>Site</t>
        </is>
      </c>
      <c r="P488" s="5" t="inlineStr">
        <is>
          <t>Argentina</t>
        </is>
      </c>
      <c r="Q488" s="13" t="inlineStr">
        <is>
          <t>S10-AR10010</t>
        </is>
      </c>
      <c r="R488" s="5" t="inlineStr">
        <is>
          <t>Gina Stefanelli</t>
        </is>
      </c>
      <c r="S488" s="8" t="n">
        <v>46080.69263888889</v>
      </c>
    </row>
    <row r="489" hidden="1" ht="58" customHeight="1">
      <c r="A489" s="15">
        <f>HYPERLINK("https://vtmf.veevavault.com/ui/#doc_info/31081435/1/0", "VTMF-25057928")</f>
        <v/>
      </c>
      <c r="B489" s="20" t="inlineStr">
        <is>
          <t>Yes</t>
        </is>
      </c>
      <c r="C489" s="5" t="inlineStr">
        <is>
          <t>1.0</t>
        </is>
      </c>
      <c r="D489" s="5" t="inlineStr">
        <is>
          <t>GCO</t>
        </is>
      </c>
      <c r="E489" s="5" t="inlineStr">
        <is>
          <t>42847922MDD3003</t>
        </is>
      </c>
      <c r="F489" s="16">
        <f>HYPERLINK("https://vtmf.veevavault.com/ui/#doc_info/31081435/1/0", "42847922MDD3003-ARG-S10-AR10010-Relevant Communications-17 Dec 2025 (v1.0)")</f>
        <v/>
      </c>
      <c r="G489" s="5" t="inlineStr">
        <is>
          <t>Site Management</t>
        </is>
      </c>
      <c r="H489" s="5" t="inlineStr">
        <is>
          <t>General</t>
        </is>
      </c>
      <c r="I489" s="5" t="inlineStr">
        <is>
          <t>Relevant Communications</t>
        </is>
      </c>
      <c r="J489" s="5" t="inlineStr">
        <is>
          <t>Non-Critical:J&amp;J_42847922MDD3003_PI: Hernan David Ruggeri M.D._Site: AR10010(Argentina)_Subject ID: AR100100007_Visit: Part 2 DB Week 13 _ Alert: Serum bicarbonate</t>
        </is>
      </c>
      <c r="K489" s="6" t="n">
        <v>72</v>
      </c>
      <c r="L489" s="7" t="n">
        <v>46008</v>
      </c>
      <c r="M489" s="11" t="n">
        <v>46080</v>
      </c>
      <c r="N489" s="5" t="inlineStr">
        <is>
          <t>Approved</t>
        </is>
      </c>
      <c r="O489" s="5" t="inlineStr">
        <is>
          <t>Site</t>
        </is>
      </c>
      <c r="P489" s="5" t="inlineStr">
        <is>
          <t>Argentina</t>
        </is>
      </c>
      <c r="Q489" s="13" t="inlineStr">
        <is>
          <t>S10-AR10010</t>
        </is>
      </c>
      <c r="R489" s="5" t="inlineStr">
        <is>
          <t>Gina Stefanelli</t>
        </is>
      </c>
      <c r="S489" s="8" t="n">
        <v>46080.69369212963</v>
      </c>
    </row>
    <row r="490" hidden="1" ht="58" customHeight="1">
      <c r="A490" s="15">
        <f>HYPERLINK("https://vtmf.veevavault.com/ui/#doc_info/31081437/1/0", "VTMF-25057933")</f>
        <v/>
      </c>
      <c r="B490" s="20" t="inlineStr">
        <is>
          <t>Yes</t>
        </is>
      </c>
      <c r="C490" s="5" t="inlineStr">
        <is>
          <t>1.0</t>
        </is>
      </c>
      <c r="D490" s="5" t="inlineStr">
        <is>
          <t>GCO</t>
        </is>
      </c>
      <c r="E490" s="5" t="inlineStr">
        <is>
          <t>42847922MDD3003</t>
        </is>
      </c>
      <c r="F490" s="16">
        <f>HYPERLINK("https://vtmf.veevavault.com/ui/#doc_info/31081437/1/0", "42847922MDD3003-USA-S10-US10257-Relevant Communications-23 Dec 2025 (v1.0)")</f>
        <v/>
      </c>
      <c r="G490" s="5" t="inlineStr">
        <is>
          <t>Site Management</t>
        </is>
      </c>
      <c r="H490" s="5" t="inlineStr">
        <is>
          <t>General</t>
        </is>
      </c>
      <c r="I490" s="5" t="inlineStr">
        <is>
          <t>Relevant Communications</t>
        </is>
      </c>
      <c r="J490" s="5" t="inlineStr">
        <is>
          <t>Non-Critical: J&amp;J_42847922MDD3003_PI: Dr. Thomas Lester M.D._Site: US10257(United States)_Subject ID: US102570016_Visit: Part 1 Screening_ Alert-Hemoglobin</t>
        </is>
      </c>
      <c r="K490" s="6" t="n">
        <v>66</v>
      </c>
      <c r="L490" s="7" t="n">
        <v>46014</v>
      </c>
      <c r="M490" s="11" t="n">
        <v>46080</v>
      </c>
      <c r="N490" s="5" t="inlineStr">
        <is>
          <t>Approved</t>
        </is>
      </c>
      <c r="O490" s="5" t="inlineStr">
        <is>
          <t>Site</t>
        </is>
      </c>
      <c r="P490" s="5" t="inlineStr">
        <is>
          <t>United States</t>
        </is>
      </c>
      <c r="Q490" s="13" t="inlineStr">
        <is>
          <t>S10-US10257</t>
        </is>
      </c>
      <c r="R490" s="5" t="inlineStr">
        <is>
          <t>Gina Stefanelli</t>
        </is>
      </c>
      <c r="S490" s="8" t="n">
        <v>46080.69481481481</v>
      </c>
    </row>
    <row r="491" hidden="1" ht="58" customHeight="1">
      <c r="A491" s="15">
        <f>HYPERLINK("https://vtmf.veevavault.com/ui/#doc_info/31081441/1/0", "VTMF-25057946")</f>
        <v/>
      </c>
      <c r="B491" s="20" t="inlineStr">
        <is>
          <t>Yes</t>
        </is>
      </c>
      <c r="C491" s="5" t="inlineStr">
        <is>
          <t>1.0</t>
        </is>
      </c>
      <c r="D491" s="5" t="inlineStr">
        <is>
          <t>GCO</t>
        </is>
      </c>
      <c r="E491" s="5" t="inlineStr">
        <is>
          <t>42847922MDD3003</t>
        </is>
      </c>
      <c r="F491" s="16">
        <f>HYPERLINK("https://vtmf.veevavault.com/ui/#doc_info/31081441/1/0", "42847922MDD3003-BGR-S10-BG10009-Relevant Communications-29 Dec 2025 (v1.0)")</f>
        <v/>
      </c>
      <c r="G491" s="5" t="inlineStr">
        <is>
          <t>Site Management</t>
        </is>
      </c>
      <c r="H491" s="5" t="inlineStr">
        <is>
          <t>General</t>
        </is>
      </c>
      <c r="I491" s="5" t="inlineStr">
        <is>
          <t>Relevant Communications</t>
        </is>
      </c>
      <c r="J491" s="5" t="inlineStr">
        <is>
          <t>: Non Critical:JANSSEN_42847922MDD3003_PI: Dr. Hristo Kozhuharov_Site: BG10009(Bulgaria)_Subject ID: BG100090001/F_Visit: Part 2 DB Week 13_Alert: Serum Chloride</t>
        </is>
      </c>
      <c r="K491" s="6" t="n">
        <v>60</v>
      </c>
      <c r="L491" s="7" t="n">
        <v>46020</v>
      </c>
      <c r="M491" s="11" t="n">
        <v>46080</v>
      </c>
      <c r="N491" s="5" t="inlineStr">
        <is>
          <t>Approved</t>
        </is>
      </c>
      <c r="O491" s="5" t="inlineStr">
        <is>
          <t>Site</t>
        </is>
      </c>
      <c r="P491" s="5" t="inlineStr">
        <is>
          <t>Bulgaria</t>
        </is>
      </c>
      <c r="Q491" s="13" t="inlineStr">
        <is>
          <t>S10-BG10009</t>
        </is>
      </c>
      <c r="R491" s="5" t="inlineStr">
        <is>
          <t>Gina Stefanelli</t>
        </is>
      </c>
      <c r="S491" s="8" t="n">
        <v>46080.69609953704</v>
      </c>
    </row>
    <row r="492" hidden="1" ht="43.5" customHeight="1">
      <c r="A492" s="15">
        <f>HYPERLINK("https://vtmf.veevavault.com/ui/#doc_info/31081498/1/0", "VTMF-25058058")</f>
        <v/>
      </c>
      <c r="B492" s="20" t="inlineStr">
        <is>
          <t>Yes</t>
        </is>
      </c>
      <c r="C492" s="5" t="inlineStr">
        <is>
          <t>1.0</t>
        </is>
      </c>
      <c r="D492" s="5" t="inlineStr">
        <is>
          <t>GCO</t>
        </is>
      </c>
      <c r="E492" s="5" t="inlineStr">
        <is>
          <t>42847922MDD3003</t>
        </is>
      </c>
      <c r="F492" s="16">
        <f>HYPERLINK("https://vtmf.veevavault.com/ui/#doc_info/31081498/1/0", "42847922MDD3003-ARG-S10-AR10014-Relevant Communications-10 Dec 2025 (v1.0)")</f>
        <v/>
      </c>
      <c r="G492" s="5" t="inlineStr">
        <is>
          <t>Site Management</t>
        </is>
      </c>
      <c r="H492" s="5" t="inlineStr">
        <is>
          <t>General</t>
        </is>
      </c>
      <c r="I492" s="5" t="inlineStr">
        <is>
          <t>Relevant Communications</t>
        </is>
      </c>
      <c r="J492" s="5" t="inlineStr">
        <is>
          <t>Non Critical: J&amp;J_42847922MDD3003_PI: Dr. Mariano Buteler _Site: S10-AR10014 (Argentina)_Subject ID: AR100140011 _Visit: Retest_ Alert-Glucose Low (LP)</t>
        </is>
      </c>
      <c r="K492" s="6" t="n">
        <v>79</v>
      </c>
      <c r="L492" s="7" t="n">
        <v>46001</v>
      </c>
      <c r="M492" s="11" t="n">
        <v>46080</v>
      </c>
      <c r="N492" s="5" t="inlineStr">
        <is>
          <t>Approved</t>
        </is>
      </c>
      <c r="O492" s="5" t="inlineStr">
        <is>
          <t>Site</t>
        </is>
      </c>
      <c r="P492" s="5" t="inlineStr">
        <is>
          <t>Argentina</t>
        </is>
      </c>
      <c r="Q492" s="13" t="inlineStr">
        <is>
          <t>S10-AR10014</t>
        </is>
      </c>
      <c r="R492" s="5" t="inlineStr">
        <is>
          <t>Gina Stefanelli</t>
        </is>
      </c>
      <c r="S492" s="8" t="n">
        <v>46080.7053125</v>
      </c>
    </row>
    <row r="493" hidden="1" ht="43.5" customHeight="1">
      <c r="A493" s="15">
        <f>HYPERLINK("https://vtmf.veevavault.com/ui/#doc_info/31081626/1/0", "VTMF-25058108")</f>
        <v/>
      </c>
      <c r="B493" s="20" t="inlineStr">
        <is>
          <t>Yes</t>
        </is>
      </c>
      <c r="C493" s="5" t="inlineStr">
        <is>
          <t>1.0</t>
        </is>
      </c>
      <c r="D493" s="5" t="inlineStr">
        <is>
          <t>GCO</t>
        </is>
      </c>
      <c r="E493" s="5" t="inlineStr">
        <is>
          <t>42847922MDD3003</t>
        </is>
      </c>
      <c r="F493" s="16">
        <f>HYPERLINK("https://vtmf.veevavault.com/ui/#doc_info/31081626/1/0", "42847922MDD3003-ARG-S10-AR10014-Relevant Communications-22 Dec 2025 (v1.0)")</f>
        <v/>
      </c>
      <c r="G493" s="5" t="inlineStr">
        <is>
          <t>Site Management</t>
        </is>
      </c>
      <c r="H493" s="5" t="inlineStr">
        <is>
          <t>General</t>
        </is>
      </c>
      <c r="I493" s="5" t="inlineStr">
        <is>
          <t>Relevant Communications</t>
        </is>
      </c>
      <c r="J493" s="5" t="inlineStr">
        <is>
          <t>Non Critical: J&amp;J_42847922MDD3003_PI: Dr. Mariano Buteler _Site: S10-AR10014 (Argentina)_Subject ID: AR100140011 _Visit: Retest_ Alert-Glucose Low (LP)</t>
        </is>
      </c>
      <c r="K493" s="6" t="n">
        <v>67</v>
      </c>
      <c r="L493" s="7" t="n">
        <v>46013</v>
      </c>
      <c r="M493" s="11" t="n">
        <v>46080</v>
      </c>
      <c r="N493" s="5" t="inlineStr">
        <is>
          <t>Approved</t>
        </is>
      </c>
      <c r="O493" s="5" t="inlineStr">
        <is>
          <t>Site</t>
        </is>
      </c>
      <c r="P493" s="5" t="inlineStr">
        <is>
          <t>Argentina</t>
        </is>
      </c>
      <c r="Q493" s="13" t="inlineStr">
        <is>
          <t>S10-AR10014</t>
        </is>
      </c>
      <c r="R493" s="5" t="inlineStr">
        <is>
          <t>Gina Stefanelli</t>
        </is>
      </c>
      <c r="S493" s="8" t="n">
        <v>46080.70974537037</v>
      </c>
    </row>
    <row r="494" hidden="1" ht="43.5" customHeight="1">
      <c r="A494" s="15">
        <f>HYPERLINK("https://vtmf.veevavault.com/ui/#doc_info/31081637/1/0", "VTMF-25058127")</f>
        <v/>
      </c>
      <c r="B494" s="20" t="inlineStr">
        <is>
          <t>Yes</t>
        </is>
      </c>
      <c r="C494" s="5" t="inlineStr">
        <is>
          <t>1.0</t>
        </is>
      </c>
      <c r="D494" s="5" t="inlineStr">
        <is>
          <t>GCO</t>
        </is>
      </c>
      <c r="E494" s="5" t="inlineStr">
        <is>
          <t>42847922MDD3003</t>
        </is>
      </c>
      <c r="F494" s="16">
        <f>HYPERLINK("https://vtmf.veevavault.com/ui/#doc_info/31081637/1/0", "42847922MDD3003-SRB-S10-RS10006-Relevant Communications-09 Jan 2026 (v1.0)")</f>
        <v/>
      </c>
      <c r="G494" s="5" t="inlineStr">
        <is>
          <t>Site Management</t>
        </is>
      </c>
      <c r="H494" s="5" t="inlineStr">
        <is>
          <t>General</t>
        </is>
      </c>
      <c r="I494" s="5" t="inlineStr">
        <is>
          <t>Relevant Communications</t>
        </is>
      </c>
      <c r="J494" s="5" t="inlineStr">
        <is>
          <t>: MDD3003_PI_Milan Stanojkovic_ Site_S10-RS10006_Subject_RS100060003_ Open EDC queries/Screening period extension: approved</t>
        </is>
      </c>
      <c r="K494" s="6" t="n">
        <v>49</v>
      </c>
      <c r="L494" s="7" t="n">
        <v>46031</v>
      </c>
      <c r="M494" s="11" t="n">
        <v>46080</v>
      </c>
      <c r="N494" s="5" t="inlineStr">
        <is>
          <t>Approved</t>
        </is>
      </c>
      <c r="O494" s="5" t="inlineStr">
        <is>
          <t>Site</t>
        </is>
      </c>
      <c r="P494" s="5" t="inlineStr">
        <is>
          <t>Serbia</t>
        </is>
      </c>
      <c r="Q494" s="13" t="inlineStr">
        <is>
          <t>S10-RS10006</t>
        </is>
      </c>
      <c r="R494" s="5" t="inlineStr">
        <is>
          <t>Gina Stefanelli</t>
        </is>
      </c>
      <c r="S494" s="8" t="n">
        <v>46080.71208333333</v>
      </c>
    </row>
    <row r="495" hidden="1" ht="29" customHeight="1">
      <c r="A495" s="15">
        <f>HYPERLINK("https://vtmf.veevavault.com/ui/#doc_info/31081647/1/0", "VTMF-25058143")</f>
        <v/>
      </c>
      <c r="B495" s="20" t="inlineStr">
        <is>
          <t>Yes</t>
        </is>
      </c>
      <c r="C495" s="5" t="inlineStr">
        <is>
          <t>1.0</t>
        </is>
      </c>
      <c r="D495" s="5" t="inlineStr">
        <is>
          <t>GCO</t>
        </is>
      </c>
      <c r="E495" s="5" t="inlineStr">
        <is>
          <t>42847922MDD3003</t>
        </is>
      </c>
      <c r="F495" s="16">
        <f>HYPERLINK("https://vtmf.veevavault.com/ui/#doc_info/31081647/1/0", "42847922MDD3003-USA-S10-US10218-Relevant Communications-31 Dec 2025 (v1.0)")</f>
        <v/>
      </c>
      <c r="G495" s="5" t="inlineStr">
        <is>
          <t>Site Management</t>
        </is>
      </c>
      <c r="H495" s="5" t="inlineStr">
        <is>
          <t>General</t>
        </is>
      </c>
      <c r="I495" s="5" t="inlineStr">
        <is>
          <t>Relevant Communications</t>
        </is>
      </c>
      <c r="J495" s="5" t="inlineStr">
        <is>
          <t>MDD3003, US10218 Nisar cap increase</t>
        </is>
      </c>
      <c r="K495" s="6" t="n">
        <v>58</v>
      </c>
      <c r="L495" s="7" t="n">
        <v>46022</v>
      </c>
      <c r="M495" s="11" t="n">
        <v>46080</v>
      </c>
      <c r="N495" s="5" t="inlineStr">
        <is>
          <t>Approved</t>
        </is>
      </c>
      <c r="O495" s="5" t="inlineStr">
        <is>
          <t>Site</t>
        </is>
      </c>
      <c r="P495" s="5" t="inlineStr">
        <is>
          <t>United States</t>
        </is>
      </c>
      <c r="Q495" s="13" t="inlineStr">
        <is>
          <t>S10-US10218</t>
        </is>
      </c>
      <c r="R495" s="5" t="inlineStr">
        <is>
          <t>Gina Stefanelli</t>
        </is>
      </c>
      <c r="S495" s="8" t="n">
        <v>46080.71344907407</v>
      </c>
    </row>
    <row r="496" hidden="1" ht="58" customHeight="1">
      <c r="A496" s="15">
        <f>HYPERLINK("https://vtmf.veevavault.com/ui/#doc_info/31081682/1/0", "VTMF-25058195")</f>
        <v/>
      </c>
      <c r="B496" s="20" t="inlineStr">
        <is>
          <t>Yes</t>
        </is>
      </c>
      <c r="C496" s="5" t="inlineStr">
        <is>
          <t>1.0</t>
        </is>
      </c>
      <c r="D496" s="5" t="inlineStr">
        <is>
          <t>GCO</t>
        </is>
      </c>
      <c r="E496" s="5" t="inlineStr">
        <is>
          <t>42847922MDD3003</t>
        </is>
      </c>
      <c r="F496" s="16">
        <f>HYPERLINK("https://vtmf.veevavault.com/ui/#doc_info/31081682/1/0", "42847922MDD3003-ARG-S10-AR10012-Relevant Communications-29 Dec 2025 (v1.0)")</f>
        <v/>
      </c>
      <c r="G496" s="5" t="inlineStr">
        <is>
          <t>Site Management</t>
        </is>
      </c>
      <c r="H496" s="5" t="inlineStr">
        <is>
          <t>General</t>
        </is>
      </c>
      <c r="I496" s="5" t="inlineStr">
        <is>
          <t>Relevant Communications</t>
        </is>
      </c>
      <c r="J496" s="5" t="inlineStr">
        <is>
          <t>Critical:J&amp;J_42847922MDD3003_PI: Dr.Christian Maria Rosa Lupo Site:AR10012(Argentina)_Subject ID:AR100120006_Visit: Part 2 DB Every 12 Weeks/ _ Alert-Alkaline Phosphatase, ALT</t>
        </is>
      </c>
      <c r="K496" s="6" t="n">
        <v>60</v>
      </c>
      <c r="L496" s="7" t="n">
        <v>46020</v>
      </c>
      <c r="M496" s="11" t="n">
        <v>46080</v>
      </c>
      <c r="N496" s="5" t="inlineStr">
        <is>
          <t>Approved</t>
        </is>
      </c>
      <c r="O496" s="5" t="inlineStr">
        <is>
          <t>Site</t>
        </is>
      </c>
      <c r="P496" s="5" t="inlineStr">
        <is>
          <t>Argentina</t>
        </is>
      </c>
      <c r="Q496" s="13" t="inlineStr">
        <is>
          <t>S10-AR10012</t>
        </is>
      </c>
      <c r="R496" s="5" t="inlineStr">
        <is>
          <t>Gina Stefanelli</t>
        </is>
      </c>
      <c r="S496" s="8" t="n">
        <v>46080.72200231482</v>
      </c>
    </row>
    <row r="497" hidden="1" ht="58" customHeight="1">
      <c r="A497" s="15">
        <f>HYPERLINK("https://vtmf.veevavault.com/ui/#doc_info/31081698/1/0", "VTMF-25058206")</f>
        <v/>
      </c>
      <c r="B497" s="20" t="inlineStr">
        <is>
          <t>Yes</t>
        </is>
      </c>
      <c r="C497" s="5" t="inlineStr">
        <is>
          <t>1.0</t>
        </is>
      </c>
      <c r="D497" s="5" t="inlineStr">
        <is>
          <t>GCO</t>
        </is>
      </c>
      <c r="E497" s="5" t="inlineStr">
        <is>
          <t>42847922MDD3003</t>
        </is>
      </c>
      <c r="F497" s="16">
        <f>HYPERLINK("https://vtmf.veevavault.com/ui/#doc_info/31081698/1/0", "42847922MDD3003-TUR-S10-TR10009-Relevant Communications-05 Jan 2026 (v1.0)")</f>
        <v/>
      </c>
      <c r="G497" s="5" t="inlineStr">
        <is>
          <t>Site Management</t>
        </is>
      </c>
      <c r="H497" s="5" t="inlineStr">
        <is>
          <t>General</t>
        </is>
      </c>
      <c r="I497" s="5" t="inlineStr">
        <is>
          <t>Relevant Communications</t>
        </is>
      </c>
      <c r="J497" s="5" t="inlineStr">
        <is>
          <t>Critical:J&amp;J_42847922MDD3003_PI: Dr.Aslihan Polat_Site:TR10009(Turkey)_Subject ID:TR100090010_Visit: Part 1 Screening _ Alert-Total Bilirubin, Lymphocytes</t>
        </is>
      </c>
      <c r="K497" s="6" t="n">
        <v>53</v>
      </c>
      <c r="L497" s="7" t="n">
        <v>46027</v>
      </c>
      <c r="M497" s="11" t="n">
        <v>46080</v>
      </c>
      <c r="N497" s="5" t="inlineStr">
        <is>
          <t>Approved</t>
        </is>
      </c>
      <c r="O497" s="5" t="inlineStr">
        <is>
          <t>Site</t>
        </is>
      </c>
      <c r="P497" s="5" t="inlineStr">
        <is>
          <t>Türkiye</t>
        </is>
      </c>
      <c r="Q497" s="13" t="inlineStr">
        <is>
          <t>S10-TR10009</t>
        </is>
      </c>
      <c r="R497" s="5" t="inlineStr">
        <is>
          <t>Gina Stefanelli</t>
        </is>
      </c>
      <c r="S497" s="8" t="n">
        <v>46080.72362268518</v>
      </c>
    </row>
    <row r="498" hidden="1" ht="29" customHeight="1">
      <c r="A498" s="15">
        <f>HYPERLINK("https://vtmf.veevavault.com/ui/#doc_info/31081793/1/0", "VTMF-25058312")</f>
        <v/>
      </c>
      <c r="B498" s="20" t="inlineStr">
        <is>
          <t>Yes</t>
        </is>
      </c>
      <c r="C498" s="5" t="inlineStr">
        <is>
          <t>1.0</t>
        </is>
      </c>
      <c r="D498" s="5" t="inlineStr">
        <is>
          <t>GCO</t>
        </is>
      </c>
      <c r="E498" s="5" t="inlineStr">
        <is>
          <t>42847922MDD3003</t>
        </is>
      </c>
      <c r="F498" s="16">
        <f>HYPERLINK("https://vtmf.veevavault.com/ui/#doc_info/31081793/1/0", "42847922MDD3003-ITA--File Note-31 Dec 2025 (v1.0)")</f>
        <v/>
      </c>
      <c r="G498" s="5" t="inlineStr">
        <is>
          <t>Safety Reporting</t>
        </is>
      </c>
      <c r="H498" s="5" t="inlineStr">
        <is>
          <t>General</t>
        </is>
      </c>
      <c r="I498" s="5" t="inlineStr">
        <is>
          <t>File Note</t>
        </is>
      </c>
      <c r="J498" s="5" t="inlineStr">
        <is>
          <t>LTM check jan26_SSR_seltorexant_Blinded_05May2025-04Nov2025</t>
        </is>
      </c>
      <c r="K498" s="6" t="n">
        <v>58</v>
      </c>
      <c r="L498" s="7" t="n">
        <v>46022</v>
      </c>
      <c r="M498" s="11" t="n">
        <v>46080</v>
      </c>
      <c r="N498" s="5" t="inlineStr">
        <is>
          <t>Approved</t>
        </is>
      </c>
      <c r="O498" s="5" t="inlineStr">
        <is>
          <t>Country</t>
        </is>
      </c>
      <c r="P498" s="5" t="inlineStr">
        <is>
          <t>Italy</t>
        </is>
      </c>
      <c r="Q498" s="13" t="inlineStr"/>
      <c r="R498" s="5" t="inlineStr">
        <is>
          <t>Francesca Cavaciocchi</t>
        </is>
      </c>
      <c r="S498" s="8" t="n">
        <v>46080.73606481482</v>
      </c>
    </row>
    <row r="499" hidden="1" ht="29" customHeight="1">
      <c r="A499" s="15">
        <f>HYPERLINK("https://vtmf.veevavault.com/ui/#doc_info/31087995/1/0", "VTMF-25063651")</f>
        <v/>
      </c>
      <c r="B499" s="20" t="inlineStr">
        <is>
          <t>Yes</t>
        </is>
      </c>
      <c r="C499" s="5" t="inlineStr">
        <is>
          <t>1.0</t>
        </is>
      </c>
      <c r="D499" s="5" t="inlineStr">
        <is>
          <t>GCO</t>
        </is>
      </c>
      <c r="E499" s="5" t="inlineStr">
        <is>
          <t>42847922MDD3003</t>
        </is>
      </c>
      <c r="F499" s="16">
        <f>HYPERLINK("https://vtmf.veevavault.com/ui/#doc_info/31087995/1/0", "42847922MDD3003-BRA-S10-BR10004-Notification to IRB/IEC of Safety Information-03 Sep 2025 (v1.0)")</f>
        <v/>
      </c>
      <c r="G499" s="5" t="inlineStr">
        <is>
          <t>IRB/IEC and other Approvals</t>
        </is>
      </c>
      <c r="H499" s="5" t="inlineStr">
        <is>
          <t>Trial Status Reporting</t>
        </is>
      </c>
      <c r="I499" s="5" t="inlineStr">
        <is>
          <t>Notification to IRB/IEC of Safety Information</t>
        </is>
      </c>
      <c r="J499" s="5" t="inlineStr">
        <is>
          <t>Submission_2th Partial Report to local EC_03Sep2025</t>
        </is>
      </c>
      <c r="K499" s="6" t="n">
        <v>179</v>
      </c>
      <c r="L499" s="7" t="n">
        <v>45903</v>
      </c>
      <c r="M499" s="11" t="n">
        <v>46082</v>
      </c>
      <c r="N499" s="5" t="inlineStr">
        <is>
          <t>Approved</t>
        </is>
      </c>
      <c r="O499" s="5" t="inlineStr">
        <is>
          <t>Site</t>
        </is>
      </c>
      <c r="P499" s="5" t="inlineStr">
        <is>
          <t>Brazil</t>
        </is>
      </c>
      <c r="Q499" s="13" t="inlineStr">
        <is>
          <t>S10-BR10004</t>
        </is>
      </c>
      <c r="R499" s="5" t="inlineStr">
        <is>
          <t>Maria Gabriela Mouallem Brandão</t>
        </is>
      </c>
      <c r="S499" s="8" t="n">
        <v>46083.03549768519</v>
      </c>
    </row>
    <row r="500" hidden="1" ht="29" customHeight="1">
      <c r="A500" s="15">
        <f>HYPERLINK("https://vtmf.veevavault.com/ui/#doc_info/31090777/1/0", "VTMF-25065993")</f>
        <v/>
      </c>
      <c r="B500" s="20" t="inlineStr">
        <is>
          <t>Yes</t>
        </is>
      </c>
      <c r="C500" s="5" t="inlineStr">
        <is>
          <t>1.0</t>
        </is>
      </c>
      <c r="D500" s="5" t="inlineStr">
        <is>
          <t>GCO</t>
        </is>
      </c>
      <c r="E500" s="5" t="inlineStr">
        <is>
          <t>42847922MDD3003</t>
        </is>
      </c>
      <c r="F500" s="16">
        <f>HYPERLINK("https://vtmf.veevavault.com/ui/#doc_info/31090777/1/0", "42847922MDD3003-ARG-S10-AR10016-IRB/IEC Progress Report-26 Dec 2025 (v1.0)")</f>
        <v/>
      </c>
      <c r="G500" s="5" t="inlineStr">
        <is>
          <t>IRB/IEC and other Approvals</t>
        </is>
      </c>
      <c r="H500" s="5" t="inlineStr">
        <is>
          <t>Trial Status Reporting</t>
        </is>
      </c>
      <c r="I500" s="5" t="inlineStr">
        <is>
          <t>IRB/IEC Progress Report</t>
        </is>
      </c>
      <c r="J500" s="5" t="inlineStr">
        <is>
          <t>EC_Submission Progress report Dec2025 Dr. Corral</t>
        </is>
      </c>
      <c r="K500" s="6" t="n">
        <v>66</v>
      </c>
      <c r="L500" s="7" t="n">
        <v>46017</v>
      </c>
      <c r="M500" s="11" t="n">
        <v>46083</v>
      </c>
      <c r="N500" s="5" t="inlineStr">
        <is>
          <t>Approved</t>
        </is>
      </c>
      <c r="O500" s="5" t="inlineStr">
        <is>
          <t>Site</t>
        </is>
      </c>
      <c r="P500" s="5" t="inlineStr">
        <is>
          <t>Argentina</t>
        </is>
      </c>
      <c r="Q500" s="13" t="inlineStr">
        <is>
          <t>S10-AR10016</t>
        </is>
      </c>
      <c r="R500" s="5" t="inlineStr">
        <is>
          <t>Cintia Rodriguez</t>
        </is>
      </c>
      <c r="S500" s="8" t="n">
        <v>46083.54516203704</v>
      </c>
    </row>
    <row r="501" hidden="1" ht="29" customHeight="1">
      <c r="A501" s="15">
        <f>HYPERLINK("https://vtmf.veevavault.com/ui/#doc_info/31093840/1/0", "VTMF-25068373")</f>
        <v/>
      </c>
      <c r="B501" s="19" t="inlineStr">
        <is>
          <t>No</t>
        </is>
      </c>
      <c r="C501" s="5" t="inlineStr">
        <is>
          <t>1.0</t>
        </is>
      </c>
      <c r="D501" s="5" t="inlineStr">
        <is>
          <t>GCO</t>
        </is>
      </c>
      <c r="E501" s="5" t="inlineStr">
        <is>
          <t>42847922MDD3003</t>
        </is>
      </c>
      <c r="F501" s="16">
        <f>HYPERLINK("https://vtmf.veevavault.com/ui/#doc_info/31093840/1/0", "42847922MDD3003-USA-S10-US10207-Sub-Investigator Curriculum Vitae-22 Jan 2026 (v1.0)")</f>
        <v/>
      </c>
      <c r="G501" s="5" t="inlineStr">
        <is>
          <t>Site Management</t>
        </is>
      </c>
      <c r="H501" s="5" t="inlineStr">
        <is>
          <t>Site Set-up Documentation</t>
        </is>
      </c>
      <c r="I501" s="5" t="inlineStr">
        <is>
          <t>Sub-Investigator Curriculum Vitae</t>
        </is>
      </c>
      <c r="J501" s="5" t="inlineStr">
        <is>
          <t>Sub-I CV_English_McKellar, J_Initial</t>
        </is>
      </c>
      <c r="K501" s="6" t="n">
        <v>39</v>
      </c>
      <c r="L501" s="7" t="n">
        <v>46044</v>
      </c>
      <c r="M501" s="11" t="n">
        <v>46083</v>
      </c>
      <c r="N501" s="5" t="inlineStr">
        <is>
          <t>Approved</t>
        </is>
      </c>
      <c r="O501" s="5" t="inlineStr">
        <is>
          <t>Site</t>
        </is>
      </c>
      <c r="P501" s="5" t="inlineStr">
        <is>
          <t>United States</t>
        </is>
      </c>
      <c r="Q501" s="13" t="inlineStr">
        <is>
          <t>S10-US10207</t>
        </is>
      </c>
      <c r="R501" s="5" t="inlineStr">
        <is>
          <t>Daniel Woodland</t>
        </is>
      </c>
      <c r="S501" s="8" t="n">
        <v>46083.71658564815</v>
      </c>
    </row>
    <row r="502" hidden="1" ht="29" customHeight="1">
      <c r="A502" s="15">
        <f>HYPERLINK("https://vtmf.veevavault.com/ui/#doc_info/31093967/1/0", "VTMF-25068977")</f>
        <v/>
      </c>
      <c r="B502" s="19" t="inlineStr">
        <is>
          <t>No</t>
        </is>
      </c>
      <c r="C502" s="5" t="inlineStr">
        <is>
          <t>1.0</t>
        </is>
      </c>
      <c r="D502" s="5" t="inlineStr">
        <is>
          <t>GCO</t>
        </is>
      </c>
      <c r="E502" s="5" t="inlineStr">
        <is>
          <t>42847922MDD3003</t>
        </is>
      </c>
      <c r="F502" s="16">
        <f>HYPERLINK("https://vtmf.veevavault.com/ui/#doc_info/31093967/1/0", "42847922MDD3003-ARG-S10-AR10010-Non-IP Shipment Documentation-21 Oct 2025 (v1.0)")</f>
        <v/>
      </c>
      <c r="G502" s="5" t="inlineStr">
        <is>
          <t>IP and Trial Supplies</t>
        </is>
      </c>
      <c r="H502" s="5" t="inlineStr">
        <is>
          <t>Non-IP Documentation</t>
        </is>
      </c>
      <c r="I502" s="5" t="inlineStr">
        <is>
          <t>Non-IP Shipment Documentation</t>
        </is>
      </c>
      <c r="J502" s="5" t="inlineStr">
        <is>
          <t>Non IP dreem kit</t>
        </is>
      </c>
      <c r="K502" s="6" t="n">
        <v>132</v>
      </c>
      <c r="L502" s="7" t="n">
        <v>45951</v>
      </c>
      <c r="M502" s="11" t="n">
        <v>46083</v>
      </c>
      <c r="N502" s="5" t="inlineStr">
        <is>
          <t>Approved</t>
        </is>
      </c>
      <c r="O502" s="5" t="inlineStr">
        <is>
          <t>Site</t>
        </is>
      </c>
      <c r="P502" s="5" t="inlineStr">
        <is>
          <t>Argentina</t>
        </is>
      </c>
      <c r="Q502" s="13" t="inlineStr">
        <is>
          <t>S10-AR10010</t>
        </is>
      </c>
      <c r="R502" s="5" t="inlineStr">
        <is>
          <t>LEANDRO LOPEZ</t>
        </is>
      </c>
      <c r="S502" s="8" t="n">
        <v>46083.72450231481</v>
      </c>
    </row>
    <row r="503" hidden="1" ht="29" customHeight="1">
      <c r="A503" s="15">
        <f>HYPERLINK("https://vtmf.veevavault.com/ui/#doc_info/31095520/1/0", "VTMF-25069855")</f>
        <v/>
      </c>
      <c r="B503" s="19" t="inlineStr">
        <is>
          <t>No</t>
        </is>
      </c>
      <c r="C503" s="5" t="inlineStr">
        <is>
          <t>1.0</t>
        </is>
      </c>
      <c r="D503" s="5" t="inlineStr">
        <is>
          <t>GCO</t>
        </is>
      </c>
      <c r="E503" s="5" t="inlineStr">
        <is>
          <t>42847922MDD3003, 42847922MDD3011</t>
        </is>
      </c>
      <c r="F503" s="16">
        <f>HYPERLINK("https://vtmf.veevavault.com/ui/#doc_info/31095520/1/0", "42847922MDD3003-ARG-S10-AR10014-Information on Quality of Facilities-19 Dec 2025 (v1.0)")</f>
        <v/>
      </c>
      <c r="G503" s="5" t="inlineStr">
        <is>
          <t>Site Management</t>
        </is>
      </c>
      <c r="H503" s="5" t="inlineStr">
        <is>
          <t>Site Set-up Documentation</t>
        </is>
      </c>
      <c r="I503" s="5" t="inlineStr">
        <is>
          <t>Information on Quality of Facilities</t>
        </is>
      </c>
      <c r="J503" s="5" t="inlineStr">
        <is>
          <t>Health Authority Permission to operate_Exp. 19Dec2030</t>
        </is>
      </c>
      <c r="K503" s="6" t="n">
        <v>73</v>
      </c>
      <c r="L503" s="7" t="n">
        <v>46010</v>
      </c>
      <c r="M503" s="11" t="n">
        <v>46083</v>
      </c>
      <c r="N503" s="5" t="inlineStr">
        <is>
          <t>Approved</t>
        </is>
      </c>
      <c r="O503" s="5" t="inlineStr">
        <is>
          <t>Site</t>
        </is>
      </c>
      <c r="P503" s="5" t="inlineStr">
        <is>
          <t>Argentina, Argentina</t>
        </is>
      </c>
      <c r="Q503" s="13" t="inlineStr">
        <is>
          <t>DG1-AR10006, S10-AR10014</t>
        </is>
      </c>
      <c r="R503" s="5" t="inlineStr">
        <is>
          <t>Marina Crespo</t>
        </is>
      </c>
      <c r="S503" s="8" t="n">
        <v>46083.79950231482</v>
      </c>
    </row>
    <row r="504" hidden="1" ht="29" customHeight="1">
      <c r="A504" s="15">
        <f>HYPERLINK("https://vtmf.veevavault.com/ui/#doc_info/31105253/1/0", "VTMF-25077983")</f>
        <v/>
      </c>
      <c r="B504" s="19" t="inlineStr">
        <is>
          <t>No</t>
        </is>
      </c>
      <c r="C504" s="5" t="inlineStr">
        <is>
          <t>1.0</t>
        </is>
      </c>
      <c r="D504" s="5" t="inlineStr">
        <is>
          <t>GCO</t>
        </is>
      </c>
      <c r="E504" s="5" t="inlineStr">
        <is>
          <t>42847922MDD3003, 77242113UCO3001</t>
        </is>
      </c>
      <c r="F504" s="16">
        <f>HYPERLINK("https://vtmf.veevavault.com/ui/#doc_info/31105253/1/0", "42847922MDD3003-ARG-S10-AR10012-Information on Quality of Facilities-10 Dec 2025 (v1.0)")</f>
        <v/>
      </c>
      <c r="G504" s="5" t="inlineStr">
        <is>
          <t>Site Management</t>
        </is>
      </c>
      <c r="H504" s="5" t="inlineStr">
        <is>
          <t>Site Set-up Documentation</t>
        </is>
      </c>
      <c r="I504" s="5" t="inlineStr">
        <is>
          <t>Information on Quality of Facilities</t>
        </is>
      </c>
      <c r="J504" s="5" t="inlineStr">
        <is>
          <t>Permission to operate_CIAP_Dra Lupo</t>
        </is>
      </c>
      <c r="K504" s="6" t="n">
        <v>83</v>
      </c>
      <c r="L504" s="7" t="n">
        <v>46001</v>
      </c>
      <c r="M504" s="11" t="n">
        <v>46084</v>
      </c>
      <c r="N504" s="5" t="inlineStr">
        <is>
          <t>Approved</t>
        </is>
      </c>
      <c r="O504" s="5" t="inlineStr">
        <is>
          <t>Site</t>
        </is>
      </c>
      <c r="P504" s="5" t="inlineStr">
        <is>
          <t>Argentina, Argentina</t>
        </is>
      </c>
      <c r="Q504" s="13" t="inlineStr">
        <is>
          <t>DD5-AR10011, S10-AR10012</t>
        </is>
      </c>
      <c r="R504" s="5" t="inlineStr">
        <is>
          <t>Marina Crespo</t>
        </is>
      </c>
      <c r="S504" s="8" t="n">
        <v>46084.75143518519</v>
      </c>
    </row>
    <row r="505" hidden="1" ht="29" customHeight="1">
      <c r="A505" s="15">
        <f>HYPERLINK("https://vtmf.veevavault.com/ui/#doc_info/31105434/1/0", "VTMF-25078148")</f>
        <v/>
      </c>
      <c r="B505" s="20" t="inlineStr">
        <is>
          <t>Yes</t>
        </is>
      </c>
      <c r="C505" s="5" t="inlineStr">
        <is>
          <t>1.0</t>
        </is>
      </c>
      <c r="D505" s="5" t="inlineStr">
        <is>
          <t>GCO</t>
        </is>
      </c>
      <c r="E505" s="5" t="inlineStr">
        <is>
          <t>42847922MDD3003</t>
        </is>
      </c>
      <c r="F505" s="16">
        <f>HYPERLINK("https://vtmf.veevavault.com/ui/#doc_info/31105434/1/0", "42847922MDD3003-USA-S10-US10103-Relevant Communications-21 Jan 2026 (v1.0)")</f>
        <v/>
      </c>
      <c r="G505" s="5" t="inlineStr">
        <is>
          <t>Site Management</t>
        </is>
      </c>
      <c r="H505" s="5" t="inlineStr">
        <is>
          <t>General</t>
        </is>
      </c>
      <c r="I505" s="5" t="inlineStr">
        <is>
          <t>Relevant Communications</t>
        </is>
      </c>
      <c r="J505" s="5" t="inlineStr">
        <is>
          <t>Dr_ Padilla Site US10103 Subject US101030029 SAE Reporting 13Jan2026 Pelvic Mass (Malignant) identified</t>
        </is>
      </c>
      <c r="K505" s="6" t="n">
        <v>41</v>
      </c>
      <c r="L505" s="7" t="n">
        <v>46043</v>
      </c>
      <c r="M505" s="11" t="n">
        <v>46084</v>
      </c>
      <c r="N505" s="5" t="inlineStr">
        <is>
          <t>Approved</t>
        </is>
      </c>
      <c r="O505" s="5" t="inlineStr">
        <is>
          <t>Site</t>
        </is>
      </c>
      <c r="P505" s="5" t="inlineStr">
        <is>
          <t>United States</t>
        </is>
      </c>
      <c r="Q505" s="13" t="inlineStr">
        <is>
          <t>S10-US10103</t>
        </is>
      </c>
      <c r="R505" s="5" t="inlineStr">
        <is>
          <t>Gina Stefanelli</t>
        </is>
      </c>
      <c r="S505" s="8" t="n">
        <v>46084.77418981482</v>
      </c>
    </row>
    <row r="506" hidden="1" ht="29" customHeight="1">
      <c r="A506" s="15">
        <f>HYPERLINK("https://vtmf.veevavault.com/ui/#doc_info/31105460/1/0", "VTMF-25078188")</f>
        <v/>
      </c>
      <c r="B506" s="20" t="inlineStr">
        <is>
          <t>Yes</t>
        </is>
      </c>
      <c r="C506" s="5" t="inlineStr">
        <is>
          <t>1.0</t>
        </is>
      </c>
      <c r="D506" s="5" t="inlineStr">
        <is>
          <t>GCO</t>
        </is>
      </c>
      <c r="E506" s="5" t="inlineStr">
        <is>
          <t>42847922MDD3003</t>
        </is>
      </c>
      <c r="F506" s="16">
        <f>HYPERLINK("https://vtmf.veevavault.com/ui/#doc_info/31105460/1/0", "42847922MDD3003-ITA-S10-IT10005-Relevant Communications-29 Jan 2026 (v1.0)")</f>
        <v/>
      </c>
      <c r="G506" s="5" t="inlineStr">
        <is>
          <t>Site Management</t>
        </is>
      </c>
      <c r="H506" s="5" t="inlineStr">
        <is>
          <t>General</t>
        </is>
      </c>
      <c r="I506" s="5" t="inlineStr">
        <is>
          <t>Relevant Communications</t>
        </is>
      </c>
      <c r="J506" s="5" t="inlineStr">
        <is>
          <t>PI: Dr.Andrea Fagiolini_Site: IT10005 (Italy)_Subject ID: IT100050003_Visit: Part 1 Screening_ Alert-FSH</t>
        </is>
      </c>
      <c r="K506" s="6" t="n">
        <v>33</v>
      </c>
      <c r="L506" s="7" t="n">
        <v>46051</v>
      </c>
      <c r="M506" s="11" t="n">
        <v>46084</v>
      </c>
      <c r="N506" s="5" t="inlineStr">
        <is>
          <t>Approved</t>
        </is>
      </c>
      <c r="O506" s="5" t="inlineStr">
        <is>
          <t>Site</t>
        </is>
      </c>
      <c r="P506" s="5" t="inlineStr">
        <is>
          <t>Italy</t>
        </is>
      </c>
      <c r="Q506" s="13" t="inlineStr">
        <is>
          <t>S10-IT10005</t>
        </is>
      </c>
      <c r="R506" s="5" t="inlineStr">
        <is>
          <t>Gina Stefanelli</t>
        </is>
      </c>
      <c r="S506" s="8" t="n">
        <v>46084.77849537037</v>
      </c>
    </row>
    <row r="507" hidden="1" ht="58" customHeight="1">
      <c r="A507" s="15">
        <f>HYPERLINK("https://vtmf.veevavault.com/ui/#doc_info/31105392/1/0", "VTMF-25078219")</f>
        <v/>
      </c>
      <c r="B507" s="20" t="inlineStr">
        <is>
          <t>Yes</t>
        </is>
      </c>
      <c r="C507" s="5" t="inlineStr">
        <is>
          <t>1.0</t>
        </is>
      </c>
      <c r="D507" s="5" t="inlineStr">
        <is>
          <t>GCO</t>
        </is>
      </c>
      <c r="E507" s="5" t="inlineStr">
        <is>
          <t>42847922MDD3003</t>
        </is>
      </c>
      <c r="F507" s="16">
        <f>HYPERLINK("https://vtmf.veevavault.com/ui/#doc_info/31105392/1/0", "42847922MDD3003-ARG-S10-AR10002-Relevant Communications-23 Jan 2026 (v1.0)")</f>
        <v/>
      </c>
      <c r="G507" s="5" t="inlineStr">
        <is>
          <t>Site Management</t>
        </is>
      </c>
      <c r="H507" s="5" t="inlineStr">
        <is>
          <t>General</t>
        </is>
      </c>
      <c r="I507" s="5" t="inlineStr">
        <is>
          <t>Relevant Communications</t>
        </is>
      </c>
      <c r="J507" s="5" t="inlineStr">
        <is>
          <t>PI: Dr. Gerardo Marcelo Garcia Bonetto M.D.._Site: S10-AR10002 (Argentina)_Subject ID: AR100020008_Visit:Part 2 OL Induction Baseline_Alert: TSH</t>
        </is>
      </c>
      <c r="K507" s="6" t="n">
        <v>39</v>
      </c>
      <c r="L507" s="7" t="n">
        <v>46045</v>
      </c>
      <c r="M507" s="11" t="n">
        <v>46084</v>
      </c>
      <c r="N507" s="5" t="inlineStr">
        <is>
          <t>Approved</t>
        </is>
      </c>
      <c r="O507" s="5" t="inlineStr">
        <is>
          <t>Site</t>
        </is>
      </c>
      <c r="P507" s="5" t="inlineStr">
        <is>
          <t>Argentina</t>
        </is>
      </c>
      <c r="Q507" s="13" t="inlineStr">
        <is>
          <t>S10-AR10002</t>
        </is>
      </c>
      <c r="R507" s="5" t="inlineStr">
        <is>
          <t>Gina Stefanelli</t>
        </is>
      </c>
      <c r="S507" s="8" t="n">
        <v>46084.78325231482</v>
      </c>
    </row>
    <row r="508" hidden="1" ht="72.5" customHeight="1">
      <c r="A508" s="15">
        <f>HYPERLINK("https://vtmf.veevavault.com/ui/#doc_info/31105398/1/0", "VTMF-25078233")</f>
        <v/>
      </c>
      <c r="B508" s="20" t="inlineStr">
        <is>
          <t>Yes</t>
        </is>
      </c>
      <c r="C508" s="5" t="inlineStr">
        <is>
          <t>1.0</t>
        </is>
      </c>
      <c r="D508" s="5" t="inlineStr">
        <is>
          <t>GCO</t>
        </is>
      </c>
      <c r="E508" s="5" t="inlineStr">
        <is>
          <t>42847922MDD3003</t>
        </is>
      </c>
      <c r="F508" s="16">
        <f>HYPERLINK("https://vtmf.veevavault.com/ui/#doc_info/31105398/1/0", "42847922MDD3003-USA-S10-US10188-Relevant Communications-07 Jan 2026 (v1.0)")</f>
        <v/>
      </c>
      <c r="G508" s="5" t="inlineStr">
        <is>
          <t>Site Management</t>
        </is>
      </c>
      <c r="H508" s="5" t="inlineStr">
        <is>
          <t>General</t>
        </is>
      </c>
      <c r="I508" s="5" t="inlineStr">
        <is>
          <t>Relevant Communications</t>
        </is>
      </c>
      <c r="J508" s="5" t="inlineStr">
        <is>
          <t>Relevant suicidality information reported at CSSRS Baseline version)Study42847922MDD3003/Site Group'USA'/SiteS10-US10188/ Rado Subject US101880009-updated CSSRS-Baseline/Screening Version</t>
        </is>
      </c>
      <c r="K508" s="6" t="n">
        <v>55</v>
      </c>
      <c r="L508" s="7" t="n">
        <v>46029</v>
      </c>
      <c r="M508" s="11" t="n">
        <v>46084</v>
      </c>
      <c r="N508" s="5" t="inlineStr">
        <is>
          <t>Approved</t>
        </is>
      </c>
      <c r="O508" s="5" t="inlineStr">
        <is>
          <t>Site</t>
        </is>
      </c>
      <c r="P508" s="5" t="inlineStr">
        <is>
          <t>United States</t>
        </is>
      </c>
      <c r="Q508" s="13" t="inlineStr">
        <is>
          <t>S10-US10188</t>
        </is>
      </c>
      <c r="R508" s="5" t="inlineStr">
        <is>
          <t>Gina Stefanelli</t>
        </is>
      </c>
      <c r="S508" s="8" t="n">
        <v>46084.78612268518</v>
      </c>
    </row>
    <row r="509" hidden="1" ht="58" customHeight="1">
      <c r="A509" s="15">
        <f>HYPERLINK("https://vtmf.veevavault.com/ui/#doc_info/31105493/1/0", "VTMF-25078255")</f>
        <v/>
      </c>
      <c r="B509" s="20" t="inlineStr">
        <is>
          <t>Yes</t>
        </is>
      </c>
      <c r="C509" s="5" t="inlineStr">
        <is>
          <t>1.0</t>
        </is>
      </c>
      <c r="D509" s="5" t="inlineStr">
        <is>
          <t>GCO</t>
        </is>
      </c>
      <c r="E509" s="5" t="inlineStr">
        <is>
          <t>42847922MDD3003</t>
        </is>
      </c>
      <c r="F509" s="16">
        <f>HYPERLINK("https://vtmf.veevavault.com/ui/#doc_info/31105493/1/0", "42847922MDD3003-SWE-S10-SE10001-Relevant Communications-03 Dec 2025 (v1.0)")</f>
        <v/>
      </c>
      <c r="G509" s="5" t="inlineStr">
        <is>
          <t>Site Management</t>
        </is>
      </c>
      <c r="H509" s="5" t="inlineStr">
        <is>
          <t>General</t>
        </is>
      </c>
      <c r="I509" s="5" t="inlineStr">
        <is>
          <t>Relevant Communications</t>
        </is>
      </c>
      <c r="J509" s="5" t="inlineStr">
        <is>
          <t>_PI_ Dr_ Anders Luts_Site_ S10-SE10001(Sweden)_Subject ID_ SE100010017_Visit_ Part 2 OL Induction Day 29/_Aleert: Cancelled CBC Panel</t>
        </is>
      </c>
      <c r="K509" s="6" t="n">
        <v>90</v>
      </c>
      <c r="L509" s="7" t="n">
        <v>45994</v>
      </c>
      <c r="M509" s="11" t="n">
        <v>46084</v>
      </c>
      <c r="N509" s="5" t="inlineStr">
        <is>
          <t>Approved</t>
        </is>
      </c>
      <c r="O509" s="5" t="inlineStr">
        <is>
          <t>Site</t>
        </is>
      </c>
      <c r="P509" s="5" t="inlineStr">
        <is>
          <t>Sweden</t>
        </is>
      </c>
      <c r="Q509" s="13" t="inlineStr">
        <is>
          <t>S10-SE10001</t>
        </is>
      </c>
      <c r="R509" s="5" t="inlineStr">
        <is>
          <t>Gina Stefanelli</t>
        </is>
      </c>
      <c r="S509" s="8" t="n">
        <v>46084.78950231482</v>
      </c>
    </row>
    <row r="510" hidden="1" ht="43.5" customHeight="1">
      <c r="A510" s="15">
        <f>HYPERLINK("https://vtmf.veevavault.com/ui/#doc_info/31105499/1/0", "VTMF-25078261")</f>
        <v/>
      </c>
      <c r="B510" s="20" t="inlineStr">
        <is>
          <t>Yes</t>
        </is>
      </c>
      <c r="C510" s="5" t="inlineStr">
        <is>
          <t>1.0</t>
        </is>
      </c>
      <c r="D510" s="5" t="inlineStr">
        <is>
          <t>GCO</t>
        </is>
      </c>
      <c r="E510" s="5" t="inlineStr">
        <is>
          <t>42847922MDD3003</t>
        </is>
      </c>
      <c r="F510" s="16">
        <f>HYPERLINK("https://vtmf.veevavault.com/ui/#doc_info/31105499/1/0", "42847922MDD3003-BRA-S10-BR10010-Relevant Communications-07 Jan 2026 (v1.0)")</f>
        <v/>
      </c>
      <c r="G510" s="5" t="inlineStr">
        <is>
          <t>Site Management</t>
        </is>
      </c>
      <c r="H510" s="5" t="inlineStr">
        <is>
          <t>General</t>
        </is>
      </c>
      <c r="I510" s="5" t="inlineStr">
        <is>
          <t>Relevant Communications</t>
        </is>
      </c>
      <c r="J510" s="5" t="inlineStr">
        <is>
          <t>PI: Dr. Moacyr Rosa M.D._Site: BR10010 (Brazil)_Subject ID: BR100100012_Visit: Retest_ Alert: Hematology Panel, TSH</t>
        </is>
      </c>
      <c r="K510" s="6" t="n">
        <v>55</v>
      </c>
      <c r="L510" s="7" t="n">
        <v>46029</v>
      </c>
      <c r="M510" s="11" t="n">
        <v>46084</v>
      </c>
      <c r="N510" s="5" t="inlineStr">
        <is>
          <t>Approved</t>
        </is>
      </c>
      <c r="O510" s="5" t="inlineStr">
        <is>
          <t>Site</t>
        </is>
      </c>
      <c r="P510" s="5" t="inlineStr">
        <is>
          <t>Brazil</t>
        </is>
      </c>
      <c r="Q510" s="13" t="inlineStr">
        <is>
          <t>S10-BR10010</t>
        </is>
      </c>
      <c r="R510" s="5" t="inlineStr">
        <is>
          <t>Gina Stefanelli</t>
        </is>
      </c>
      <c r="S510" s="8" t="n">
        <v>46084.79099537037</v>
      </c>
    </row>
    <row r="511" hidden="1" ht="29" customHeight="1">
      <c r="A511" s="15">
        <f>HYPERLINK("https://vtmf.veevavault.com/ui/#doc_info/31105541/1/0", "VTMF-25078324")</f>
        <v/>
      </c>
      <c r="B511" s="20" t="inlineStr">
        <is>
          <t>Yes</t>
        </is>
      </c>
      <c r="C511" s="5" t="inlineStr">
        <is>
          <t>1.0</t>
        </is>
      </c>
      <c r="D511" s="5" t="inlineStr">
        <is>
          <t>GCO</t>
        </is>
      </c>
      <c r="E511" s="5" t="inlineStr">
        <is>
          <t>42847922MDD3003</t>
        </is>
      </c>
      <c r="F511" s="16">
        <f>HYPERLINK("https://vtmf.veevavault.com/ui/#doc_info/31105541/1/0", "42847922MDD3003-USA-S10-US10058-Relevant Communications-26 Sep 2025 (v1.0)")</f>
        <v/>
      </c>
      <c r="G511" s="5" t="inlineStr">
        <is>
          <t>Site Management</t>
        </is>
      </c>
      <c r="H511" s="5" t="inlineStr">
        <is>
          <t>General</t>
        </is>
      </c>
      <c r="I511" s="5" t="inlineStr">
        <is>
          <t>Relevant Communications</t>
        </is>
      </c>
      <c r="J511" s="5" t="inlineStr">
        <is>
          <t>call re. seltorexant MDD3003 Part 2 participation</t>
        </is>
      </c>
      <c r="K511" s="6" t="n">
        <v>158</v>
      </c>
      <c r="L511" s="7" t="n">
        <v>45926</v>
      </c>
      <c r="M511" s="11" t="n">
        <v>46084</v>
      </c>
      <c r="N511" s="5" t="inlineStr">
        <is>
          <t>Approved</t>
        </is>
      </c>
      <c r="O511" s="5" t="inlineStr">
        <is>
          <t>Site</t>
        </is>
      </c>
      <c r="P511" s="5" t="inlineStr">
        <is>
          <t>United States</t>
        </is>
      </c>
      <c r="Q511" s="13" t="inlineStr">
        <is>
          <t>S10-US10058</t>
        </is>
      </c>
      <c r="R511" s="5" t="inlineStr">
        <is>
          <t>Gina Stefanelli</t>
        </is>
      </c>
      <c r="S511" s="8" t="n">
        <v>46084.79832175926</v>
      </c>
    </row>
    <row r="512" hidden="1" ht="43.5" customHeight="1">
      <c r="A512" s="15">
        <f>HYPERLINK("https://vtmf.veevavault.com/ui/#doc_info/31105546/1/0", "VTMF-25078334")</f>
        <v/>
      </c>
      <c r="B512" s="20" t="inlineStr">
        <is>
          <t>Yes</t>
        </is>
      </c>
      <c r="C512" s="5" t="inlineStr">
        <is>
          <t>1.0</t>
        </is>
      </c>
      <c r="D512" s="5" t="inlineStr">
        <is>
          <t>GCO</t>
        </is>
      </c>
      <c r="E512" s="5" t="inlineStr">
        <is>
          <t>42847922MDD3003</t>
        </is>
      </c>
      <c r="F512" s="16">
        <f>HYPERLINK("https://vtmf.veevavault.com/ui/#doc_info/31105546/1/0", "42847922MDD3003-SVK-S10-SK10001-Relevant Communications-23 Dec 2025 (v1.0)")</f>
        <v/>
      </c>
      <c r="G512" s="5" t="inlineStr">
        <is>
          <t>Site Management</t>
        </is>
      </c>
      <c r="H512" s="5" t="inlineStr">
        <is>
          <t>General</t>
        </is>
      </c>
      <c r="I512" s="5" t="inlineStr">
        <is>
          <t>Relevant Communications</t>
        </is>
      </c>
      <c r="J512" s="5" t="inlineStr">
        <is>
          <t>PI:Dr.Dagmar Breznoscakova _Site: SK10001 (Slovakia)_Subject ID: SK100010001_Visit: Part 2 OL Induction Day 29_ Alert-GGT</t>
        </is>
      </c>
      <c r="K512" s="6" t="n">
        <v>70</v>
      </c>
      <c r="L512" s="7" t="n">
        <v>46014</v>
      </c>
      <c r="M512" s="11" t="n">
        <v>46084</v>
      </c>
      <c r="N512" s="5" t="inlineStr">
        <is>
          <t>Approved</t>
        </is>
      </c>
      <c r="O512" s="5" t="inlineStr">
        <is>
          <t>Site</t>
        </is>
      </c>
      <c r="P512" s="5" t="inlineStr">
        <is>
          <t>Slovakia</t>
        </is>
      </c>
      <c r="Q512" s="13" t="inlineStr">
        <is>
          <t>S10-SK10001</t>
        </is>
      </c>
      <c r="R512" s="5" t="inlineStr">
        <is>
          <t>Gina Stefanelli</t>
        </is>
      </c>
      <c r="S512" s="8" t="n">
        <v>46084.80010416666</v>
      </c>
    </row>
    <row r="513" hidden="1" ht="29" customHeight="1">
      <c r="A513" s="15">
        <f>HYPERLINK("https://vtmf.veevavault.com/ui/#doc_info/31106521/1/0", "VTMF-25079081")</f>
        <v/>
      </c>
      <c r="B513" s="19" t="inlineStr">
        <is>
          <t>No</t>
        </is>
      </c>
      <c r="C513" s="5" t="inlineStr">
        <is>
          <t>1.0</t>
        </is>
      </c>
      <c r="D513" s="5" t="inlineStr">
        <is>
          <t>GCO</t>
        </is>
      </c>
      <c r="E513" s="5" t="inlineStr">
        <is>
          <t>42847922MDD3003</t>
        </is>
      </c>
      <c r="F513" s="16">
        <f>HYPERLINK("https://vtmf.veevavault.com/ui/#doc_info/31106521/1/0", "42847922MDD3003-MEX--Other Information Given to Investigators-02 Apr 2024 (v1.0)")</f>
        <v/>
      </c>
      <c r="G513" s="5" t="inlineStr">
        <is>
          <t>Central Trial Documents</t>
        </is>
      </c>
      <c r="H513" s="5" t="inlineStr">
        <is>
          <t>Subject Documents</t>
        </is>
      </c>
      <c r="I513" s="5" t="inlineStr">
        <is>
          <t>Other Information Given to Investigators</t>
        </is>
      </c>
      <c r="J513" s="5" t="inlineStr">
        <is>
          <t>Colleague Networking Card__V1.0-02_Spanish</t>
        </is>
      </c>
      <c r="K513" s="6" t="n">
        <v>700</v>
      </c>
      <c r="L513" s="7" t="n">
        <v>45384</v>
      </c>
      <c r="M513" s="11" t="n">
        <v>46084</v>
      </c>
      <c r="N513" s="5" t="inlineStr">
        <is>
          <t>Approved</t>
        </is>
      </c>
      <c r="O513" s="5" t="inlineStr">
        <is>
          <t>Country</t>
        </is>
      </c>
      <c r="P513" s="5" t="inlineStr">
        <is>
          <t>Mexico</t>
        </is>
      </c>
      <c r="Q513" s="13" t="inlineStr"/>
      <c r="R513" s="5" t="inlineStr">
        <is>
          <t>Karla Melisa Rodríguez Bautista</t>
        </is>
      </c>
      <c r="S513" s="8" t="n">
        <v>46084.9347337963</v>
      </c>
    </row>
    <row r="514" hidden="1" ht="29" customHeight="1">
      <c r="A514" s="15">
        <f>HYPERLINK("https://vtmf.veevavault.com/ui/#doc_info/31106594/1/0", "VTMF-25079222")</f>
        <v/>
      </c>
      <c r="B514" s="19" t="inlineStr">
        <is>
          <t>No</t>
        </is>
      </c>
      <c r="C514" s="5" t="inlineStr">
        <is>
          <t>1.0</t>
        </is>
      </c>
      <c r="D514" s="5" t="inlineStr">
        <is>
          <t>GCO</t>
        </is>
      </c>
      <c r="E514" s="5" t="inlineStr">
        <is>
          <t>42847922MDD3003</t>
        </is>
      </c>
      <c r="F514" s="16">
        <f>HYPERLINK("https://vtmf.veevavault.com/ui/#doc_info/31106594/1/0", "42847922MDD3003-MEX--Other Information Given to Investigators-17 Oct 2024 (v1.0)")</f>
        <v/>
      </c>
      <c r="G514" s="5" t="inlineStr">
        <is>
          <t>Central Trial Documents</t>
        </is>
      </c>
      <c r="H514" s="5" t="inlineStr">
        <is>
          <t>Subject Documents</t>
        </is>
      </c>
      <c r="I514" s="5" t="inlineStr">
        <is>
          <t>Other Information Given to Investigators</t>
        </is>
      </c>
      <c r="J514" s="5" t="inlineStr">
        <is>
          <t>High Level Protocol Information for HCPs_V1.0-Spanish</t>
        </is>
      </c>
      <c r="K514" s="6" t="n">
        <v>502</v>
      </c>
      <c r="L514" s="7" t="n">
        <v>45582</v>
      </c>
      <c r="M514" s="11" t="n">
        <v>46084</v>
      </c>
      <c r="N514" s="5" t="inlineStr">
        <is>
          <t>Approved</t>
        </is>
      </c>
      <c r="O514" s="5" t="inlineStr">
        <is>
          <t>Country</t>
        </is>
      </c>
      <c r="P514" s="5" t="inlineStr">
        <is>
          <t>Mexico</t>
        </is>
      </c>
      <c r="Q514" s="13" t="inlineStr"/>
      <c r="R514" s="5" t="inlineStr">
        <is>
          <t>Karla Melisa Rodríguez Bautista</t>
        </is>
      </c>
      <c r="S514" s="8" t="n">
        <v>46084.98771990741</v>
      </c>
    </row>
    <row r="515" hidden="1" ht="29" customHeight="1">
      <c r="A515" s="15">
        <f>HYPERLINK("https://vtmf.veevavault.com/ui/#doc_info/31106683/1/0", "VTMF-25079251")</f>
        <v/>
      </c>
      <c r="B515" s="19" t="inlineStr">
        <is>
          <t>No</t>
        </is>
      </c>
      <c r="C515" s="5" t="inlineStr">
        <is>
          <t>1.0</t>
        </is>
      </c>
      <c r="D515" s="5" t="inlineStr">
        <is>
          <t>GCO</t>
        </is>
      </c>
      <c r="E515" s="5" t="inlineStr">
        <is>
          <t>42847922MDD3003</t>
        </is>
      </c>
      <c r="F515" s="16">
        <f>HYPERLINK("https://vtmf.veevavault.com/ui/#doc_info/31106683/1/0", "42847922MDD3003-MEX--Other Information Given to Investigators-17 May 2024 (v1.0)")</f>
        <v/>
      </c>
      <c r="G515" s="5" t="inlineStr">
        <is>
          <t>Central Trial Documents</t>
        </is>
      </c>
      <c r="H515" s="5" t="inlineStr">
        <is>
          <t>Subject Documents</t>
        </is>
      </c>
      <c r="I515" s="5" t="inlineStr">
        <is>
          <t>Other Information Given to Investigators</t>
        </is>
      </c>
      <c r="J515" s="5" t="inlineStr">
        <is>
          <t>Physician Referral Brochure_V1.0 ENG13
 17may2024_Spanish</t>
        </is>
      </c>
      <c r="K515" s="6" t="n">
        <v>655</v>
      </c>
      <c r="L515" s="7" t="n">
        <v>45429</v>
      </c>
      <c r="M515" s="11" t="n">
        <v>46084</v>
      </c>
      <c r="N515" s="5" t="inlineStr">
        <is>
          <t>Approved</t>
        </is>
      </c>
      <c r="O515" s="5" t="inlineStr">
        <is>
          <t>Country</t>
        </is>
      </c>
      <c r="P515" s="5" t="inlineStr">
        <is>
          <t>Mexico</t>
        </is>
      </c>
      <c r="Q515" s="13" t="inlineStr"/>
      <c r="R515" s="5" t="inlineStr">
        <is>
          <t>Karla Melisa Rodríguez Bautista</t>
        </is>
      </c>
      <c r="S515" s="8" t="n">
        <v>46084.99976851852</v>
      </c>
    </row>
    <row r="516" hidden="1" ht="29" customHeight="1">
      <c r="A516" s="15">
        <f>HYPERLINK("https://vtmf.veevavault.com/ui/#doc_info/31110716/1/0", "VTMF-25082471")</f>
        <v/>
      </c>
      <c r="B516" s="20" t="inlineStr">
        <is>
          <t>Yes</t>
        </is>
      </c>
      <c r="C516" s="5" t="inlineStr">
        <is>
          <t>1.0</t>
        </is>
      </c>
      <c r="D516" s="5" t="inlineStr">
        <is>
          <t>GCO</t>
        </is>
      </c>
      <c r="E516" s="5" t="inlineStr">
        <is>
          <t>42847922MDD3003</t>
        </is>
      </c>
      <c r="F516" s="16">
        <f>HYPERLINK("https://vtmf.veevavault.com/ui/#doc_info/31110716/1/0", "42847922MDD3003-CZE-S10-CZ10008-Financial Disclosure Form-07 Jan 2026 (v1.0)")</f>
        <v/>
      </c>
      <c r="G516" s="5" t="inlineStr">
        <is>
          <t>Site Management</t>
        </is>
      </c>
      <c r="H516" s="5" t="inlineStr">
        <is>
          <t>Site Set-up Documentation</t>
        </is>
      </c>
      <c r="I516" s="5" t="inlineStr">
        <is>
          <t>Financial Disclosure Form</t>
        </is>
      </c>
      <c r="J516" s="5" t="inlineStr">
        <is>
          <t>IFDF_Votypkova, P._Initial_07Jan2026</t>
        </is>
      </c>
      <c r="K516" s="6" t="n">
        <v>56</v>
      </c>
      <c r="L516" s="7" t="n">
        <v>46029</v>
      </c>
      <c r="M516" s="11" t="n">
        <v>46085</v>
      </c>
      <c r="N516" s="5" t="inlineStr">
        <is>
          <t>Approved</t>
        </is>
      </c>
      <c r="O516" s="5" t="inlineStr">
        <is>
          <t>Site</t>
        </is>
      </c>
      <c r="P516" s="5" t="inlineStr">
        <is>
          <t>Czech Republic</t>
        </is>
      </c>
      <c r="Q516" s="13" t="inlineStr">
        <is>
          <t>S10-CZ10008</t>
        </is>
      </c>
      <c r="R516" s="5" t="inlineStr">
        <is>
          <t>Vera Matousková</t>
        </is>
      </c>
      <c r="S516" s="8" t="n">
        <v>46085.50462962963</v>
      </c>
    </row>
    <row r="517" hidden="1" ht="58" customHeight="1">
      <c r="A517" s="15">
        <f>HYPERLINK("https://vtmf.veevavault.com/ui/#doc_info/31114534/1/0", "VTMF-25085666")</f>
        <v/>
      </c>
      <c r="B517" s="20" t="inlineStr">
        <is>
          <t>Yes</t>
        </is>
      </c>
      <c r="C517" s="5" t="inlineStr">
        <is>
          <t>1.0</t>
        </is>
      </c>
      <c r="D517" s="5" t="inlineStr">
        <is>
          <t>GCO</t>
        </is>
      </c>
      <c r="E517" s="5" t="inlineStr">
        <is>
          <t>42847922MDD3003</t>
        </is>
      </c>
      <c r="F517" s="16">
        <f>HYPERLINK("https://vtmf.veevavault.com/ui/#doc_info/31114534/1/0", "42847922MDD3003-USA-S10-US10257-Relevant Communications-23 Dec 2025 (v1.0)")</f>
        <v/>
      </c>
      <c r="G517" s="5" t="inlineStr">
        <is>
          <t>Site Management</t>
        </is>
      </c>
      <c r="H517" s="5" t="inlineStr">
        <is>
          <t>General</t>
        </is>
      </c>
      <c r="I517" s="5" t="inlineStr">
        <is>
          <t>Relevant Communications</t>
        </is>
      </c>
      <c r="J517" s="5" t="inlineStr">
        <is>
          <t>Non-Critical: J&amp;J_PI: Dr. Thomas Lester M.D._Site: US10257(United States)_Subject ID: US102570016_Visit: Part 1 Screening_ Alert-Hemoglobin</t>
        </is>
      </c>
      <c r="K517" s="6" t="n">
        <v>71</v>
      </c>
      <c r="L517" s="7" t="n">
        <v>46014</v>
      </c>
      <c r="M517" s="11" t="n">
        <v>46085</v>
      </c>
      <c r="N517" s="5" t="inlineStr">
        <is>
          <t>Approved</t>
        </is>
      </c>
      <c r="O517" s="5" t="inlineStr">
        <is>
          <t>Site</t>
        </is>
      </c>
      <c r="P517" s="5" t="inlineStr">
        <is>
          <t>United States</t>
        </is>
      </c>
      <c r="Q517" s="13" t="inlineStr">
        <is>
          <t>S10-US10257</t>
        </is>
      </c>
      <c r="R517" s="5" t="inlineStr">
        <is>
          <t>Gina Stefanelli</t>
        </is>
      </c>
      <c r="S517" s="8" t="n">
        <v>46085.74318287037</v>
      </c>
    </row>
    <row r="518" hidden="1" ht="29" customHeight="1">
      <c r="A518" s="15">
        <f>HYPERLINK("https://vtmf.veevavault.com/ui/#doc_info/31119694/1/0", "VTMF-25090307")</f>
        <v/>
      </c>
      <c r="B518" s="19" t="inlineStr">
        <is>
          <t>No</t>
        </is>
      </c>
      <c r="C518" s="5" t="inlineStr">
        <is>
          <t>1.0</t>
        </is>
      </c>
      <c r="D518" s="5" t="inlineStr">
        <is>
          <t>GCO</t>
        </is>
      </c>
      <c r="E518" s="5" t="inlineStr">
        <is>
          <t>42847922MDD3003</t>
        </is>
      </c>
      <c r="F518" s="16">
        <f>HYPERLINK("https://vtmf.veevavault.com/ui/#doc_info/31119694/1/0", "42847922MDD3003-ITA-S10-IT10001-IP Destruction Form-18 Dec 2025 (v1.0)")</f>
        <v/>
      </c>
      <c r="G518" s="5" t="inlineStr">
        <is>
          <t>IP and Trial Supplies</t>
        </is>
      </c>
      <c r="H518" s="5" t="inlineStr">
        <is>
          <t>IP Documentation</t>
        </is>
      </c>
      <c r="I518" s="5" t="inlineStr">
        <is>
          <t>IP Destruction Form</t>
        </is>
      </c>
      <c r="J518" s="5" t="inlineStr">
        <is>
          <t>IMP destruction form</t>
        </is>
      </c>
      <c r="K518" s="6" t="n">
        <v>77</v>
      </c>
      <c r="L518" s="7" t="n">
        <v>46009</v>
      </c>
      <c r="M518" s="11" t="n">
        <v>46086</v>
      </c>
      <c r="N518" s="5" t="inlineStr">
        <is>
          <t>Approved</t>
        </is>
      </c>
      <c r="O518" s="5" t="inlineStr">
        <is>
          <t>Site</t>
        </is>
      </c>
      <c r="P518" s="5" t="inlineStr">
        <is>
          <t>Italy</t>
        </is>
      </c>
      <c r="Q518" s="13" t="inlineStr">
        <is>
          <t>S10-IT10001</t>
        </is>
      </c>
      <c r="R518" s="5" t="inlineStr">
        <is>
          <t>Francesca Reversi</t>
        </is>
      </c>
      <c r="S518" s="8" t="n">
        <v>46086.46409722222</v>
      </c>
    </row>
    <row r="519" hidden="1" ht="29" customHeight="1">
      <c r="A519" s="15">
        <f>HYPERLINK("https://vtmf.veevavault.com/ui/#doc_info/31119934/1/0", "VTMF-25090364")</f>
        <v/>
      </c>
      <c r="B519" s="20" t="inlineStr">
        <is>
          <t>Yes</t>
        </is>
      </c>
      <c r="C519" s="5" t="inlineStr">
        <is>
          <t>1.0</t>
        </is>
      </c>
      <c r="D519" s="5" t="inlineStr">
        <is>
          <t>GCO</t>
        </is>
      </c>
      <c r="E519" s="5" t="inlineStr">
        <is>
          <t>42847922MDD3003</t>
        </is>
      </c>
      <c r="F519" s="16">
        <f>HYPERLINK("https://vtmf.veevavault.com/ui/#doc_info/31119934/1/0", "42847922MDD3003-ITA-S10-IT10001-Financial Disclosure Form-03 Jul 2025 (v1.0)")</f>
        <v/>
      </c>
      <c r="G519" s="5" t="inlineStr">
        <is>
          <t>Site Management</t>
        </is>
      </c>
      <c r="H519" s="5" t="inlineStr">
        <is>
          <t>Site Set-up Documentation</t>
        </is>
      </c>
      <c r="I519" s="5" t="inlineStr">
        <is>
          <t>Financial Disclosure Form</t>
        </is>
      </c>
      <c r="J519" s="5" t="inlineStr">
        <is>
          <t>FDF_Caldiroli</t>
        </is>
      </c>
      <c r="K519" s="6" t="n">
        <v>245</v>
      </c>
      <c r="L519" s="7" t="n">
        <v>45841</v>
      </c>
      <c r="M519" s="11" t="n">
        <v>46086</v>
      </c>
      <c r="N519" s="5" t="inlineStr">
        <is>
          <t>Approved</t>
        </is>
      </c>
      <c r="O519" s="5" t="inlineStr">
        <is>
          <t>Site</t>
        </is>
      </c>
      <c r="P519" s="5" t="inlineStr">
        <is>
          <t>Italy</t>
        </is>
      </c>
      <c r="Q519" s="13" t="inlineStr">
        <is>
          <t>S10-IT10001</t>
        </is>
      </c>
      <c r="R519" s="5" t="inlineStr">
        <is>
          <t>Francesca Reversi</t>
        </is>
      </c>
      <c r="S519" s="8" t="n">
        <v>46086.47206018519</v>
      </c>
    </row>
    <row r="520" hidden="1" ht="29" customHeight="1">
      <c r="A520" s="15">
        <f>HYPERLINK("https://vtmf.veevavault.com/ui/#doc_info/31121080/1/0", "VTMF-25091296")</f>
        <v/>
      </c>
      <c r="B520" s="20" t="inlineStr">
        <is>
          <t>Yes</t>
        </is>
      </c>
      <c r="C520" s="5" t="inlineStr">
        <is>
          <t>1.0</t>
        </is>
      </c>
      <c r="D520" s="5" t="inlineStr">
        <is>
          <t>GCO</t>
        </is>
      </c>
      <c r="E520" s="5" t="inlineStr">
        <is>
          <t>42847922MDD3003</t>
        </is>
      </c>
      <c r="F520" s="16">
        <f>HYPERLINK("https://vtmf.veevavault.com/ui/#doc_info/31121080/1/0", "42847922MDD3003-TUR-S10-TR10002-On-site Drug Inventory and Reconciliation Form-20 Nov 2025 (v1.0)")</f>
        <v/>
      </c>
      <c r="G520" s="5" t="inlineStr">
        <is>
          <t>IP and Trial Supplies</t>
        </is>
      </c>
      <c r="H520" s="5" t="inlineStr">
        <is>
          <t>IP Documentation</t>
        </is>
      </c>
      <c r="I520" s="5" t="inlineStr">
        <is>
          <t>On-site Drug Inventory and Reconciliation Form</t>
        </is>
      </c>
      <c r="J520" s="5" t="inlineStr">
        <is>
          <t>On-Site Drug Inventory and Accountability Details Form</t>
        </is>
      </c>
      <c r="K520" s="6" t="n">
        <v>105</v>
      </c>
      <c r="L520" s="7" t="n">
        <v>45981</v>
      </c>
      <c r="M520" s="11" t="n">
        <v>46086</v>
      </c>
      <c r="N520" s="5" t="inlineStr">
        <is>
          <t>Approved</t>
        </is>
      </c>
      <c r="O520" s="5" t="inlineStr">
        <is>
          <t>Site</t>
        </is>
      </c>
      <c r="P520" s="5" t="inlineStr">
        <is>
          <t>Türkiye</t>
        </is>
      </c>
      <c r="Q520" s="13" t="inlineStr">
        <is>
          <t>S10-TR10002</t>
        </is>
      </c>
      <c r="R520" s="5" t="inlineStr">
        <is>
          <t>Ezgi Ozcelik</t>
        </is>
      </c>
      <c r="S520" s="8" t="n">
        <v>46086.62210648148</v>
      </c>
    </row>
    <row r="521" hidden="1" ht="43.5" customHeight="1">
      <c r="A521" s="15">
        <f>HYPERLINK("https://vtmf.veevavault.com/ui/#doc_info/31122687/1/0", "VTMF-25092694")</f>
        <v/>
      </c>
      <c r="B521" s="20" t="inlineStr">
        <is>
          <t>Yes</t>
        </is>
      </c>
      <c r="C521" s="5" t="inlineStr">
        <is>
          <t>1.0</t>
        </is>
      </c>
      <c r="D521" s="5" t="inlineStr">
        <is>
          <t>GCO</t>
        </is>
      </c>
      <c r="E521" s="5" t="inlineStr">
        <is>
          <t>42847922MDD3003</t>
        </is>
      </c>
      <c r="F521" s="16">
        <f>HYPERLINK("https://vtmf.veevavault.com/ui/#doc_info/31122687/1/0", "42847922MDD3003-USA-S10-US10218-Relevant Communications-23 Dec 2025 (v1.0)")</f>
        <v/>
      </c>
      <c r="G521" s="5" t="inlineStr">
        <is>
          <t>Site Management</t>
        </is>
      </c>
      <c r="H521" s="5" t="inlineStr">
        <is>
          <t>General</t>
        </is>
      </c>
      <c r="I521" s="5" t="inlineStr">
        <is>
          <t>Relevant Communications</t>
        </is>
      </c>
      <c r="J521" s="5" t="inlineStr">
        <is>
          <t>PI_ Mohammad Asim Nisar_ Site_S10-US10218_Subject_US102180025_IQVIA Eligibility Review_ Approved</t>
        </is>
      </c>
      <c r="K521" s="6" t="n">
        <v>72</v>
      </c>
      <c r="L521" s="7" t="n">
        <v>46014</v>
      </c>
      <c r="M521" s="11" t="n">
        <v>46086</v>
      </c>
      <c r="N521" s="5" t="inlineStr">
        <is>
          <t>Approved</t>
        </is>
      </c>
      <c r="O521" s="5" t="inlineStr">
        <is>
          <t>Site</t>
        </is>
      </c>
      <c r="P521" s="5" t="inlineStr">
        <is>
          <t>United States</t>
        </is>
      </c>
      <c r="Q521" s="13" t="inlineStr">
        <is>
          <t>S10-US10218</t>
        </is>
      </c>
      <c r="R521" s="5" t="inlineStr">
        <is>
          <t>Gina Stefanelli</t>
        </is>
      </c>
      <c r="S521" s="8" t="n">
        <v>46086.76396990741</v>
      </c>
    </row>
    <row r="522" hidden="1" ht="43.5" customHeight="1">
      <c r="A522" s="15">
        <f>HYPERLINK("https://vtmf.veevavault.com/ui/#doc_info/31122810/1/0", "VTMF-25092721")</f>
        <v/>
      </c>
      <c r="B522" s="20" t="inlineStr">
        <is>
          <t>Yes</t>
        </is>
      </c>
      <c r="C522" s="5" t="inlineStr">
        <is>
          <t>1.0</t>
        </is>
      </c>
      <c r="D522" s="5" t="inlineStr">
        <is>
          <t>GCO</t>
        </is>
      </c>
      <c r="E522" s="5" t="inlineStr">
        <is>
          <t>42847922MDD3003</t>
        </is>
      </c>
      <c r="F522" s="16">
        <f>HYPERLINK("https://vtmf.veevavault.com/ui/#doc_info/31122810/1/0", "42847922MDD3003-USA-S10-US10172-Relevant Communications-17 Dec 2025 (v1.0)")</f>
        <v/>
      </c>
      <c r="G522" s="5" t="inlineStr">
        <is>
          <t>Site Management</t>
        </is>
      </c>
      <c r="H522" s="5" t="inlineStr">
        <is>
          <t>General</t>
        </is>
      </c>
      <c r="I522" s="5" t="inlineStr">
        <is>
          <t>Relevant Communications</t>
        </is>
      </c>
      <c r="J522" s="5" t="inlineStr">
        <is>
          <t>PI_German Alvarez_ Site_S10-US10172_Subject_US101720021_IQVIA Eligibility Review_ Approved</t>
        </is>
      </c>
      <c r="K522" s="6" t="n">
        <v>78</v>
      </c>
      <c r="L522" s="7" t="n">
        <v>46008</v>
      </c>
      <c r="M522" s="11" t="n">
        <v>46086</v>
      </c>
      <c r="N522" s="5" t="inlineStr">
        <is>
          <t>Approved</t>
        </is>
      </c>
      <c r="O522" s="5" t="inlineStr">
        <is>
          <t>Site</t>
        </is>
      </c>
      <c r="P522" s="5" t="inlineStr">
        <is>
          <t>United States</t>
        </is>
      </c>
      <c r="Q522" s="13" t="inlineStr">
        <is>
          <t>S10-US10172</t>
        </is>
      </c>
      <c r="R522" s="5" t="inlineStr">
        <is>
          <t>Gina Stefanelli</t>
        </is>
      </c>
      <c r="S522" s="8" t="n">
        <v>46086.76688657407</v>
      </c>
    </row>
    <row r="523" hidden="1" ht="43.5" customHeight="1">
      <c r="A523" s="15">
        <f>HYPERLINK("https://vtmf.veevavault.com/ui/#doc_info/31122931/1/0", "VTMF-25092790")</f>
        <v/>
      </c>
      <c r="B523" s="20" t="inlineStr">
        <is>
          <t>Yes</t>
        </is>
      </c>
      <c r="C523" s="5" t="inlineStr">
        <is>
          <t>1.0</t>
        </is>
      </c>
      <c r="D523" s="5" t="inlineStr">
        <is>
          <t>GCO</t>
        </is>
      </c>
      <c r="E523" s="5" t="inlineStr">
        <is>
          <t>42847922MDD3003</t>
        </is>
      </c>
      <c r="F523" s="16">
        <f>HYPERLINK("https://vtmf.veevavault.com/ui/#doc_info/31122931/1/0", "42847922MDD3003-BRA-S10-BR10007-Relevant Communications-08 Jan 2026 (v1.0)")</f>
        <v/>
      </c>
      <c r="G523" s="5" t="inlineStr">
        <is>
          <t>Site Management</t>
        </is>
      </c>
      <c r="H523" s="5" t="inlineStr">
        <is>
          <t>General</t>
        </is>
      </c>
      <c r="I523" s="5" t="inlineStr">
        <is>
          <t>Relevant Communications</t>
        </is>
      </c>
      <c r="J523" s="5" t="inlineStr">
        <is>
          <t>Notification: Critical:J&amp;J_42847922MDD3003_PI: Dr. Emerson Nunes M.D._Site: BR10007 (Brazil)_Subject ID: BR100070019_Visit: Retest_ Alert-Creatinine Kinase</t>
        </is>
      </c>
      <c r="K523" s="6" t="n">
        <v>56</v>
      </c>
      <c r="L523" s="7" t="n">
        <v>46030</v>
      </c>
      <c r="M523" s="11" t="n">
        <v>46086</v>
      </c>
      <c r="N523" s="5" t="inlineStr">
        <is>
          <t>Approved</t>
        </is>
      </c>
      <c r="O523" s="5" t="inlineStr">
        <is>
          <t>Site</t>
        </is>
      </c>
      <c r="P523" s="5" t="inlineStr">
        <is>
          <t>Brazil</t>
        </is>
      </c>
      <c r="Q523" s="13" t="inlineStr">
        <is>
          <t>S10-BR10007</t>
        </is>
      </c>
      <c r="R523" s="5" t="inlineStr">
        <is>
          <t>Gina Stefanelli</t>
        </is>
      </c>
      <c r="S523" s="8" t="n">
        <v>46086.77484953704</v>
      </c>
    </row>
    <row r="524" hidden="1" ht="58" customHeight="1">
      <c r="A524" s="15">
        <f>HYPERLINK("https://vtmf.veevavault.com/ui/#doc_info/31122879/1/0", "VTMF-25092843")</f>
        <v/>
      </c>
      <c r="B524" s="20" t="inlineStr">
        <is>
          <t>Yes</t>
        </is>
      </c>
      <c r="C524" s="5" t="inlineStr">
        <is>
          <t>1.0</t>
        </is>
      </c>
      <c r="D524" s="5" t="inlineStr">
        <is>
          <t>GCO</t>
        </is>
      </c>
      <c r="E524" s="5" t="inlineStr">
        <is>
          <t>42847922MDD3003</t>
        </is>
      </c>
      <c r="F524" s="16">
        <f>HYPERLINK("https://vtmf.veevavault.com/ui/#doc_info/31122879/1/0", "42847922MDD3003-ARG-S10-AR10010-Relevant Communications-18 Dec 2025 (v1.0)")</f>
        <v/>
      </c>
      <c r="G524" s="5" t="inlineStr">
        <is>
          <t>Site Management</t>
        </is>
      </c>
      <c r="H524" s="5" t="inlineStr">
        <is>
          <t>General</t>
        </is>
      </c>
      <c r="I524" s="5" t="inlineStr">
        <is>
          <t>Relevant Communications</t>
        </is>
      </c>
      <c r="J524" s="5" t="inlineStr">
        <is>
          <t>Non-Critical_JANSSEN_42847922MDD3003_PI: Dr. Hernan David Ruggeri M.D._Site: AR10010(Argentina)_Subject ID: AR100100008/F _Part 2 DB Week 13 _Alert: Triglycerides</t>
        </is>
      </c>
      <c r="K524" s="6" t="n">
        <v>77</v>
      </c>
      <c r="L524" s="7" t="n">
        <v>46009</v>
      </c>
      <c r="M524" s="11" t="n">
        <v>46086</v>
      </c>
      <c r="N524" s="5" t="inlineStr">
        <is>
          <t>Approved</t>
        </is>
      </c>
      <c r="O524" s="5" t="inlineStr">
        <is>
          <t>Site</t>
        </is>
      </c>
      <c r="P524" s="5" t="inlineStr">
        <is>
          <t>Argentina</t>
        </is>
      </c>
      <c r="Q524" s="13" t="inlineStr">
        <is>
          <t>S10-AR10010</t>
        </is>
      </c>
      <c r="R524" s="5" t="inlineStr">
        <is>
          <t>Gina Stefanelli</t>
        </is>
      </c>
      <c r="S524" s="8" t="n">
        <v>46086.78268518519</v>
      </c>
    </row>
    <row r="525" hidden="1" ht="43.5" customHeight="1">
      <c r="A525" s="15">
        <f>HYPERLINK("https://vtmf.veevavault.com/ui/#doc_info/31122962/1/0", "VTMF-25092860")</f>
        <v/>
      </c>
      <c r="B525" s="20" t="inlineStr">
        <is>
          <t>Yes</t>
        </is>
      </c>
      <c r="C525" s="5" t="inlineStr">
        <is>
          <t>1.0</t>
        </is>
      </c>
      <c r="D525" s="5" t="inlineStr">
        <is>
          <t>GCO</t>
        </is>
      </c>
      <c r="E525" s="5" t="inlineStr">
        <is>
          <t>42847922MDD3003</t>
        </is>
      </c>
      <c r="F525" s="16">
        <f>HYPERLINK("https://vtmf.veevavault.com/ui/#doc_info/31122962/1/0", "42847922MDD3003-BRA-S10-BR10002-Relevant Communications-02 Jan 2026 (v1.0)")</f>
        <v/>
      </c>
      <c r="G525" s="5" t="inlineStr">
        <is>
          <t>Site Management</t>
        </is>
      </c>
      <c r="H525" s="5" t="inlineStr">
        <is>
          <t>General</t>
        </is>
      </c>
      <c r="I525" s="5" t="inlineStr">
        <is>
          <t>Relevant Communications</t>
        </is>
      </c>
      <c r="J525" s="5" t="inlineStr">
        <is>
          <t>PI_ Dr_ Sandra Ruschel M_D__Site_ BR10002 (Brazil)_Subject ID_ BR100020030_Visit_ Part 2 OL Induction Day 29_Alert-Low Neutrophil Absolute</t>
        </is>
      </c>
      <c r="K525" s="6" t="n">
        <v>62</v>
      </c>
      <c r="L525" s="7" t="n">
        <v>46024</v>
      </c>
      <c r="M525" s="11" t="n">
        <v>46086</v>
      </c>
      <c r="N525" s="5" t="inlineStr">
        <is>
          <t>Approved</t>
        </is>
      </c>
      <c r="O525" s="5" t="inlineStr">
        <is>
          <t>Site</t>
        </is>
      </c>
      <c r="P525" s="5" t="inlineStr">
        <is>
          <t>Brazil</t>
        </is>
      </c>
      <c r="Q525" s="13" t="inlineStr">
        <is>
          <t>S10-BR10002</t>
        </is>
      </c>
      <c r="R525" s="5" t="inlineStr">
        <is>
          <t>Gina Stefanelli</t>
        </is>
      </c>
      <c r="S525" s="8" t="n">
        <v>46086.7853125</v>
      </c>
    </row>
    <row r="526" hidden="1" ht="29" customHeight="1">
      <c r="A526" s="15">
        <f>HYPERLINK("https://vtmf.veevavault.com/ui/#doc_info/31124710/1/0", "VTMF-25094132")</f>
        <v/>
      </c>
      <c r="B526" s="19" t="inlineStr">
        <is>
          <t>No</t>
        </is>
      </c>
      <c r="C526" s="5" t="inlineStr">
        <is>
          <t>1.0</t>
        </is>
      </c>
      <c r="D526" s="5" t="inlineStr">
        <is>
          <t>GCO</t>
        </is>
      </c>
      <c r="E526" s="5" t="inlineStr">
        <is>
          <t>42847922MDD3003</t>
        </is>
      </c>
      <c r="F526" s="16">
        <f>HYPERLINK("https://vtmf.veevavault.com/ui/#doc_info/31124710/1/0", "42847922MDD3003-COL-S10-CO10003-IRB/IEC GCP Compliance Statement-02 Aug 2025 (v1.0)")</f>
        <v/>
      </c>
      <c r="G526" s="5" t="inlineStr">
        <is>
          <t>IRB/IEC and other Approvals</t>
        </is>
      </c>
      <c r="H526" s="5" t="inlineStr">
        <is>
          <t>IRB/IEC Trial Approval</t>
        </is>
      </c>
      <c r="I526" s="5" t="inlineStr">
        <is>
          <t>IRB/IEC GCP Compliance Statement</t>
        </is>
      </c>
      <c r="J526" s="5" t="inlineStr">
        <is>
          <t>EC operating procedures V06 dated 02 Aug 2025</t>
        </is>
      </c>
      <c r="K526" s="6" t="n">
        <v>215</v>
      </c>
      <c r="L526" s="7" t="n">
        <v>45871</v>
      </c>
      <c r="M526" s="11" t="n">
        <v>46086</v>
      </c>
      <c r="N526" s="5" t="inlineStr">
        <is>
          <t>Approved</t>
        </is>
      </c>
      <c r="O526" s="5" t="inlineStr">
        <is>
          <t>Site</t>
        </is>
      </c>
      <c r="P526" s="5" t="inlineStr">
        <is>
          <t>Colombia</t>
        </is>
      </c>
      <c r="Q526" s="13" t="inlineStr">
        <is>
          <t>S10-CO10003</t>
        </is>
      </c>
      <c r="R526" s="5" t="inlineStr">
        <is>
          <t>Monica Romero</t>
        </is>
      </c>
      <c r="S526" s="8" t="n">
        <v>46086.95842592593</v>
      </c>
    </row>
    <row r="527" hidden="1" ht="29" customHeight="1">
      <c r="A527" s="15">
        <f>HYPERLINK("https://vtmf.veevavault.com/ui/#doc_info/31129021/1/0", "VTMF-25098023")</f>
        <v/>
      </c>
      <c r="B527" s="20" t="inlineStr">
        <is>
          <t>Yes</t>
        </is>
      </c>
      <c r="C527" s="5" t="inlineStr">
        <is>
          <t>1.0</t>
        </is>
      </c>
      <c r="D527" s="5" t="inlineStr">
        <is>
          <t>GCO</t>
        </is>
      </c>
      <c r="E527" s="5" t="inlineStr">
        <is>
          <t>42847922MDD3003</t>
        </is>
      </c>
      <c r="F527" s="16">
        <f>HYPERLINK("https://vtmf.veevavault.com/ui/#doc_info/31129021/1/0", "42847922MDD3003-ESP-S10-ES10003-Relevant Communications-09 Jan 2026 (v1.0)")</f>
        <v/>
      </c>
      <c r="G527" s="5" t="inlineStr">
        <is>
          <t>Site Management</t>
        </is>
      </c>
      <c r="H527" s="5" t="inlineStr">
        <is>
          <t>General</t>
        </is>
      </c>
      <c r="I527" s="5" t="inlineStr">
        <is>
          <t>Relevant Communications</t>
        </is>
      </c>
      <c r="J527" s="5" t="inlineStr">
        <is>
          <t>Approval unused tablets_Dispensing Stock Out Alert for subject ES100030001_ Site S10-ES10003_</t>
        </is>
      </c>
      <c r="K527" s="6" t="n">
        <v>56</v>
      </c>
      <c r="L527" s="7" t="n">
        <v>46031</v>
      </c>
      <c r="M527" s="11" t="n">
        <v>46087</v>
      </c>
      <c r="N527" s="5" t="inlineStr">
        <is>
          <t>Approved</t>
        </is>
      </c>
      <c r="O527" s="5" t="inlineStr">
        <is>
          <t>Site</t>
        </is>
      </c>
      <c r="P527" s="5" t="inlineStr">
        <is>
          <t>Spain</t>
        </is>
      </c>
      <c r="Q527" s="13" t="inlineStr">
        <is>
          <t>S10-ES10003</t>
        </is>
      </c>
      <c r="R527" s="5" t="inlineStr">
        <is>
          <t>Paula Velasco</t>
        </is>
      </c>
      <c r="S527" s="8" t="n">
        <v>46087.51417824074</v>
      </c>
    </row>
    <row r="528" hidden="1" ht="29" customHeight="1">
      <c r="A528" s="15">
        <f>HYPERLINK("https://vtmf.veevavault.com/ui/#doc_info/31129352/1/0", "VTMF-25098213")</f>
        <v/>
      </c>
      <c r="B528" s="19" t="inlineStr">
        <is>
          <t>No</t>
        </is>
      </c>
      <c r="C528" s="5" t="inlineStr">
        <is>
          <t>1.0</t>
        </is>
      </c>
      <c r="D528" s="5" t="inlineStr">
        <is>
          <t>GCO</t>
        </is>
      </c>
      <c r="E528" s="5" t="inlineStr">
        <is>
          <t>42847922MDD3003</t>
        </is>
      </c>
      <c r="F528" s="16">
        <f>HYPERLINK("https://vtmf.veevavault.com/ui/#doc_info/31129352/1/0", "42847922MDD3003-PRT-S10-PT10010-Sub-Investigator Curriculum Vitae-21 May 2025 (v1.0)")</f>
        <v/>
      </c>
      <c r="G528" s="5" t="inlineStr">
        <is>
          <t>Site Management</t>
        </is>
      </c>
      <c r="H528" s="5" t="inlineStr">
        <is>
          <t>Site Set-up Documentation</t>
        </is>
      </c>
      <c r="I528" s="5" t="inlineStr">
        <is>
          <t>Sub-Investigator Curriculum Vitae</t>
        </is>
      </c>
      <c r="J528" s="5" t="inlineStr">
        <is>
          <t>Sub-I CV_Portuguese_Simões, I_Initial</t>
        </is>
      </c>
      <c r="K528" s="6" t="n">
        <v>289</v>
      </c>
      <c r="L528" s="7" t="n">
        <v>45798</v>
      </c>
      <c r="M528" s="11" t="n">
        <v>46087</v>
      </c>
      <c r="N528" s="5" t="inlineStr">
        <is>
          <t>Approved</t>
        </is>
      </c>
      <c r="O528" s="5" t="inlineStr">
        <is>
          <t>Site</t>
        </is>
      </c>
      <c r="P528" s="5" t="inlineStr">
        <is>
          <t>Portugal</t>
        </is>
      </c>
      <c r="Q528" s="13" t="inlineStr">
        <is>
          <t>S10-PT10010</t>
        </is>
      </c>
      <c r="R528" s="5" t="inlineStr">
        <is>
          <t>Ruben Ayora</t>
        </is>
      </c>
      <c r="S528" s="8" t="n">
        <v>46087.53819444445</v>
      </c>
    </row>
    <row r="529" hidden="1" ht="29" customHeight="1">
      <c r="A529" s="15">
        <f>HYPERLINK("https://vtmf.veevavault.com/ui/#doc_info/31130043/1/0", "VTMF-25098806")</f>
        <v/>
      </c>
      <c r="B529" s="19" t="inlineStr">
        <is>
          <t>No</t>
        </is>
      </c>
      <c r="C529" s="5" t="inlineStr">
        <is>
          <t>1.0</t>
        </is>
      </c>
      <c r="D529" s="5" t="inlineStr">
        <is>
          <t>GCO</t>
        </is>
      </c>
      <c r="E529" s="5" t="inlineStr">
        <is>
          <t>42847922MDD3003</t>
        </is>
      </c>
      <c r="F529" s="16">
        <f>HYPERLINK("https://vtmf.veevavault.com/ui/#doc_info/31130043/1/0", "42847922MDD3003-POL-S10-PL10011-Non-IP Shipment Documentation-30 Dec 2025 (v1.0)")</f>
        <v/>
      </c>
      <c r="G529" s="5" t="inlineStr">
        <is>
          <t>IP and Trial Supplies</t>
        </is>
      </c>
      <c r="H529" s="5" t="inlineStr">
        <is>
          <t>Non-IP Documentation</t>
        </is>
      </c>
      <c r="I529" s="5" t="inlineStr">
        <is>
          <t>Non-IP Shipment Documentation</t>
        </is>
      </c>
      <c r="J529" s="5" t="inlineStr">
        <is>
          <t>NIPSF_Patient`s materials: ICF, diaries, binders and scales_30Dec2025</t>
        </is>
      </c>
      <c r="K529" s="6" t="n">
        <v>66</v>
      </c>
      <c r="L529" s="7" t="n">
        <v>46021</v>
      </c>
      <c r="M529" s="11" t="n">
        <v>46087</v>
      </c>
      <c r="N529" s="5" t="inlineStr">
        <is>
          <t>Superseded</t>
        </is>
      </c>
      <c r="O529" s="5" t="inlineStr">
        <is>
          <t>Site</t>
        </is>
      </c>
      <c r="P529" s="5" t="inlineStr">
        <is>
          <t>Poland</t>
        </is>
      </c>
      <c r="Q529" s="13" t="inlineStr">
        <is>
          <t>S10-PL10011</t>
        </is>
      </c>
      <c r="R529" s="5" t="inlineStr">
        <is>
          <t>Agnieszka Smolewska</t>
        </is>
      </c>
      <c r="S529" s="8" t="n">
        <v>46087.61327546297</v>
      </c>
    </row>
    <row r="530" hidden="1" ht="29" customHeight="1">
      <c r="A530" s="15">
        <f>HYPERLINK("https://vtmf.veevavault.com/ui/#doc_info/31131853/1/0", "VTMF-25100190")</f>
        <v/>
      </c>
      <c r="B530" s="19" t="inlineStr">
        <is>
          <t>No</t>
        </is>
      </c>
      <c r="C530" s="5" t="inlineStr">
        <is>
          <t>1.0</t>
        </is>
      </c>
      <c r="D530" s="5" t="inlineStr">
        <is>
          <t>GCO</t>
        </is>
      </c>
      <c r="E530" s="5" t="inlineStr">
        <is>
          <t>42847922MDD3003, 42847922MDD3011</t>
        </is>
      </c>
      <c r="F530" s="16">
        <f>HYPERLINK("https://vtmf.veevavault.com/ui/#doc_info/31131853/1/0", "42847922MDD3003-USA-S10-US10084-Sub-Investigator Curriculum Vitae-20 Mar 2024 (v1.0)")</f>
        <v/>
      </c>
      <c r="G530" s="5" t="inlineStr">
        <is>
          <t>Site Management</t>
        </is>
      </c>
      <c r="H530" s="5" t="inlineStr">
        <is>
          <t>Site Set-up Documentation</t>
        </is>
      </c>
      <c r="I530" s="5" t="inlineStr">
        <is>
          <t>Sub-Investigator Curriculum Vitae</t>
        </is>
      </c>
      <c r="J530" s="5" t="inlineStr">
        <is>
          <t>Sub I CV_English_Swedberg, P_Initial</t>
        </is>
      </c>
      <c r="K530" s="6" t="n">
        <v>716</v>
      </c>
      <c r="L530" s="7" t="n">
        <v>45371</v>
      </c>
      <c r="M530" s="11" t="n">
        <v>46087</v>
      </c>
      <c r="N530" s="5" t="inlineStr">
        <is>
          <t>Approved</t>
        </is>
      </c>
      <c r="O530" s="5" t="inlineStr">
        <is>
          <t>Site</t>
        </is>
      </c>
      <c r="P530" s="5" t="inlineStr">
        <is>
          <t>United States, United States</t>
        </is>
      </c>
      <c r="Q530" s="13" t="inlineStr">
        <is>
          <t>DG1-US10037, S10-US10084</t>
        </is>
      </c>
      <c r="R530" s="5" t="inlineStr">
        <is>
          <t>Donna Koenig</t>
        </is>
      </c>
      <c r="S530" s="8" t="n">
        <v>46087.78760416667</v>
      </c>
    </row>
    <row r="531" hidden="1" ht="29" customHeight="1">
      <c r="A531" s="15">
        <f>HYPERLINK("https://vtmf.veevavault.com/ui/#doc_info/31136888/1/0", "VTMF-25104614")</f>
        <v/>
      </c>
      <c r="B531" s="20" t="inlineStr">
        <is>
          <t>Yes</t>
        </is>
      </c>
      <c r="C531" s="5" t="inlineStr">
        <is>
          <t>1.0</t>
        </is>
      </c>
      <c r="D531" s="5" t="inlineStr">
        <is>
          <t>GCO</t>
        </is>
      </c>
      <c r="E531" s="5" t="inlineStr">
        <is>
          <t>42847922MDD3003</t>
        </is>
      </c>
      <c r="F531" s="16">
        <f>HYPERLINK("https://vtmf.veevavault.com/ui/#doc_info/31136888/1/0", "42847922MDD3003-PRT-S10-PT10008-Relevant Communications-21 Jan 2026 (v1.0)")</f>
        <v/>
      </c>
      <c r="G531" s="5" t="inlineStr">
        <is>
          <t>Site Management</t>
        </is>
      </c>
      <c r="H531" s="5" t="inlineStr">
        <is>
          <t>General</t>
        </is>
      </c>
      <c r="I531" s="5" t="inlineStr">
        <is>
          <t>Relevant Communications</t>
        </is>
      </c>
      <c r="J531" s="5" t="inlineStr">
        <is>
          <t>Email_New Mandatory Protocol Training - Protocol Amendment 2 Training V4.0</t>
        </is>
      </c>
      <c r="K531" s="6" t="n">
        <v>47</v>
      </c>
      <c r="L531" s="7" t="n">
        <v>46043</v>
      </c>
      <c r="M531" s="11" t="n">
        <v>46090</v>
      </c>
      <c r="N531" s="5" t="inlineStr">
        <is>
          <t>Approved</t>
        </is>
      </c>
      <c r="O531" s="5" t="inlineStr">
        <is>
          <t>Site</t>
        </is>
      </c>
      <c r="P531" s="5" t="inlineStr">
        <is>
          <t>Portugal</t>
        </is>
      </c>
      <c r="Q531" s="13" t="inlineStr">
        <is>
          <t>S10-PT10008</t>
        </is>
      </c>
      <c r="R531" s="5" t="inlineStr">
        <is>
          <t>Ruben Ayora</t>
        </is>
      </c>
      <c r="S531" s="8" t="n">
        <v>46090.34724537037</v>
      </c>
    </row>
    <row r="532" hidden="1" ht="29" customHeight="1">
      <c r="A532" s="15">
        <f>HYPERLINK("https://vtmf.veevavault.com/ui/#doc_info/31131265/1/0", "VTMF-25108376")</f>
        <v/>
      </c>
      <c r="B532" s="19" t="inlineStr">
        <is>
          <t>No</t>
        </is>
      </c>
      <c r="C532" s="5" t="inlineStr">
        <is>
          <t>1.0</t>
        </is>
      </c>
      <c r="D532" s="5" t="inlineStr">
        <is>
          <t>GCO</t>
        </is>
      </c>
      <c r="E532" s="5" t="inlineStr">
        <is>
          <t>42847922MDD3003</t>
        </is>
      </c>
      <c r="F532" s="16">
        <f>HYPERLINK("https://vtmf.veevavault.com/ui/#doc_info/31131265/1/0", "42847922MDD3003-USA-S10-US10007-IP Destruction Form-30 Jan 2026 (v1.0)")</f>
        <v/>
      </c>
      <c r="G532" s="5" t="inlineStr">
        <is>
          <t>IP and Trial Supplies</t>
        </is>
      </c>
      <c r="H532" s="5" t="inlineStr">
        <is>
          <t>IP Documentation</t>
        </is>
      </c>
      <c r="I532" s="5" t="inlineStr">
        <is>
          <t>IP Destruction Form</t>
        </is>
      </c>
      <c r="J532" s="5" t="inlineStr">
        <is>
          <t>IPDF</t>
        </is>
      </c>
      <c r="K532" s="6" t="n">
        <v>38</v>
      </c>
      <c r="L532" s="7" t="n">
        <v>46052</v>
      </c>
      <c r="M532" s="11" t="n">
        <v>46090</v>
      </c>
      <c r="N532" s="5" t="inlineStr">
        <is>
          <t>Approved</t>
        </is>
      </c>
      <c r="O532" s="5" t="inlineStr">
        <is>
          <t>Site</t>
        </is>
      </c>
      <c r="P532" s="5" t="inlineStr">
        <is>
          <t>United States</t>
        </is>
      </c>
      <c r="Q532" s="13" t="inlineStr">
        <is>
          <t>S10-US10007</t>
        </is>
      </c>
      <c r="R532" s="5" t="inlineStr">
        <is>
          <t>Juliet Leshner</t>
        </is>
      </c>
      <c r="S532" s="8" t="n">
        <v>46087.72078703704</v>
      </c>
    </row>
    <row r="533" hidden="1" ht="29" customHeight="1">
      <c r="A533" s="15">
        <f>HYPERLINK("https://vtmf.veevavault.com/ui/#doc_info/31131267/1/0", "VTMF-25108378")</f>
        <v/>
      </c>
      <c r="B533" s="19" t="inlineStr">
        <is>
          <t>No</t>
        </is>
      </c>
      <c r="C533" s="5" t="inlineStr">
        <is>
          <t>1.0</t>
        </is>
      </c>
      <c r="D533" s="5" t="inlineStr">
        <is>
          <t>GCO</t>
        </is>
      </c>
      <c r="E533" s="5" t="inlineStr">
        <is>
          <t>42847922MDD3003</t>
        </is>
      </c>
      <c r="F533" s="16">
        <f>HYPERLINK("https://vtmf.veevavault.com/ui/#doc_info/31131267/1/0", "42847922MDD3003-USA-S10-US10064-IP Destruction Form-06 Feb 2026 (v1.0)")</f>
        <v/>
      </c>
      <c r="G533" s="5" t="inlineStr">
        <is>
          <t>IP and Trial Supplies</t>
        </is>
      </c>
      <c r="H533" s="5" t="inlineStr">
        <is>
          <t>IP Documentation</t>
        </is>
      </c>
      <c r="I533" s="5" t="inlineStr">
        <is>
          <t>IP Destruction Form</t>
        </is>
      </c>
      <c r="J533" s="5" t="inlineStr">
        <is>
          <t>IPDF</t>
        </is>
      </c>
      <c r="K533" s="6" t="n">
        <v>31</v>
      </c>
      <c r="L533" s="7" t="n">
        <v>46059</v>
      </c>
      <c r="M533" s="11" t="n">
        <v>46090</v>
      </c>
      <c r="N533" s="5" t="inlineStr">
        <is>
          <t>Approved</t>
        </is>
      </c>
      <c r="O533" s="5" t="inlineStr">
        <is>
          <t>Site</t>
        </is>
      </c>
      <c r="P533" s="5" t="inlineStr">
        <is>
          <t>United States</t>
        </is>
      </c>
      <c r="Q533" s="13" t="inlineStr">
        <is>
          <t>S10-US10064</t>
        </is>
      </c>
      <c r="R533" s="5" t="inlineStr">
        <is>
          <t>Juliet Leshner</t>
        </is>
      </c>
      <c r="S533" s="8" t="n">
        <v>46087.72081018519</v>
      </c>
    </row>
    <row r="534" hidden="1" ht="29" customHeight="1">
      <c r="A534" s="15">
        <f>HYPERLINK("https://vtmf.veevavault.com/ui/#doc_info/31131264/1/0", "VTMF-25108590")</f>
        <v/>
      </c>
      <c r="B534" s="19" t="inlineStr">
        <is>
          <t>No</t>
        </is>
      </c>
      <c r="C534" s="5" t="inlineStr">
        <is>
          <t>1.0</t>
        </is>
      </c>
      <c r="D534" s="5" t="inlineStr">
        <is>
          <t>GCO</t>
        </is>
      </c>
      <c r="E534" s="5" t="inlineStr">
        <is>
          <t>42847922MDD3003</t>
        </is>
      </c>
      <c r="F534" s="16">
        <f>HYPERLINK("https://vtmf.veevavault.com/ui/#doc_info/31131264/1/0", "42847922MDD3003-USA-S10-US10091-IP Destruction Form-30 Jan 2026 (v1.0)")</f>
        <v/>
      </c>
      <c r="G534" s="5" t="inlineStr">
        <is>
          <t>IP and Trial Supplies</t>
        </is>
      </c>
      <c r="H534" s="5" t="inlineStr">
        <is>
          <t>IP Documentation</t>
        </is>
      </c>
      <c r="I534" s="5" t="inlineStr">
        <is>
          <t>IP Destruction Form</t>
        </is>
      </c>
      <c r="J534" s="5" t="inlineStr">
        <is>
          <t>IPDF</t>
        </is>
      </c>
      <c r="K534" s="6" t="n">
        <v>38</v>
      </c>
      <c r="L534" s="7" t="n">
        <v>46052</v>
      </c>
      <c r="M534" s="11" t="n">
        <v>46090</v>
      </c>
      <c r="N534" s="5" t="inlineStr">
        <is>
          <t>Approved</t>
        </is>
      </c>
      <c r="O534" s="5" t="inlineStr">
        <is>
          <t>Site</t>
        </is>
      </c>
      <c r="P534" s="5" t="inlineStr">
        <is>
          <t>United States</t>
        </is>
      </c>
      <c r="Q534" s="13" t="inlineStr">
        <is>
          <t>S10-US10091</t>
        </is>
      </c>
      <c r="R534" s="5" t="inlineStr">
        <is>
          <t>Juliet Leshner</t>
        </is>
      </c>
      <c r="S534" s="8" t="n">
        <v>46087.72078703704</v>
      </c>
    </row>
    <row r="535" hidden="1" ht="29" customHeight="1">
      <c r="A535" s="15">
        <f>HYPERLINK("https://vtmf.veevavault.com/ui/#doc_info/31131266/1/0", "VTMF-25108591")</f>
        <v/>
      </c>
      <c r="B535" s="19" t="inlineStr">
        <is>
          <t>No</t>
        </is>
      </c>
      <c r="C535" s="5" t="inlineStr">
        <is>
          <t>1.0</t>
        </is>
      </c>
      <c r="D535" s="5" t="inlineStr">
        <is>
          <t>GCO</t>
        </is>
      </c>
      <c r="E535" s="5" t="inlineStr">
        <is>
          <t>42847922MDD3003</t>
        </is>
      </c>
      <c r="F535" s="16">
        <f>HYPERLINK("https://vtmf.veevavault.com/ui/#doc_info/31131266/1/0", "42847922MDD3003-USA-S10-US10107-IP Destruction Form-06 Feb 2026 (v1.0)")</f>
        <v/>
      </c>
      <c r="G535" s="5" t="inlineStr">
        <is>
          <t>IP and Trial Supplies</t>
        </is>
      </c>
      <c r="H535" s="5" t="inlineStr">
        <is>
          <t>IP Documentation</t>
        </is>
      </c>
      <c r="I535" s="5" t="inlineStr">
        <is>
          <t>IP Destruction Form</t>
        </is>
      </c>
      <c r="J535" s="5" t="inlineStr">
        <is>
          <t>IPDF</t>
        </is>
      </c>
      <c r="K535" s="6" t="n">
        <v>31</v>
      </c>
      <c r="L535" s="7" t="n">
        <v>46059</v>
      </c>
      <c r="M535" s="11" t="n">
        <v>46090</v>
      </c>
      <c r="N535" s="5" t="inlineStr">
        <is>
          <t>Approved</t>
        </is>
      </c>
      <c r="O535" s="5" t="inlineStr">
        <is>
          <t>Site</t>
        </is>
      </c>
      <c r="P535" s="5" t="inlineStr">
        <is>
          <t>United States</t>
        </is>
      </c>
      <c r="Q535" s="13" t="inlineStr">
        <is>
          <t>S10-US10107</t>
        </is>
      </c>
      <c r="R535" s="5" t="inlineStr">
        <is>
          <t>Juliet Leshner</t>
        </is>
      </c>
      <c r="S535" s="8" t="n">
        <v>46087.72079861111</v>
      </c>
    </row>
    <row r="536" hidden="1" ht="29" customHeight="1">
      <c r="A536" s="15">
        <f>HYPERLINK("https://vtmf.veevavault.com/ui/#doc_info/31131263/1/0", "VTMF-25108595")</f>
        <v/>
      </c>
      <c r="B536" s="19" t="inlineStr">
        <is>
          <t>No</t>
        </is>
      </c>
      <c r="C536" s="5" t="inlineStr">
        <is>
          <t>1.0</t>
        </is>
      </c>
      <c r="D536" s="5" t="inlineStr">
        <is>
          <t>GCO</t>
        </is>
      </c>
      <c r="E536" s="5" t="inlineStr">
        <is>
          <t>42847922MDD3003</t>
        </is>
      </c>
      <c r="F536" s="16">
        <f>HYPERLINK("https://vtmf.veevavault.com/ui/#doc_info/31131263/1/0", "42847922MDD3003-USA-S10-US10190-IP Destruction Form-03 Feb 2026 (v1.0)")</f>
        <v/>
      </c>
      <c r="G536" s="5" t="inlineStr">
        <is>
          <t>IP and Trial Supplies</t>
        </is>
      </c>
      <c r="H536" s="5" t="inlineStr">
        <is>
          <t>IP Documentation</t>
        </is>
      </c>
      <c r="I536" s="5" t="inlineStr">
        <is>
          <t>IP Destruction Form</t>
        </is>
      </c>
      <c r="J536" s="5" t="inlineStr">
        <is>
          <t>IPDF</t>
        </is>
      </c>
      <c r="K536" s="6" t="n">
        <v>34</v>
      </c>
      <c r="L536" s="7" t="n">
        <v>46056</v>
      </c>
      <c r="M536" s="11" t="n">
        <v>46090</v>
      </c>
      <c r="N536" s="5" t="inlineStr">
        <is>
          <t>Approved</t>
        </is>
      </c>
      <c r="O536" s="5" t="inlineStr">
        <is>
          <t>Site</t>
        </is>
      </c>
      <c r="P536" s="5" t="inlineStr">
        <is>
          <t>United States</t>
        </is>
      </c>
      <c r="Q536" s="13" t="inlineStr">
        <is>
          <t>S10-US10190</t>
        </is>
      </c>
      <c r="R536" s="5" t="inlineStr">
        <is>
          <t>Juliet Leshner</t>
        </is>
      </c>
      <c r="S536" s="8" t="n">
        <v>46087.72078703704</v>
      </c>
    </row>
    <row r="537" hidden="1" ht="29" customHeight="1">
      <c r="A537" s="15">
        <f>HYPERLINK("https://vtmf.veevavault.com/ui/#doc_info/31146913/1/0", "VTMF-25112882")</f>
        <v/>
      </c>
      <c r="B537" s="19" t="inlineStr">
        <is>
          <t>No</t>
        </is>
      </c>
      <c r="C537" s="5" t="inlineStr">
        <is>
          <t>1.0</t>
        </is>
      </c>
      <c r="D537" s="5" t="inlineStr">
        <is>
          <t>GCO</t>
        </is>
      </c>
      <c r="E537" s="5" t="inlineStr">
        <is>
          <t>42847922MDD3003</t>
        </is>
      </c>
      <c r="F537" s="16">
        <f>HYPERLINK("https://vtmf.veevavault.com/ui/#doc_info/31146913/1/0", "42847922MDD3003-ROU-S10-RO10012-Sub-Investigator Curriculum Vitae-14 Apr 2025 (v1.0)")</f>
        <v/>
      </c>
      <c r="G537" s="5" t="inlineStr">
        <is>
          <t>Site Management</t>
        </is>
      </c>
      <c r="H537" s="5" t="inlineStr">
        <is>
          <t>Site Set-up Documentation</t>
        </is>
      </c>
      <c r="I537" s="5" t="inlineStr">
        <is>
          <t>Sub-Investigator Curriculum Vitae</t>
        </is>
      </c>
      <c r="J537" s="5" t="inlineStr">
        <is>
          <t>CV_Ciocoiu, C_Initial</t>
        </is>
      </c>
      <c r="K537" s="6" t="n">
        <v>330</v>
      </c>
      <c r="L537" s="7" t="n">
        <v>45761</v>
      </c>
      <c r="M537" s="11" t="n">
        <v>46091</v>
      </c>
      <c r="N537" s="5" t="inlineStr">
        <is>
          <t>Approved</t>
        </is>
      </c>
      <c r="O537" s="5" t="inlineStr">
        <is>
          <t>Site</t>
        </is>
      </c>
      <c r="P537" s="5" t="inlineStr">
        <is>
          <t>Romania</t>
        </is>
      </c>
      <c r="Q537" s="13" t="inlineStr">
        <is>
          <t>S10-RO10012</t>
        </is>
      </c>
      <c r="R537" s="5" t="inlineStr">
        <is>
          <t>Alexandra Matache</t>
        </is>
      </c>
      <c r="S537" s="8" t="n">
        <v>46091.52964120371</v>
      </c>
    </row>
    <row r="538" hidden="1" ht="29" customHeight="1">
      <c r="A538" s="15">
        <f>HYPERLINK("https://vtmf.veevavault.com/ui/#doc_info/31146977/1/0", "VTMF-25113042")</f>
        <v/>
      </c>
      <c r="B538" s="19" t="inlineStr">
        <is>
          <t>No</t>
        </is>
      </c>
      <c r="C538" s="5" t="inlineStr">
        <is>
          <t>1.0</t>
        </is>
      </c>
      <c r="D538" s="5" t="inlineStr">
        <is>
          <t>GCO</t>
        </is>
      </c>
      <c r="E538" s="5" t="inlineStr">
        <is>
          <t>42847922MDD3003</t>
        </is>
      </c>
      <c r="F538" s="16">
        <f>HYPERLINK("https://vtmf.veevavault.com/ui/#doc_info/31146977/1/0", "42847922MDD3003-ROU-S10-RO10012-Sub-Investigator Curriculum Vitae-16 Apr 2025 (v1.0)")</f>
        <v/>
      </c>
      <c r="G538" s="5" t="inlineStr">
        <is>
          <t>Site Management</t>
        </is>
      </c>
      <c r="H538" s="5" t="inlineStr">
        <is>
          <t>Site Set-up Documentation</t>
        </is>
      </c>
      <c r="I538" s="5" t="inlineStr">
        <is>
          <t>Sub-Investigator Curriculum Vitae</t>
        </is>
      </c>
      <c r="J538" s="5" t="inlineStr">
        <is>
          <t>CV_Ungureanu, M</t>
        </is>
      </c>
      <c r="K538" s="6" t="n">
        <v>328</v>
      </c>
      <c r="L538" s="7" t="n">
        <v>45763</v>
      </c>
      <c r="M538" s="11" t="n">
        <v>46091</v>
      </c>
      <c r="N538" s="5" t="inlineStr">
        <is>
          <t>Approved</t>
        </is>
      </c>
      <c r="O538" s="5" t="inlineStr">
        <is>
          <t>Site</t>
        </is>
      </c>
      <c r="P538" s="5" t="inlineStr">
        <is>
          <t>Romania</t>
        </is>
      </c>
      <c r="Q538" s="13" t="inlineStr">
        <is>
          <t>S10-RO10012</t>
        </is>
      </c>
      <c r="R538" s="5" t="inlineStr">
        <is>
          <t>Alexandra Matache</t>
        </is>
      </c>
      <c r="S538" s="8" t="n">
        <v>46091.53986111111</v>
      </c>
    </row>
    <row r="539" hidden="1" ht="29" customHeight="1">
      <c r="A539" s="15">
        <f>HYPERLINK("https://vtmf.veevavault.com/ui/#doc_info/31147751/1/0", "VTMF-25113733")</f>
        <v/>
      </c>
      <c r="B539" s="20" t="inlineStr">
        <is>
          <t>Yes</t>
        </is>
      </c>
      <c r="C539" s="5" t="inlineStr">
        <is>
          <t>1.0</t>
        </is>
      </c>
      <c r="D539" s="5" t="inlineStr">
        <is>
          <t>GCO</t>
        </is>
      </c>
      <c r="E539" s="5" t="inlineStr">
        <is>
          <t>42847922MDD3003</t>
        </is>
      </c>
      <c r="F539" s="16">
        <f>HYPERLINK("https://vtmf.veevavault.com/ui/#doc_info/31147751/1/0", "42847922MDD3003-ROU-S10-RO10012-Acceptance of Investigator Brochure-29 Oct 2025 (v1.0)")</f>
        <v/>
      </c>
      <c r="G539" s="5" t="inlineStr">
        <is>
          <t>Site Management</t>
        </is>
      </c>
      <c r="H539" s="5" t="inlineStr">
        <is>
          <t>Site Set-up Documentation</t>
        </is>
      </c>
      <c r="I539" s="5" t="inlineStr">
        <is>
          <t>Acceptance of Investigator Brochure</t>
        </is>
      </c>
      <c r="J539" s="5" t="inlineStr">
        <is>
          <t>AoR_IB#14</t>
        </is>
      </c>
      <c r="K539" s="6" t="n">
        <v>132</v>
      </c>
      <c r="L539" s="7" t="n">
        <v>45959</v>
      </c>
      <c r="M539" s="11" t="n">
        <v>46091</v>
      </c>
      <c r="N539" s="5" t="inlineStr">
        <is>
          <t>Approved</t>
        </is>
      </c>
      <c r="O539" s="5" t="inlineStr">
        <is>
          <t>Site</t>
        </is>
      </c>
      <c r="P539" s="5" t="inlineStr">
        <is>
          <t>Romania</t>
        </is>
      </c>
      <c r="Q539" s="13" t="inlineStr">
        <is>
          <t>S10-RO10012</t>
        </is>
      </c>
      <c r="R539" s="5" t="inlineStr">
        <is>
          <t>Alexandra Matache</t>
        </is>
      </c>
      <c r="S539" s="8" t="n">
        <v>46091.59876157407</v>
      </c>
    </row>
    <row r="540" hidden="1" ht="29" customHeight="1">
      <c r="A540" s="15">
        <f>HYPERLINK("https://vtmf.veevavault.com/ui/#doc_info/31147770/1/0", "VTMF-25113764")</f>
        <v/>
      </c>
      <c r="B540" s="19" t="inlineStr">
        <is>
          <t>No</t>
        </is>
      </c>
      <c r="C540" s="5" t="inlineStr">
        <is>
          <t>1.0</t>
        </is>
      </c>
      <c r="D540" s="5" t="inlineStr">
        <is>
          <t>GCO</t>
        </is>
      </c>
      <c r="E540" s="5" t="inlineStr">
        <is>
          <t>42847922MDD3003</t>
        </is>
      </c>
      <c r="F540" s="16">
        <f>HYPERLINK("https://vtmf.veevavault.com/ui/#doc_info/31147770/1/0", "42847922MDD3003-ROU-S10-RO10012-Non-IP Shipment Documentation-29 Oct 2025 (v1.0)")</f>
        <v/>
      </c>
      <c r="G540" s="5" t="inlineStr">
        <is>
          <t>IP and Trial Supplies</t>
        </is>
      </c>
      <c r="H540" s="5" t="inlineStr">
        <is>
          <t>Non-IP Documentation</t>
        </is>
      </c>
      <c r="I540" s="5" t="inlineStr">
        <is>
          <t>Non-IP Shipment Documentation</t>
        </is>
      </c>
      <c r="J540" s="5" t="inlineStr">
        <is>
          <t>NIPSF_ICFs</t>
        </is>
      </c>
      <c r="K540" s="6" t="n">
        <v>132</v>
      </c>
      <c r="L540" s="7" t="n">
        <v>45959</v>
      </c>
      <c r="M540" s="11" t="n">
        <v>46091</v>
      </c>
      <c r="N540" s="5" t="inlineStr">
        <is>
          <t>Approved</t>
        </is>
      </c>
      <c r="O540" s="5" t="inlineStr">
        <is>
          <t>Site</t>
        </is>
      </c>
      <c r="P540" s="5" t="inlineStr">
        <is>
          <t>Romania</t>
        </is>
      </c>
      <c r="Q540" s="13" t="inlineStr">
        <is>
          <t>S10-RO10012</t>
        </is>
      </c>
      <c r="R540" s="5" t="inlineStr">
        <is>
          <t>Alexandra Matache</t>
        </is>
      </c>
      <c r="S540" s="8" t="n">
        <v>46091.60184027778</v>
      </c>
    </row>
    <row r="541" hidden="1" ht="29" customHeight="1">
      <c r="A541" s="15">
        <f>HYPERLINK("https://vtmf.veevavault.com/ui/#doc_info/31147933/1/0", "VTMF-25113880")</f>
        <v/>
      </c>
      <c r="B541" s="19" t="inlineStr">
        <is>
          <t>No</t>
        </is>
      </c>
      <c r="C541" s="5" t="inlineStr">
        <is>
          <t>1.0</t>
        </is>
      </c>
      <c r="D541" s="5" t="inlineStr">
        <is>
          <t>GCO</t>
        </is>
      </c>
      <c r="E541" s="5" t="inlineStr">
        <is>
          <t>42847922MDD3003</t>
        </is>
      </c>
      <c r="F541" s="16">
        <f>HYPERLINK("https://vtmf.veevavault.com/ui/#doc_info/31147933/1/0", "42847922MDD3003-ROU-S10-RO10012-Non-IP Shipment Documentation-21 Aug 2025 (v1.0)")</f>
        <v/>
      </c>
      <c r="G541" s="5" t="inlineStr">
        <is>
          <t>IP and Trial Supplies</t>
        </is>
      </c>
      <c r="H541" s="5" t="inlineStr">
        <is>
          <t>Non-IP Documentation</t>
        </is>
      </c>
      <c r="I541" s="5" t="inlineStr">
        <is>
          <t>Non-IP Shipment Documentation</t>
        </is>
      </c>
      <c r="J541" s="5" t="inlineStr">
        <is>
          <t>NIPSF_Questionnaires</t>
        </is>
      </c>
      <c r="K541" s="6" t="n">
        <v>201</v>
      </c>
      <c r="L541" s="7" t="n">
        <v>45890</v>
      </c>
      <c r="M541" s="11" t="n">
        <v>46091</v>
      </c>
      <c r="N541" s="5" t="inlineStr">
        <is>
          <t>Approved</t>
        </is>
      </c>
      <c r="O541" s="5" t="inlineStr">
        <is>
          <t>Site</t>
        </is>
      </c>
      <c r="P541" s="5" t="inlineStr">
        <is>
          <t>Romania</t>
        </is>
      </c>
      <c r="Q541" s="13" t="inlineStr">
        <is>
          <t>S10-RO10012</t>
        </is>
      </c>
      <c r="R541" s="5" t="inlineStr">
        <is>
          <t>Alexandra Matache</t>
        </is>
      </c>
      <c r="S541" s="8" t="n">
        <v>46091.60997685185</v>
      </c>
    </row>
    <row r="542" hidden="1" ht="29" customHeight="1">
      <c r="A542" s="15">
        <f>HYPERLINK("https://vtmf.veevavault.com/ui/#doc_info/31147945/1/0", "VTMF-25113912")</f>
        <v/>
      </c>
      <c r="B542" s="19" t="inlineStr">
        <is>
          <t>No</t>
        </is>
      </c>
      <c r="C542" s="5" t="inlineStr">
        <is>
          <t>1.0</t>
        </is>
      </c>
      <c r="D542" s="5" t="inlineStr">
        <is>
          <t>GCO</t>
        </is>
      </c>
      <c r="E542" s="5" t="inlineStr">
        <is>
          <t>42847922MDD3003</t>
        </is>
      </c>
      <c r="F542" s="16">
        <f>HYPERLINK("https://vtmf.veevavault.com/ui/#doc_info/31147945/1/0", "42847922MDD3003-ROU-S10-RO10012-Non-IP Shipment Documentation-22 Dec 2025 (v1.0)")</f>
        <v/>
      </c>
      <c r="G542" s="5" t="inlineStr">
        <is>
          <t>IP and Trial Supplies</t>
        </is>
      </c>
      <c r="H542" s="5" t="inlineStr">
        <is>
          <t>Non-IP Documentation</t>
        </is>
      </c>
      <c r="I542" s="5" t="inlineStr">
        <is>
          <t>Non-IP Shipment Documentation</t>
        </is>
      </c>
      <c r="J542" s="5" t="inlineStr">
        <is>
          <t>NIPSF_Binders and Romanian med diary</t>
        </is>
      </c>
      <c r="K542" s="6" t="n">
        <v>78</v>
      </c>
      <c r="L542" s="7" t="n">
        <v>46013</v>
      </c>
      <c r="M542" s="11" t="n">
        <v>46091</v>
      </c>
      <c r="N542" s="5" t="inlineStr">
        <is>
          <t>Approved</t>
        </is>
      </c>
      <c r="O542" s="5" t="inlineStr">
        <is>
          <t>Site</t>
        </is>
      </c>
      <c r="P542" s="5" t="inlineStr">
        <is>
          <t>Romania</t>
        </is>
      </c>
      <c r="Q542" s="13" t="inlineStr">
        <is>
          <t>S10-RO10012</t>
        </is>
      </c>
      <c r="R542" s="5" t="inlineStr">
        <is>
          <t>Alexandra Matache</t>
        </is>
      </c>
      <c r="S542" s="8" t="n">
        <v>46091.61194444444</v>
      </c>
    </row>
    <row r="543" hidden="1" ht="29" customHeight="1">
      <c r="A543" s="15">
        <f>HYPERLINK("https://vtmf.veevavault.com/ui/#doc_info/31148219/1/0", "VTMF-25114106")</f>
        <v/>
      </c>
      <c r="B543" s="19" t="inlineStr">
        <is>
          <t>No</t>
        </is>
      </c>
      <c r="C543" s="5" t="inlineStr">
        <is>
          <t>1.0</t>
        </is>
      </c>
      <c r="D543" s="5" t="inlineStr">
        <is>
          <t>GCO</t>
        </is>
      </c>
      <c r="E543" s="5" t="inlineStr">
        <is>
          <t>42847922MDD3003</t>
        </is>
      </c>
      <c r="F543" s="16">
        <f>HYPERLINK("https://vtmf.veevavault.com/ui/#doc_info/31148219/1/0", "42847922MDD3003-COL-S10-CO10004-IRB/IEC GCP Compliance Statement-20 May 2022 (v1.0)")</f>
        <v/>
      </c>
      <c r="G543" s="5" t="inlineStr">
        <is>
          <t>IRB/IEC and other Approvals</t>
        </is>
      </c>
      <c r="H543" s="5" t="inlineStr">
        <is>
          <t>IRB/IEC Trial Approval</t>
        </is>
      </c>
      <c r="I543" s="5" t="inlineStr">
        <is>
          <t>IRB/IEC GCP Compliance Statement</t>
        </is>
      </c>
      <c r="J543" s="5" t="inlineStr">
        <is>
          <t>EC operational guidelines_V7.0 dated 20 May 2022</t>
        </is>
      </c>
      <c r="K543" s="6" t="n">
        <v>1390</v>
      </c>
      <c r="L543" s="7" t="n">
        <v>44701</v>
      </c>
      <c r="M543" s="11" t="n">
        <v>46091</v>
      </c>
      <c r="N543" s="5" t="inlineStr">
        <is>
          <t>Approved</t>
        </is>
      </c>
      <c r="O543" s="5" t="inlineStr">
        <is>
          <t>Site</t>
        </is>
      </c>
      <c r="P543" s="5" t="inlineStr">
        <is>
          <t>Colombia</t>
        </is>
      </c>
      <c r="Q543" s="13" t="inlineStr">
        <is>
          <t>S10-CO10004</t>
        </is>
      </c>
      <c r="R543" s="5" t="inlineStr">
        <is>
          <t>Monica Romero</t>
        </is>
      </c>
      <c r="S543" s="8" t="n">
        <v>46091.62630787037</v>
      </c>
    </row>
    <row r="544" hidden="1" ht="29" customHeight="1">
      <c r="A544" s="15">
        <f>HYPERLINK("https://vtmf.veevavault.com/ui/#doc_info/31148161/1/0", "VTMF-25114140")</f>
        <v/>
      </c>
      <c r="B544" s="20" t="inlineStr">
        <is>
          <t>Yes</t>
        </is>
      </c>
      <c r="C544" s="5" t="inlineStr">
        <is>
          <t>1.0</t>
        </is>
      </c>
      <c r="D544" s="5" t="inlineStr">
        <is>
          <t>GCO</t>
        </is>
      </c>
      <c r="E544" s="5" t="inlineStr">
        <is>
          <t>42847922MDD3003</t>
        </is>
      </c>
      <c r="F544" s="16">
        <f>HYPERLINK("https://vtmf.veevavault.com/ui/#doc_info/31148161/1/0", "42847922MDD3003-ROU-S10-RO10012-On-site Drug Inventory and Reconciliation Form-05 Feb 2026 (v1.0)")</f>
        <v/>
      </c>
      <c r="G544" s="5" t="inlineStr">
        <is>
          <t>IP and Trial Supplies</t>
        </is>
      </c>
      <c r="H544" s="5" t="inlineStr">
        <is>
          <t>IP Documentation</t>
        </is>
      </c>
      <c r="I544" s="5" t="inlineStr">
        <is>
          <t>On-site Drug Inventory and Reconciliation Form</t>
        </is>
      </c>
      <c r="J544" s="5" t="inlineStr">
        <is>
          <t>On-Site Drug Inventory Form</t>
        </is>
      </c>
      <c r="K544" s="6" t="n">
        <v>33</v>
      </c>
      <c r="L544" s="7" t="n">
        <v>46058</v>
      </c>
      <c r="M544" s="11" t="n">
        <v>46091</v>
      </c>
      <c r="N544" s="5" t="inlineStr">
        <is>
          <t>Approved</t>
        </is>
      </c>
      <c r="O544" s="5" t="inlineStr">
        <is>
          <t>Site</t>
        </is>
      </c>
      <c r="P544" s="5" t="inlineStr">
        <is>
          <t>Romania</t>
        </is>
      </c>
      <c r="Q544" s="13" t="inlineStr">
        <is>
          <t>S10-RO10012</t>
        </is>
      </c>
      <c r="R544" s="5" t="inlineStr">
        <is>
          <t>Alexandra Matache</t>
        </is>
      </c>
      <c r="S544" s="8" t="n">
        <v>46091.62885416667</v>
      </c>
    </row>
    <row r="545" hidden="1" ht="29" customHeight="1">
      <c r="A545" s="15">
        <f>HYPERLINK("https://vtmf.veevavault.com/ui/#doc_info/31148174/1/0", "VTMF-25114164")</f>
        <v/>
      </c>
      <c r="B545" s="20" t="inlineStr">
        <is>
          <t>Yes</t>
        </is>
      </c>
      <c r="C545" s="5" t="inlineStr">
        <is>
          <t>1.0</t>
        </is>
      </c>
      <c r="D545" s="5" t="inlineStr">
        <is>
          <t>GCO</t>
        </is>
      </c>
      <c r="E545" s="5" t="inlineStr">
        <is>
          <t>42847922MDD3003</t>
        </is>
      </c>
      <c r="F545" s="16">
        <f>HYPERLINK("https://vtmf.veevavault.com/ui/#doc_info/31148174/1/0", "42847922MDD3003-ROU-S10-RO10012-On-site Drug Inventory and Reconciliation Form-05 Feb 2026 (v1.0)")</f>
        <v/>
      </c>
      <c r="G545" s="5" t="inlineStr">
        <is>
          <t>IP and Trial Supplies</t>
        </is>
      </c>
      <c r="H545" s="5" t="inlineStr">
        <is>
          <t>IP Documentation</t>
        </is>
      </c>
      <c r="I545" s="5" t="inlineStr">
        <is>
          <t>On-site Drug Inventory and Reconciliation Form</t>
        </is>
      </c>
      <c r="J545" s="5" t="inlineStr">
        <is>
          <t>On-Site Drug Inventory and Accountability Form</t>
        </is>
      </c>
      <c r="K545" s="6" t="n">
        <v>33</v>
      </c>
      <c r="L545" s="7" t="n">
        <v>46058</v>
      </c>
      <c r="M545" s="11" t="n">
        <v>46091</v>
      </c>
      <c r="N545" s="5" t="inlineStr">
        <is>
          <t>Approved</t>
        </is>
      </c>
      <c r="O545" s="5" t="inlineStr">
        <is>
          <t>Site</t>
        </is>
      </c>
      <c r="P545" s="5" t="inlineStr">
        <is>
          <t>Romania</t>
        </is>
      </c>
      <c r="Q545" s="13" t="inlineStr">
        <is>
          <t>S10-RO10012</t>
        </is>
      </c>
      <c r="R545" s="5" t="inlineStr">
        <is>
          <t>Alexandra Matache</t>
        </is>
      </c>
      <c r="S545" s="8" t="n">
        <v>46091.63072916667</v>
      </c>
    </row>
    <row r="546" hidden="1" ht="29" customHeight="1">
      <c r="A546" s="15">
        <f>HYPERLINK("https://vtmf.veevavault.com/ui/#doc_info/31148519/1/0", "VTMF-25114255")</f>
        <v/>
      </c>
      <c r="B546" s="20" t="inlineStr">
        <is>
          <t>Yes</t>
        </is>
      </c>
      <c r="C546" s="5" t="inlineStr">
        <is>
          <t>1.0</t>
        </is>
      </c>
      <c r="D546" s="5" t="inlineStr">
        <is>
          <t>GCO</t>
        </is>
      </c>
      <c r="E546" s="5" t="inlineStr">
        <is>
          <t>42847922MDD3003</t>
        </is>
      </c>
      <c r="F546" s="16">
        <f>HYPERLINK("https://vtmf.veevavault.com/ui/#doc_info/31148519/1/0", "42847922MDD3003-ROU-S10-RO10012-Protocol Signature Page-16 Jul 2025 (v1.0)")</f>
        <v/>
      </c>
      <c r="G546" s="5" t="inlineStr">
        <is>
          <t>Site Management</t>
        </is>
      </c>
      <c r="H546" s="5" t="inlineStr">
        <is>
          <t>Site Set-up Documentation</t>
        </is>
      </c>
      <c r="I546" s="5" t="inlineStr">
        <is>
          <t>Protocol Signature Page</t>
        </is>
      </c>
      <c r="J546" s="5" t="inlineStr">
        <is>
          <t>PSP_Modoranu, R_Amendment 2 EU-2</t>
        </is>
      </c>
      <c r="K546" s="6" t="n">
        <v>237</v>
      </c>
      <c r="L546" s="7" t="n">
        <v>45854</v>
      </c>
      <c r="M546" s="11" t="n">
        <v>46091</v>
      </c>
      <c r="N546" s="5" t="inlineStr">
        <is>
          <t>Approved</t>
        </is>
      </c>
      <c r="O546" s="5" t="inlineStr">
        <is>
          <t>Site</t>
        </is>
      </c>
      <c r="P546" s="5" t="inlineStr">
        <is>
          <t>Romania</t>
        </is>
      </c>
      <c r="Q546" s="13" t="inlineStr">
        <is>
          <t>S10-RO10012</t>
        </is>
      </c>
      <c r="R546" s="5" t="inlineStr">
        <is>
          <t>Alexandra Matache</t>
        </is>
      </c>
      <c r="S546" s="8" t="n">
        <v>46091.63702546297</v>
      </c>
    </row>
    <row r="547" hidden="1">
      <c r="A547" s="15">
        <f>HYPERLINK("https://vtmf.veevavault.com/ui/#doc_info/31148540/1/0", "VTMF-25114307")</f>
        <v/>
      </c>
      <c r="B547" s="19" t="inlineStr">
        <is>
          <t>No</t>
        </is>
      </c>
      <c r="C547" s="5" t="inlineStr">
        <is>
          <t>1.0</t>
        </is>
      </c>
      <c r="D547" s="5" t="inlineStr">
        <is>
          <t>GCO</t>
        </is>
      </c>
      <c r="E547" s="5" t="inlineStr">
        <is>
          <t>42847922MDD3003</t>
        </is>
      </c>
      <c r="F547" s="16">
        <f>HYPERLINK("https://vtmf.veevavault.com/ui/#doc_info/31148540/1/0", "42847922MDD3003-ROU-S10-RO10012-Visit Log (v1.0)")</f>
        <v/>
      </c>
      <c r="G547" s="5" t="inlineStr">
        <is>
          <t>Site Management</t>
        </is>
      </c>
      <c r="H547" s="5" t="inlineStr">
        <is>
          <t>Site Management</t>
        </is>
      </c>
      <c r="I547" s="5" t="inlineStr">
        <is>
          <t>Visit Log</t>
        </is>
      </c>
      <c r="J547" s="5" t="inlineStr">
        <is>
          <t>Trial Center Visit Log</t>
        </is>
      </c>
      <c r="K547" s="6" t="n">
        <v>33</v>
      </c>
      <c r="L547" s="7" t="n">
        <v>46058</v>
      </c>
      <c r="M547" s="11" t="n">
        <v>46091</v>
      </c>
      <c r="N547" s="5" t="inlineStr">
        <is>
          <t>Approved</t>
        </is>
      </c>
      <c r="O547" s="5" t="inlineStr">
        <is>
          <t>Site</t>
        </is>
      </c>
      <c r="P547" s="5" t="inlineStr">
        <is>
          <t>Romania</t>
        </is>
      </c>
      <c r="Q547" s="13" t="inlineStr">
        <is>
          <t>S10-RO10012</t>
        </is>
      </c>
      <c r="R547" s="5" t="inlineStr">
        <is>
          <t>Alexandra Matache</t>
        </is>
      </c>
      <c r="S547" s="8" t="n">
        <v>46091.64024305555</v>
      </c>
    </row>
    <row r="548" hidden="1" ht="29" customHeight="1">
      <c r="A548" s="15">
        <f>HYPERLINK("https://vtmf.veevavault.com/ui/#doc_info/31149044/1/0", "VTMF-25114646")</f>
        <v/>
      </c>
      <c r="B548" s="20" t="inlineStr">
        <is>
          <t>Yes</t>
        </is>
      </c>
      <c r="C548" s="5" t="inlineStr">
        <is>
          <t>1.0</t>
        </is>
      </c>
      <c r="D548" s="5" t="inlineStr">
        <is>
          <t>GCO</t>
        </is>
      </c>
      <c r="E548" s="5" t="inlineStr">
        <is>
          <t>42847922MDD3003</t>
        </is>
      </c>
      <c r="F548" s="16">
        <f>HYPERLINK("https://vtmf.veevavault.com/ui/#doc_info/31149044/1/0", "42847922MDD3003-USA-S10-US10140-Relevant Communications-16 Jan 2026 (v1.0)")</f>
        <v/>
      </c>
      <c r="G548" s="5" t="inlineStr">
        <is>
          <t>Site Management</t>
        </is>
      </c>
      <c r="H548" s="5" t="inlineStr">
        <is>
          <t>General</t>
        </is>
      </c>
      <c r="I548" s="5" t="inlineStr">
        <is>
          <t>Relevant Communications</t>
        </is>
      </c>
      <c r="J548" s="5" t="inlineStr">
        <is>
          <t>S10-US10040 _ PI Rutrick _ Subject US100400040 _ Re-screen Request- APPROVED.</t>
        </is>
      </c>
      <c r="K548" s="6" t="n">
        <v>53</v>
      </c>
      <c r="L548" s="7" t="n">
        <v>46038</v>
      </c>
      <c r="M548" s="11" t="n">
        <v>46091</v>
      </c>
      <c r="N548" s="5" t="inlineStr">
        <is>
          <t>Approved</t>
        </is>
      </c>
      <c r="O548" s="5" t="inlineStr">
        <is>
          <t>Site</t>
        </is>
      </c>
      <c r="P548" s="5" t="inlineStr">
        <is>
          <t>United States</t>
        </is>
      </c>
      <c r="Q548" s="13" t="inlineStr">
        <is>
          <t>S10-US10140</t>
        </is>
      </c>
      <c r="R548" s="5" t="inlineStr">
        <is>
          <t>Gina Stefanelli</t>
        </is>
      </c>
      <c r="S548" s="8" t="n">
        <v>46091.66165509259</v>
      </c>
    </row>
    <row r="549" hidden="1" ht="29" customHeight="1">
      <c r="A549" s="15">
        <f>HYPERLINK("https://vtmf.veevavault.com/ui/#doc_info/31149058/1/0", "VTMF-25114678")</f>
        <v/>
      </c>
      <c r="B549" s="20" t="inlineStr">
        <is>
          <t>Yes</t>
        </is>
      </c>
      <c r="C549" s="5" t="inlineStr">
        <is>
          <t>1.0</t>
        </is>
      </c>
      <c r="D549" s="5" t="inlineStr">
        <is>
          <t>GCO</t>
        </is>
      </c>
      <c r="E549" s="5" t="inlineStr">
        <is>
          <t>42847922MDD3003</t>
        </is>
      </c>
      <c r="F549" s="16">
        <f>HYPERLINK("https://vtmf.veevavault.com/ui/#doc_info/31149058/1/0", "42847922MDD3003-ARG-S10-AR10015-Relevant Communications-26 Jan 2026 (v1.0)")</f>
        <v/>
      </c>
      <c r="G549" s="5" t="inlineStr">
        <is>
          <t>Site Management</t>
        </is>
      </c>
      <c r="H549" s="5" t="inlineStr">
        <is>
          <t>General</t>
        </is>
      </c>
      <c r="I549" s="5" t="inlineStr">
        <is>
          <t>Relevant Communications</t>
        </is>
      </c>
      <c r="J549" s="5" t="inlineStr">
        <is>
          <t>AR10015 Noriega.</t>
        </is>
      </c>
      <c r="K549" s="6" t="n">
        <v>43</v>
      </c>
      <c r="L549" s="7" t="n">
        <v>46048</v>
      </c>
      <c r="M549" s="11" t="n">
        <v>46091</v>
      </c>
      <c r="N549" s="5" t="inlineStr">
        <is>
          <t>Approved</t>
        </is>
      </c>
      <c r="O549" s="5" t="inlineStr">
        <is>
          <t>Site</t>
        </is>
      </c>
      <c r="P549" s="5" t="inlineStr">
        <is>
          <t>Argentina</t>
        </is>
      </c>
      <c r="Q549" s="13" t="inlineStr">
        <is>
          <t>S10-AR10015</t>
        </is>
      </c>
      <c r="R549" s="5" t="inlineStr">
        <is>
          <t>Gina Stefanelli</t>
        </is>
      </c>
      <c r="S549" s="8" t="n">
        <v>46091.66287037037</v>
      </c>
    </row>
    <row r="550" hidden="1" ht="29" customHeight="1">
      <c r="A550" s="15">
        <f>HYPERLINK("https://vtmf.veevavault.com/ui/#doc_info/31149067/1/0", "VTMF-25114690")</f>
        <v/>
      </c>
      <c r="B550" s="20" t="inlineStr">
        <is>
          <t>Yes</t>
        </is>
      </c>
      <c r="C550" s="5" t="inlineStr">
        <is>
          <t>1.0</t>
        </is>
      </c>
      <c r="D550" s="5" t="inlineStr">
        <is>
          <t>GCO</t>
        </is>
      </c>
      <c r="E550" s="5" t="inlineStr">
        <is>
          <t>42847922MDD3003</t>
        </is>
      </c>
      <c r="F550" s="16">
        <f>HYPERLINK("https://vtmf.veevavault.com/ui/#doc_info/31149067/1/0", "42847922MDD3003-USA-S10-US10103-Relevant Communications-26 Jan 2026 (v1.0)")</f>
        <v/>
      </c>
      <c r="G550" s="5" t="inlineStr">
        <is>
          <t>Site Management</t>
        </is>
      </c>
      <c r="H550" s="5" t="inlineStr">
        <is>
          <t>General</t>
        </is>
      </c>
      <c r="I550" s="5" t="inlineStr">
        <is>
          <t>Relevant Communications</t>
        </is>
      </c>
      <c r="J550" s="5" t="inlineStr">
        <is>
          <t>continued US10103 discussion</t>
        </is>
      </c>
      <c r="K550" s="6" t="n">
        <v>43</v>
      </c>
      <c r="L550" s="7" t="n">
        <v>46048</v>
      </c>
      <c r="M550" s="11" t="n">
        <v>46091</v>
      </c>
      <c r="N550" s="5" t="inlineStr">
        <is>
          <t>Approved</t>
        </is>
      </c>
      <c r="O550" s="5" t="inlineStr">
        <is>
          <t>Site</t>
        </is>
      </c>
      <c r="P550" s="5" t="inlineStr">
        <is>
          <t>United States</t>
        </is>
      </c>
      <c r="Q550" s="13" t="inlineStr">
        <is>
          <t>S10-US10103</t>
        </is>
      </c>
      <c r="R550" s="5" t="inlineStr">
        <is>
          <t>Gina Stefanelli</t>
        </is>
      </c>
      <c r="S550" s="8" t="n">
        <v>46091.66413194445</v>
      </c>
    </row>
    <row r="551" hidden="1" ht="29" customHeight="1">
      <c r="A551" s="15">
        <f>HYPERLINK("https://vtmf.veevavault.com/ui/#doc_info/31149080/1/0", "VTMF-25114710")</f>
        <v/>
      </c>
      <c r="B551" s="20" t="inlineStr">
        <is>
          <t>Yes</t>
        </is>
      </c>
      <c r="C551" s="5" t="inlineStr">
        <is>
          <t>1.0</t>
        </is>
      </c>
      <c r="D551" s="5" t="inlineStr">
        <is>
          <t>GCO</t>
        </is>
      </c>
      <c r="E551" s="5" t="inlineStr">
        <is>
          <t>42847922MDD3003</t>
        </is>
      </c>
      <c r="F551" s="16">
        <f>HYPERLINK("https://vtmf.veevavault.com/ui/#doc_info/31149080/1/0", "42847922MDD3003-ARG-S10-AR10012-Relevant Communications-26 Jan 2026 (v1.0)")</f>
        <v/>
      </c>
      <c r="G551" s="5" t="inlineStr">
        <is>
          <t>Site Management</t>
        </is>
      </c>
      <c r="H551" s="5" t="inlineStr">
        <is>
          <t>General</t>
        </is>
      </c>
      <c r="I551" s="5" t="inlineStr">
        <is>
          <t>Relevant Communications</t>
        </is>
      </c>
      <c r="J551" s="5" t="inlineStr">
        <is>
          <t>Site S10-AR10012_Lupo_ SUBJECT AR100120019_ Screening Period Extension Request_ APPROVED</t>
        </is>
      </c>
      <c r="K551" s="6" t="n">
        <v>43</v>
      </c>
      <c r="L551" s="7" t="n">
        <v>46048</v>
      </c>
      <c r="M551" s="11" t="n">
        <v>46091</v>
      </c>
      <c r="N551" s="5" t="inlineStr">
        <is>
          <t>Approved</t>
        </is>
      </c>
      <c r="O551" s="5" t="inlineStr">
        <is>
          <t>Site</t>
        </is>
      </c>
      <c r="P551" s="5" t="inlineStr">
        <is>
          <t>Argentina</t>
        </is>
      </c>
      <c r="Q551" s="13" t="inlineStr">
        <is>
          <t>S10-AR10012</t>
        </is>
      </c>
      <c r="R551" s="5" t="inlineStr">
        <is>
          <t>Gina Stefanelli</t>
        </is>
      </c>
      <c r="S551" s="8" t="n">
        <v>46091.66548611111</v>
      </c>
    </row>
    <row r="552" hidden="1" ht="43.5" customHeight="1">
      <c r="A552" s="15">
        <f>HYPERLINK("https://vtmf.veevavault.com/ui/#doc_info/31149089/1/0", "VTMF-25114732")</f>
        <v/>
      </c>
      <c r="B552" s="20" t="inlineStr">
        <is>
          <t>Yes</t>
        </is>
      </c>
      <c r="C552" s="5" t="inlineStr">
        <is>
          <t>1.0</t>
        </is>
      </c>
      <c r="D552" s="5" t="inlineStr">
        <is>
          <t>GCO</t>
        </is>
      </c>
      <c r="E552" s="5" t="inlineStr">
        <is>
          <t>42847922MDD3003</t>
        </is>
      </c>
      <c r="F552" s="16">
        <f>HYPERLINK("https://vtmf.veevavault.com/ui/#doc_info/31149089/1/0", "42847922MDD3003-MEX-S10-MX10008-Relevant Communications-22 Jan 2026 (v1.0)")</f>
        <v/>
      </c>
      <c r="G552" s="5" t="inlineStr">
        <is>
          <t>Site Management</t>
        </is>
      </c>
      <c r="H552" s="5" t="inlineStr">
        <is>
          <t>General</t>
        </is>
      </c>
      <c r="I552" s="5" t="inlineStr">
        <is>
          <t>Relevant Communications</t>
        </is>
      </c>
      <c r="J552" s="5" t="inlineStr">
        <is>
          <t>PI_ Jose Alfonso Ontiveros Sanchez_ Site_S10-MX10008_Subject_MX100080007_IQVIA Eligibility Review_ Approved.e</t>
        </is>
      </c>
      <c r="K552" s="6" t="n">
        <v>47</v>
      </c>
      <c r="L552" s="7" t="n">
        <v>46044</v>
      </c>
      <c r="M552" s="11" t="n">
        <v>46091</v>
      </c>
      <c r="N552" s="5" t="inlineStr">
        <is>
          <t>Approved</t>
        </is>
      </c>
      <c r="O552" s="5" t="inlineStr">
        <is>
          <t>Site</t>
        </is>
      </c>
      <c r="P552" s="5" t="inlineStr">
        <is>
          <t>Mexico</t>
        </is>
      </c>
      <c r="Q552" s="13" t="inlineStr">
        <is>
          <t>S10-MX10008</t>
        </is>
      </c>
      <c r="R552" s="5" t="inlineStr">
        <is>
          <t>Gina Stefanelli</t>
        </is>
      </c>
      <c r="S552" s="8" t="n">
        <v>46091.66700231482</v>
      </c>
    </row>
    <row r="553" hidden="1" ht="29" customHeight="1">
      <c r="A553" s="15">
        <f>HYPERLINK("https://vtmf.veevavault.com/ui/#doc_info/31149427/1/0", "VTMF-25114783")</f>
        <v/>
      </c>
      <c r="B553" s="20" t="inlineStr">
        <is>
          <t>Yes</t>
        </is>
      </c>
      <c r="C553" s="5" t="inlineStr">
        <is>
          <t>1.0</t>
        </is>
      </c>
      <c r="D553" s="5" t="inlineStr">
        <is>
          <t>GCO</t>
        </is>
      </c>
      <c r="E553" s="5" t="inlineStr">
        <is>
          <t>42847922MDD3003</t>
        </is>
      </c>
      <c r="F553" s="16">
        <f>HYPERLINK("https://vtmf.veevavault.com/ui/#doc_info/31149427/1/0", "42847922MDD3003-SWE-S10-SE10012-Relevant Communications-22 Jan 2026 (v1.0)")</f>
        <v/>
      </c>
      <c r="G553" s="5" t="inlineStr">
        <is>
          <t>Site Management</t>
        </is>
      </c>
      <c r="H553" s="5" t="inlineStr">
        <is>
          <t>General</t>
        </is>
      </c>
      <c r="I553" s="5" t="inlineStr">
        <is>
          <t>Relevant Communications</t>
        </is>
      </c>
      <c r="J553" s="5" t="inlineStr">
        <is>
          <t>S10-SE10012_SE100120010_re-screening request_ approved</t>
        </is>
      </c>
      <c r="K553" s="6" t="n">
        <v>47</v>
      </c>
      <c r="L553" s="7" t="n">
        <v>46044</v>
      </c>
      <c r="M553" s="11" t="n">
        <v>46091</v>
      </c>
      <c r="N553" s="5" t="inlineStr">
        <is>
          <t>Approved</t>
        </is>
      </c>
      <c r="O553" s="5" t="inlineStr">
        <is>
          <t>Site</t>
        </is>
      </c>
      <c r="P553" s="5" t="inlineStr">
        <is>
          <t>Sweden</t>
        </is>
      </c>
      <c r="Q553" s="13" t="inlineStr">
        <is>
          <t>S10-SE10012</t>
        </is>
      </c>
      <c r="R553" s="5" t="inlineStr">
        <is>
          <t>Gina Stefanelli</t>
        </is>
      </c>
      <c r="S553" s="8" t="n">
        <v>46091.66974537037</v>
      </c>
    </row>
    <row r="554" hidden="1" ht="43.5" customHeight="1">
      <c r="A554" s="15">
        <f>HYPERLINK("https://vtmf.veevavault.com/ui/#doc_info/31149248/1/0", "VTMF-25114811")</f>
        <v/>
      </c>
      <c r="B554" s="20" t="inlineStr">
        <is>
          <t>Yes</t>
        </is>
      </c>
      <c r="C554" s="5" t="inlineStr">
        <is>
          <t>1.0</t>
        </is>
      </c>
      <c r="D554" s="5" t="inlineStr">
        <is>
          <t>GCO</t>
        </is>
      </c>
      <c r="E554" s="5" t="inlineStr">
        <is>
          <t>42847922MDD3003</t>
        </is>
      </c>
      <c r="F554" s="16">
        <f>HYPERLINK("https://vtmf.veevavault.com/ui/#doc_info/31149248/1/0", "42847922MDD3003-POL-S10-PL10012-Relevant Communications-22 Jan 2026 (v1.0)")</f>
        <v/>
      </c>
      <c r="G554" s="5" t="inlineStr">
        <is>
          <t>Site Management</t>
        </is>
      </c>
      <c r="H554" s="5" t="inlineStr">
        <is>
          <t>General</t>
        </is>
      </c>
      <c r="I554" s="5" t="inlineStr">
        <is>
          <t>Relevant Communications</t>
        </is>
      </c>
      <c r="J554" s="5" t="inlineStr">
        <is>
          <t>PI_ Sylwia Szymkowiak_ Site_S10-PL10012_Subject_PL100120008_ IQVIA Eligibility Review_ Approved.</t>
        </is>
      </c>
      <c r="K554" s="6" t="n">
        <v>47</v>
      </c>
      <c r="L554" s="7" t="n">
        <v>46044</v>
      </c>
      <c r="M554" s="11" t="n">
        <v>46091</v>
      </c>
      <c r="N554" s="5" t="inlineStr">
        <is>
          <t>Approved</t>
        </is>
      </c>
      <c r="O554" s="5" t="inlineStr">
        <is>
          <t>Site</t>
        </is>
      </c>
      <c r="P554" s="5" t="inlineStr">
        <is>
          <t>Poland</t>
        </is>
      </c>
      <c r="Q554" s="13" t="inlineStr">
        <is>
          <t>S10-PL10012</t>
        </is>
      </c>
      <c r="R554" s="5" t="inlineStr">
        <is>
          <t>Gina Stefanelli</t>
        </is>
      </c>
      <c r="S554" s="8" t="n">
        <v>46091.67126157408</v>
      </c>
    </row>
    <row r="555" hidden="1" ht="43.5" customHeight="1">
      <c r="A555" s="15">
        <f>HYPERLINK("https://vtmf.veevavault.com/ui/#doc_info/31149258/1/0", "VTMF-25114827")</f>
        <v/>
      </c>
      <c r="B555" s="20" t="inlineStr">
        <is>
          <t>Yes</t>
        </is>
      </c>
      <c r="C555" s="5" t="inlineStr">
        <is>
          <t>1.0</t>
        </is>
      </c>
      <c r="D555" s="5" t="inlineStr">
        <is>
          <t>GCO</t>
        </is>
      </c>
      <c r="E555" s="5" t="inlineStr">
        <is>
          <t>42847922MDD3003</t>
        </is>
      </c>
      <c r="F555" s="16">
        <f>HYPERLINK("https://vtmf.veevavault.com/ui/#doc_info/31149258/1/0", "42847922MDD3003-SWE-S10-SE10002-Relevant Communications-22 Jan 2026 (v1.0)")</f>
        <v/>
      </c>
      <c r="G555" s="5" t="inlineStr">
        <is>
          <t>Site Management</t>
        </is>
      </c>
      <c r="H555" s="5" t="inlineStr">
        <is>
          <t>General</t>
        </is>
      </c>
      <c r="I555" s="5" t="inlineStr">
        <is>
          <t>Relevant Communications</t>
        </is>
      </c>
      <c r="J555" s="5" t="inlineStr">
        <is>
          <t>PI_ Peter Bosson_ Site_S10-SE10002_Subject_SE100020030_ IQVIA Eligibility Review_ Approved.</t>
        </is>
      </c>
      <c r="K555" s="6" t="n">
        <v>47</v>
      </c>
      <c r="L555" s="7" t="n">
        <v>46044</v>
      </c>
      <c r="M555" s="11" t="n">
        <v>46091</v>
      </c>
      <c r="N555" s="5" t="inlineStr">
        <is>
          <t>Approved</t>
        </is>
      </c>
      <c r="O555" s="5" t="inlineStr">
        <is>
          <t>Site</t>
        </is>
      </c>
      <c r="P555" s="5" t="inlineStr">
        <is>
          <t>Sweden</t>
        </is>
      </c>
      <c r="Q555" s="13" t="inlineStr">
        <is>
          <t>S10-SE10002</t>
        </is>
      </c>
      <c r="R555" s="5" t="inlineStr">
        <is>
          <t>Gina Stefanelli</t>
        </is>
      </c>
      <c r="S555" s="8" t="n">
        <v>46091.67265046296</v>
      </c>
    </row>
    <row r="556" hidden="1" ht="43.5" customHeight="1">
      <c r="A556" s="15">
        <f>HYPERLINK("https://vtmf.veevavault.com/ui/#doc_info/31149281/1/0", "VTMF-25114857")</f>
        <v/>
      </c>
      <c r="B556" s="20" t="inlineStr">
        <is>
          <t>Yes</t>
        </is>
      </c>
      <c r="C556" s="5" t="inlineStr">
        <is>
          <t>1.0</t>
        </is>
      </c>
      <c r="D556" s="5" t="inlineStr">
        <is>
          <t>GCO</t>
        </is>
      </c>
      <c r="E556" s="5" t="inlineStr">
        <is>
          <t>42847922MDD3003</t>
        </is>
      </c>
      <c r="F556" s="16">
        <f>HYPERLINK("https://vtmf.veevavault.com/ui/#doc_info/31149281/1/0", "42847922MDD3003-USA-S10-US10172-Relevant Communications-22 Jan 2026 (v1.0)")</f>
        <v/>
      </c>
      <c r="G556" s="5" t="inlineStr">
        <is>
          <t>Site Management</t>
        </is>
      </c>
      <c r="H556" s="5" t="inlineStr">
        <is>
          <t>General</t>
        </is>
      </c>
      <c r="I556" s="5" t="inlineStr">
        <is>
          <t>Relevant Communications</t>
        </is>
      </c>
      <c r="J556" s="5" t="inlineStr">
        <is>
          <t>PI_ German Alvarez_ Site_S10-US10172_Subject_US101720023_IQVIA Eligibility Review_ Approved.</t>
        </is>
      </c>
      <c r="K556" s="6" t="n">
        <v>47</v>
      </c>
      <c r="L556" s="7" t="n">
        <v>46044</v>
      </c>
      <c r="M556" s="11" t="n">
        <v>46091</v>
      </c>
      <c r="N556" s="5" t="inlineStr">
        <is>
          <t>Approved</t>
        </is>
      </c>
      <c r="O556" s="5" t="inlineStr">
        <is>
          <t>Site</t>
        </is>
      </c>
      <c r="P556" s="5" t="inlineStr">
        <is>
          <t>United States</t>
        </is>
      </c>
      <c r="Q556" s="13" t="inlineStr">
        <is>
          <t>S10-US10172</t>
        </is>
      </c>
      <c r="R556" s="5" t="inlineStr">
        <is>
          <t>Gina Stefanelli</t>
        </is>
      </c>
      <c r="S556" s="8" t="n">
        <v>46091.67372685186</v>
      </c>
    </row>
    <row r="557" hidden="1" ht="29" customHeight="1">
      <c r="A557" s="15">
        <f>HYPERLINK("https://vtmf.veevavault.com/ui/#doc_info/31149297/1/0", "VTMF-25114873")</f>
        <v/>
      </c>
      <c r="B557" s="20" t="inlineStr">
        <is>
          <t>Yes</t>
        </is>
      </c>
      <c r="C557" s="5" t="inlineStr">
        <is>
          <t>1.0</t>
        </is>
      </c>
      <c r="D557" s="5" t="inlineStr">
        <is>
          <t>GCO</t>
        </is>
      </c>
      <c r="E557" s="5" t="inlineStr">
        <is>
          <t>42847922MDD3003</t>
        </is>
      </c>
      <c r="F557" s="16">
        <f>HYPERLINK("https://vtmf.veevavault.com/ui/#doc_info/31149297/1/0", "42847922MDD3003-USA-S10-US10212-Relevant Communications-16 Jan 2026 (v1.0)")</f>
        <v/>
      </c>
      <c r="G557" s="5" t="inlineStr">
        <is>
          <t>Site Management</t>
        </is>
      </c>
      <c r="H557" s="5" t="inlineStr">
        <is>
          <t>General</t>
        </is>
      </c>
      <c r="I557" s="5" t="inlineStr">
        <is>
          <t>Relevant Communications</t>
        </is>
      </c>
      <c r="J557" s="5" t="inlineStr">
        <is>
          <t>S10-US10212_ PI Zaidi _ Subject US102120022 _Screening Period Extension Request _APPROVED.</t>
        </is>
      </c>
      <c r="K557" s="6" t="n">
        <v>53</v>
      </c>
      <c r="L557" s="7" t="n">
        <v>46038</v>
      </c>
      <c r="M557" s="11" t="n">
        <v>46091</v>
      </c>
      <c r="N557" s="5" t="inlineStr">
        <is>
          <t>Approved</t>
        </is>
      </c>
      <c r="O557" s="5" t="inlineStr">
        <is>
          <t>Site</t>
        </is>
      </c>
      <c r="P557" s="5" t="inlineStr">
        <is>
          <t>United States</t>
        </is>
      </c>
      <c r="Q557" s="13" t="inlineStr">
        <is>
          <t>S10-US10212</t>
        </is>
      </c>
      <c r="R557" s="5" t="inlineStr">
        <is>
          <t>Gina Stefanelli</t>
        </is>
      </c>
      <c r="S557" s="8" t="n">
        <v>46091.6747337963</v>
      </c>
    </row>
    <row r="558" hidden="1" ht="29" customHeight="1">
      <c r="A558" s="15">
        <f>HYPERLINK("https://vtmf.veevavault.com/ui/#doc_info/31150952/1/0", "VTMF-25116215")</f>
        <v/>
      </c>
      <c r="B558" s="20" t="inlineStr">
        <is>
          <t>Yes</t>
        </is>
      </c>
      <c r="C558" s="5" t="inlineStr">
        <is>
          <t>1.0</t>
        </is>
      </c>
      <c r="D558" s="5" t="inlineStr">
        <is>
          <t>GCO</t>
        </is>
      </c>
      <c r="E558" s="5" t="inlineStr">
        <is>
          <t>42847922MDD3003</t>
        </is>
      </c>
      <c r="F558" s="16">
        <f>HYPERLINK("https://vtmf.veevavault.com/ui/#doc_info/31150952/1/0", "42847922MDD3003-USA-S10-US10207-Form FDA1572-07 Oct 2025 (v1.0)")</f>
        <v/>
      </c>
      <c r="G558" s="5" t="inlineStr">
        <is>
          <t>Site Management</t>
        </is>
      </c>
      <c r="H558" s="5" t="inlineStr">
        <is>
          <t>Site Set-up Documentation</t>
        </is>
      </c>
      <c r="I558" s="5" t="inlineStr">
        <is>
          <t>Form FDA1572</t>
        </is>
      </c>
      <c r="J558" s="5" t="inlineStr">
        <is>
          <t>1572_Revised</t>
        </is>
      </c>
      <c r="K558" s="6" t="n">
        <v>154</v>
      </c>
      <c r="L558" s="7" t="n">
        <v>45937</v>
      </c>
      <c r="M558" s="11" t="n">
        <v>46091</v>
      </c>
      <c r="N558" s="5" t="inlineStr">
        <is>
          <t>Approved</t>
        </is>
      </c>
      <c r="O558" s="5" t="inlineStr">
        <is>
          <t>Site</t>
        </is>
      </c>
      <c r="P558" s="5" t="inlineStr">
        <is>
          <t>United States</t>
        </is>
      </c>
      <c r="Q558" s="13" t="inlineStr">
        <is>
          <t>S10-US10207</t>
        </is>
      </c>
      <c r="R558" s="5" t="inlineStr">
        <is>
          <t>Daniel Woodland</t>
        </is>
      </c>
      <c r="S558" s="8" t="n">
        <v>46091.76488425926</v>
      </c>
    </row>
    <row r="559" hidden="1" ht="29" customHeight="1">
      <c r="A559" s="15">
        <f>HYPERLINK("https://vtmf.veevavault.com/ui/#doc_info/31152003/1/0", "VTMF-25117082")</f>
        <v/>
      </c>
      <c r="B559" s="20" t="inlineStr">
        <is>
          <t>Yes</t>
        </is>
      </c>
      <c r="C559" s="5" t="inlineStr">
        <is>
          <t>1.0</t>
        </is>
      </c>
      <c r="D559" s="5" t="inlineStr">
        <is>
          <t>GCO</t>
        </is>
      </c>
      <c r="E559" s="5" t="inlineStr">
        <is>
          <t>42847922MDD3003</t>
        </is>
      </c>
      <c r="F559" s="16">
        <f>HYPERLINK("https://vtmf.veevavault.com/ui/#doc_info/31152003/1/0", "42847922MDD3003-BRA-S10-BR10007-IRB/IEC Submission Letter-28 Oct 2025 (v1.0)")</f>
        <v/>
      </c>
      <c r="G559" s="5" t="inlineStr">
        <is>
          <t>IRB/IEC and other Approvals</t>
        </is>
      </c>
      <c r="H559" s="5" t="inlineStr">
        <is>
          <t>IRB/IEC Trial Approval</t>
        </is>
      </c>
      <c r="I559" s="5" t="inlineStr">
        <is>
          <t>IRB/IEC Submission Letter</t>
        </is>
      </c>
      <c r="J559" s="5" t="inlineStr">
        <is>
          <t>IEC_Local_Notification_Letter_Subject_Card_08sep2025; 28Oct2025</t>
        </is>
      </c>
      <c r="K559" s="6" t="n">
        <v>133</v>
      </c>
      <c r="L559" s="7" t="n">
        <v>45958</v>
      </c>
      <c r="M559" s="11" t="n">
        <v>46091</v>
      </c>
      <c r="N559" s="5" t="inlineStr">
        <is>
          <t>Approved</t>
        </is>
      </c>
      <c r="O559" s="5" t="inlineStr">
        <is>
          <t>Site</t>
        </is>
      </c>
      <c r="P559" s="5" t="inlineStr">
        <is>
          <t>Brazil</t>
        </is>
      </c>
      <c r="Q559" s="13" t="inlineStr">
        <is>
          <t>S10-BR10007</t>
        </is>
      </c>
      <c r="R559" s="5" t="inlineStr">
        <is>
          <t>Maria Gabriela Mouallem Brandão</t>
        </is>
      </c>
      <c r="S559" s="8" t="n">
        <v>46091.83449074074</v>
      </c>
    </row>
    <row r="560" hidden="1" ht="29" customHeight="1">
      <c r="A560" s="15">
        <f>HYPERLINK("https://vtmf.veevavault.com/ui/#doc_info/31152231/1/0", "VTMF-25117363")</f>
        <v/>
      </c>
      <c r="B560" s="19" t="inlineStr">
        <is>
          <t>No</t>
        </is>
      </c>
      <c r="C560" s="5" t="inlineStr">
        <is>
          <t>1.0</t>
        </is>
      </c>
      <c r="D560" s="5" t="inlineStr">
        <is>
          <t>GCO</t>
        </is>
      </c>
      <c r="E560" s="5" t="inlineStr">
        <is>
          <t>42847922MDD3003</t>
        </is>
      </c>
      <c r="F560" s="16">
        <f>HYPERLINK("https://vtmf.veevavault.com/ui/#doc_info/31152231/1/0", "42847922MDD3003-BRA-S10-BR10021-Other Curriculum Vitae-30 Dec 2024 (v1.0)")</f>
        <v/>
      </c>
      <c r="G560" s="5" t="inlineStr">
        <is>
          <t>Site Management</t>
        </is>
      </c>
      <c r="H560" s="5" t="inlineStr">
        <is>
          <t>Site Set-up Documentation</t>
        </is>
      </c>
      <c r="I560" s="5" t="inlineStr">
        <is>
          <t>Other Curriculum Vitae</t>
        </is>
      </c>
      <c r="J560" s="5" t="inlineStr">
        <is>
          <t>CV_EN_Barros da Rolt, M; 30Dec2024</t>
        </is>
      </c>
      <c r="K560" s="6" t="n">
        <v>435</v>
      </c>
      <c r="L560" s="7" t="n">
        <v>45656</v>
      </c>
      <c r="M560" s="11" t="n">
        <v>46091</v>
      </c>
      <c r="N560" s="5" t="inlineStr">
        <is>
          <t>Approved</t>
        </is>
      </c>
      <c r="O560" s="5" t="inlineStr">
        <is>
          <t>Site</t>
        </is>
      </c>
      <c r="P560" s="5" t="inlineStr">
        <is>
          <t>Brazil</t>
        </is>
      </c>
      <c r="Q560" s="13" t="inlineStr">
        <is>
          <t>S10-BR10021</t>
        </is>
      </c>
      <c r="R560" s="5" t="inlineStr">
        <is>
          <t>GUILHERME BENEVIDES</t>
        </is>
      </c>
      <c r="S560" s="8" t="n">
        <v>46091.860625</v>
      </c>
    </row>
    <row r="561" hidden="1" ht="29" customHeight="1">
      <c r="A561" s="15">
        <f>HYPERLINK("https://vtmf.veevavault.com/ui/#doc_info/31152232/1/0", "VTMF-25117364")</f>
        <v/>
      </c>
      <c r="B561" s="19" t="inlineStr">
        <is>
          <t>No</t>
        </is>
      </c>
      <c r="C561" s="5" t="inlineStr">
        <is>
          <t>1.0</t>
        </is>
      </c>
      <c r="D561" s="5" t="inlineStr">
        <is>
          <t>GCO</t>
        </is>
      </c>
      <c r="E561" s="5" t="inlineStr">
        <is>
          <t>42847922MDD3003</t>
        </is>
      </c>
      <c r="F561" s="16">
        <f>HYPERLINK("https://vtmf.veevavault.com/ui/#doc_info/31152232/1/0", "42847922MDD3003-BRA-S10-BR10021-Other Curriculum Vitae-25 Aug 2025 (v1.0)")</f>
        <v/>
      </c>
      <c r="G561" s="5" t="inlineStr">
        <is>
          <t>Site Management</t>
        </is>
      </c>
      <c r="H561" s="5" t="inlineStr">
        <is>
          <t>Site Set-up Documentation</t>
        </is>
      </c>
      <c r="I561" s="5" t="inlineStr">
        <is>
          <t>Other Curriculum Vitae</t>
        </is>
      </c>
      <c r="J561" s="5" t="inlineStr">
        <is>
          <t>CV_EN_Costa Borges, T. R.; 25Aug2025</t>
        </is>
      </c>
      <c r="K561" s="6" t="n">
        <v>197</v>
      </c>
      <c r="L561" s="7" t="n">
        <v>45894</v>
      </c>
      <c r="M561" s="11" t="n">
        <v>46091</v>
      </c>
      <c r="N561" s="5" t="inlineStr">
        <is>
          <t>Approved</t>
        </is>
      </c>
      <c r="O561" s="5" t="inlineStr">
        <is>
          <t>Site</t>
        </is>
      </c>
      <c r="P561" s="5" t="inlineStr">
        <is>
          <t>Brazil</t>
        </is>
      </c>
      <c r="Q561" s="13" t="inlineStr">
        <is>
          <t>S10-BR10021</t>
        </is>
      </c>
      <c r="R561" s="5" t="inlineStr">
        <is>
          <t>GUILHERME BENEVIDES</t>
        </is>
      </c>
      <c r="S561" s="8" t="n">
        <v>46091.860625</v>
      </c>
    </row>
    <row r="562" hidden="1" ht="29" customHeight="1">
      <c r="A562" s="15">
        <f>HYPERLINK("https://vtmf.veevavault.com/ui/#doc_info/31152233/1/0", "VTMF-25117365")</f>
        <v/>
      </c>
      <c r="B562" s="19" t="inlineStr">
        <is>
          <t>No</t>
        </is>
      </c>
      <c r="C562" s="5" t="inlineStr">
        <is>
          <t>1.0</t>
        </is>
      </c>
      <c r="D562" s="5" t="inlineStr">
        <is>
          <t>GCO</t>
        </is>
      </c>
      <c r="E562" s="5" t="inlineStr">
        <is>
          <t>42847922MDD3003</t>
        </is>
      </c>
      <c r="F562" s="16">
        <f>HYPERLINK("https://vtmf.veevavault.com/ui/#doc_info/31152233/1/0", "42847922MDD3003-BRA-S10-BR10021-Other Curriculum Vitae-21 May 2025 (v1.0)")</f>
        <v/>
      </c>
      <c r="G562" s="5" t="inlineStr">
        <is>
          <t>Site Management</t>
        </is>
      </c>
      <c r="H562" s="5" t="inlineStr">
        <is>
          <t>Site Set-up Documentation</t>
        </is>
      </c>
      <c r="I562" s="5" t="inlineStr">
        <is>
          <t>Other Curriculum Vitae</t>
        </is>
      </c>
      <c r="J562" s="5" t="inlineStr">
        <is>
          <t>CV_EN_Luz, G. F; 21May2025</t>
        </is>
      </c>
      <c r="K562" s="6" t="n">
        <v>293</v>
      </c>
      <c r="L562" s="7" t="n">
        <v>45798</v>
      </c>
      <c r="M562" s="11" t="n">
        <v>46091</v>
      </c>
      <c r="N562" s="5" t="inlineStr">
        <is>
          <t>Approved</t>
        </is>
      </c>
      <c r="O562" s="5" t="inlineStr">
        <is>
          <t>Site</t>
        </is>
      </c>
      <c r="P562" s="5" t="inlineStr">
        <is>
          <t>Brazil</t>
        </is>
      </c>
      <c r="Q562" s="13" t="inlineStr">
        <is>
          <t>S10-BR10021</t>
        </is>
      </c>
      <c r="R562" s="5" t="inlineStr">
        <is>
          <t>GUILHERME BENEVIDES</t>
        </is>
      </c>
      <c r="S562" s="8" t="n">
        <v>46091.860625</v>
      </c>
    </row>
    <row r="563" hidden="1" ht="29" customHeight="1">
      <c r="A563" s="15">
        <f>HYPERLINK("https://vtmf.veevavault.com/ui/#doc_info/31152362/1/0", "VTMF-25117483")</f>
        <v/>
      </c>
      <c r="B563" s="20" t="inlineStr">
        <is>
          <t>Yes</t>
        </is>
      </c>
      <c r="C563" s="5" t="inlineStr">
        <is>
          <t>1.0</t>
        </is>
      </c>
      <c r="D563" s="5" t="inlineStr">
        <is>
          <t>GCO</t>
        </is>
      </c>
      <c r="E563" s="5" t="inlineStr">
        <is>
          <t>42847922MDD3003</t>
        </is>
      </c>
      <c r="F563" s="16">
        <f>HYPERLINK("https://vtmf.veevavault.com/ui/#doc_info/31152362/1/0", "42847922MDD3003-USA-S10-US10207-Financial Disclosure Form-20 Mar 2025 (v1.0)")</f>
        <v/>
      </c>
      <c r="G563" s="5" t="inlineStr">
        <is>
          <t>Site Management</t>
        </is>
      </c>
      <c r="H563" s="5" t="inlineStr">
        <is>
          <t>Site Set-up Documentation</t>
        </is>
      </c>
      <c r="I563" s="5" t="inlineStr">
        <is>
          <t>Financial Disclosure Form</t>
        </is>
      </c>
      <c r="J563" s="5" t="inlineStr">
        <is>
          <t>Sub-I FDF_Conniff, E_Initial</t>
        </is>
      </c>
      <c r="K563" s="6" t="n">
        <v>355</v>
      </c>
      <c r="L563" s="7" t="n">
        <v>45736</v>
      </c>
      <c r="M563" s="11" t="n">
        <v>46091</v>
      </c>
      <c r="N563" s="5" t="inlineStr">
        <is>
          <t>Approved</t>
        </is>
      </c>
      <c r="O563" s="5" t="inlineStr">
        <is>
          <t>Site</t>
        </is>
      </c>
      <c r="P563" s="5" t="inlineStr">
        <is>
          <t>United States</t>
        </is>
      </c>
      <c r="Q563" s="13" t="inlineStr">
        <is>
          <t>S10-US10207</t>
        </is>
      </c>
      <c r="R563" s="5" t="inlineStr">
        <is>
          <t>Daniel Woodland</t>
        </is>
      </c>
      <c r="S563" s="8" t="n">
        <v>46091.87226851852</v>
      </c>
    </row>
    <row r="564" hidden="1" ht="29" customHeight="1">
      <c r="A564" s="15">
        <f>HYPERLINK("https://vtmf.veevavault.com/ui/#doc_info/31152413/1/0", "VTMF-25117525")</f>
        <v/>
      </c>
      <c r="B564" s="20" t="inlineStr">
        <is>
          <t>Yes</t>
        </is>
      </c>
      <c r="C564" s="5" t="inlineStr">
        <is>
          <t>1.0</t>
        </is>
      </c>
      <c r="D564" s="5" t="inlineStr">
        <is>
          <t>GCO</t>
        </is>
      </c>
      <c r="E564" s="5" t="inlineStr">
        <is>
          <t>42847922MDD3003</t>
        </is>
      </c>
      <c r="F564" s="16">
        <f>HYPERLINK("https://vtmf.veevavault.com/ui/#doc_info/31152413/1/0", "42847922MDD3003-USA-S10-US10207-Financial Disclosure Form-18 Mar 2025 (v1.0)")</f>
        <v/>
      </c>
      <c r="G564" s="5" t="inlineStr">
        <is>
          <t>Site Management</t>
        </is>
      </c>
      <c r="H564" s="5" t="inlineStr">
        <is>
          <t>Site Set-up Documentation</t>
        </is>
      </c>
      <c r="I564" s="5" t="inlineStr">
        <is>
          <t>Financial Disclosure Form</t>
        </is>
      </c>
      <c r="J564" s="5" t="inlineStr">
        <is>
          <t>Sub-I FDF_Crooks, A_Initial</t>
        </is>
      </c>
      <c r="K564" s="6" t="n">
        <v>357</v>
      </c>
      <c r="L564" s="7" t="n">
        <v>45734</v>
      </c>
      <c r="M564" s="11" t="n">
        <v>46091</v>
      </c>
      <c r="N564" s="5" t="inlineStr">
        <is>
          <t>Approved</t>
        </is>
      </c>
      <c r="O564" s="5" t="inlineStr">
        <is>
          <t>Site</t>
        </is>
      </c>
      <c r="P564" s="5" t="inlineStr">
        <is>
          <t>United States</t>
        </is>
      </c>
      <c r="Q564" s="13" t="inlineStr">
        <is>
          <t>S10-US10207</t>
        </is>
      </c>
      <c r="R564" s="5" t="inlineStr">
        <is>
          <t>Daniel Woodland</t>
        </is>
      </c>
      <c r="S564" s="8" t="n">
        <v>46091.87748842593</v>
      </c>
    </row>
    <row r="565" hidden="1" ht="29" customHeight="1">
      <c r="A565" s="15">
        <f>HYPERLINK("https://vtmf.veevavault.com/ui/#doc_info/31152608/1/0", "VTMF-25117564")</f>
        <v/>
      </c>
      <c r="B565" s="20" t="inlineStr">
        <is>
          <t>Yes</t>
        </is>
      </c>
      <c r="C565" s="5" t="inlineStr">
        <is>
          <t>1.0</t>
        </is>
      </c>
      <c r="D565" s="5" t="inlineStr">
        <is>
          <t>GCO</t>
        </is>
      </c>
      <c r="E565" s="5" t="inlineStr">
        <is>
          <t>42847922MDD3003</t>
        </is>
      </c>
      <c r="F565" s="16">
        <f>HYPERLINK("https://vtmf.veevavault.com/ui/#doc_info/31152608/1/0", "42847922MDD3003-USA-S10-US10207-Financial Disclosure Form-18 Mar 2025 (v1.0)")</f>
        <v/>
      </c>
      <c r="G565" s="5" t="inlineStr">
        <is>
          <t>Site Management</t>
        </is>
      </c>
      <c r="H565" s="5" t="inlineStr">
        <is>
          <t>Site Set-up Documentation</t>
        </is>
      </c>
      <c r="I565" s="5" t="inlineStr">
        <is>
          <t>Financial Disclosure Form</t>
        </is>
      </c>
      <c r="J565" s="5" t="inlineStr">
        <is>
          <t>Sub-I FDF_Mauney, S_Initial</t>
        </is>
      </c>
      <c r="K565" s="6" t="n">
        <v>357</v>
      </c>
      <c r="L565" s="7" t="n">
        <v>45734</v>
      </c>
      <c r="M565" s="11" t="n">
        <v>46091</v>
      </c>
      <c r="N565" s="5" t="inlineStr">
        <is>
          <t>Approved</t>
        </is>
      </c>
      <c r="O565" s="5" t="inlineStr">
        <is>
          <t>Site</t>
        </is>
      </c>
      <c r="P565" s="5" t="inlineStr">
        <is>
          <t>United States</t>
        </is>
      </c>
      <c r="Q565" s="13" t="inlineStr">
        <is>
          <t>S10-US10207</t>
        </is>
      </c>
      <c r="R565" s="5" t="inlineStr">
        <is>
          <t>Daniel Woodland</t>
        </is>
      </c>
      <c r="S565" s="8" t="n">
        <v>46091.88203703704</v>
      </c>
    </row>
    <row r="566" hidden="1" ht="29" customHeight="1">
      <c r="A566" s="15">
        <f>HYPERLINK("https://vtmf.veevavault.com/ui/#doc_info/31152651/1/0", "VTMF-25117628")</f>
        <v/>
      </c>
      <c r="B566" s="19" t="inlineStr">
        <is>
          <t>No</t>
        </is>
      </c>
      <c r="C566" s="5" t="inlineStr">
        <is>
          <t>1.0</t>
        </is>
      </c>
      <c r="D566" s="5" t="inlineStr">
        <is>
          <t>GCO</t>
        </is>
      </c>
      <c r="E566" s="5" t="inlineStr">
        <is>
          <t>42847922MDD3003</t>
        </is>
      </c>
      <c r="F566" s="16">
        <f>HYPERLINK("https://vtmf.veevavault.com/ui/#doc_info/31152651/1/0", "42847922MDD3003-USA-S10-US10207-Sub-Investigator Curriculum Vitae-22 May 2025 (v1.0)")</f>
        <v/>
      </c>
      <c r="G566" s="5" t="inlineStr">
        <is>
          <t>Site Management</t>
        </is>
      </c>
      <c r="H566" s="5" t="inlineStr">
        <is>
          <t>Site Set-up Documentation</t>
        </is>
      </c>
      <c r="I566" s="5" t="inlineStr">
        <is>
          <t>Sub-Investigator Curriculum Vitae</t>
        </is>
      </c>
      <c r="J566" s="5" t="inlineStr">
        <is>
          <t>Sub-I CV_English_Conniff, E_Initial</t>
        </is>
      </c>
      <c r="K566" s="6" t="n">
        <v>292</v>
      </c>
      <c r="L566" s="7" t="n">
        <v>45799</v>
      </c>
      <c r="M566" s="11" t="n">
        <v>46091</v>
      </c>
      <c r="N566" s="5" t="inlineStr">
        <is>
          <t>Approved</t>
        </is>
      </c>
      <c r="O566" s="5" t="inlineStr">
        <is>
          <t>Site</t>
        </is>
      </c>
      <c r="P566" s="5" t="inlineStr">
        <is>
          <t>United States</t>
        </is>
      </c>
      <c r="Q566" s="13" t="inlineStr">
        <is>
          <t>S10-US10207</t>
        </is>
      </c>
      <c r="R566" s="5" t="inlineStr">
        <is>
          <t>Daniel Woodland</t>
        </is>
      </c>
      <c r="S566" s="8" t="n">
        <v>46091.88896990741</v>
      </c>
    </row>
    <row r="567" hidden="1" ht="29" customHeight="1">
      <c r="A567" s="15">
        <f>HYPERLINK("https://vtmf.veevavault.com/ui/#doc_info/31152676/1/0", "VTMF-25117662")</f>
        <v/>
      </c>
      <c r="B567" s="19" t="inlineStr">
        <is>
          <t>No</t>
        </is>
      </c>
      <c r="C567" s="5" t="inlineStr">
        <is>
          <t>1.0</t>
        </is>
      </c>
      <c r="D567" s="5" t="inlineStr">
        <is>
          <t>GCO</t>
        </is>
      </c>
      <c r="E567" s="5" t="inlineStr">
        <is>
          <t>42847922MDD3003</t>
        </is>
      </c>
      <c r="F567" s="16">
        <f>HYPERLINK("https://vtmf.veevavault.com/ui/#doc_info/31152676/1/0", "42847922MDD3003-USA-S10-US10207-Sub-Investigator Curriculum Vitae-05 Jan 2026 (v1.0)")</f>
        <v/>
      </c>
      <c r="G567" s="5" t="inlineStr">
        <is>
          <t>Site Management</t>
        </is>
      </c>
      <c r="H567" s="5" t="inlineStr">
        <is>
          <t>Site Set-up Documentation</t>
        </is>
      </c>
      <c r="I567" s="5" t="inlineStr">
        <is>
          <t>Sub-Investigator Curriculum Vitae</t>
        </is>
      </c>
      <c r="J567" s="5" t="inlineStr">
        <is>
          <t>Sub-I CV_English_Guthrie, K_Initial</t>
        </is>
      </c>
      <c r="K567" s="6" t="n">
        <v>64</v>
      </c>
      <c r="L567" s="7" t="n">
        <v>46027</v>
      </c>
      <c r="M567" s="11" t="n">
        <v>46091</v>
      </c>
      <c r="N567" s="5" t="inlineStr">
        <is>
          <t>Approved</t>
        </is>
      </c>
      <c r="O567" s="5" t="inlineStr">
        <is>
          <t>Site</t>
        </is>
      </c>
      <c r="P567" s="5" t="inlineStr">
        <is>
          <t>United States</t>
        </is>
      </c>
      <c r="Q567" s="13" t="inlineStr">
        <is>
          <t>S10-US10207</t>
        </is>
      </c>
      <c r="R567" s="5" t="inlineStr">
        <is>
          <t>Daniel Woodland</t>
        </is>
      </c>
      <c r="S567" s="8" t="n">
        <v>46091.89225694445</v>
      </c>
    </row>
    <row r="568" hidden="1" ht="29" customHeight="1">
      <c r="A568" s="15">
        <f>HYPERLINK("https://vtmf.veevavault.com/ui/#doc_info/31152484/1/0", "VTMF-25117722")</f>
        <v/>
      </c>
      <c r="B568" s="19" t="inlineStr">
        <is>
          <t>No</t>
        </is>
      </c>
      <c r="C568" s="5" t="inlineStr">
        <is>
          <t>1.0</t>
        </is>
      </c>
      <c r="D568" s="5" t="inlineStr">
        <is>
          <t>GCO</t>
        </is>
      </c>
      <c r="E568" s="5" t="inlineStr">
        <is>
          <t>42847922MDD3003</t>
        </is>
      </c>
      <c r="F568" s="16">
        <f>HYPERLINK("https://vtmf.veevavault.com/ui/#doc_info/31152484/1/0", "42847922MDD3003-USA-S10-US10207-Sub-Investigator Curriculum Vitae-20 May 2025 (v1.0)")</f>
        <v/>
      </c>
      <c r="G568" s="5" t="inlineStr">
        <is>
          <t>Site Management</t>
        </is>
      </c>
      <c r="H568" s="5" t="inlineStr">
        <is>
          <t>Site Set-up Documentation</t>
        </is>
      </c>
      <c r="I568" s="5" t="inlineStr">
        <is>
          <t>Sub-Investigator Curriculum Vitae</t>
        </is>
      </c>
      <c r="J568" s="5" t="inlineStr">
        <is>
          <t>Sub-I CV_English_Crooks, A_Initial</t>
        </is>
      </c>
      <c r="K568" s="6" t="n">
        <v>294</v>
      </c>
      <c r="L568" s="7" t="n">
        <v>45797</v>
      </c>
      <c r="M568" s="11" t="n">
        <v>46091</v>
      </c>
      <c r="N568" s="5" t="inlineStr">
        <is>
          <t>Approved</t>
        </is>
      </c>
      <c r="O568" s="5" t="inlineStr">
        <is>
          <t>Site</t>
        </is>
      </c>
      <c r="P568" s="5" t="inlineStr">
        <is>
          <t>United States</t>
        </is>
      </c>
      <c r="Q568" s="13" t="inlineStr">
        <is>
          <t>S10-US10207</t>
        </is>
      </c>
      <c r="R568" s="5" t="inlineStr">
        <is>
          <t>Daniel Woodland</t>
        </is>
      </c>
      <c r="S568" s="8" t="n">
        <v>46091.89721064815</v>
      </c>
    </row>
    <row r="569" hidden="1" ht="29" customHeight="1">
      <c r="A569" s="15">
        <f>HYPERLINK("https://vtmf.veevavault.com/ui/#doc_info/31152496/1/0", "VTMF-25117745")</f>
        <v/>
      </c>
      <c r="B569" s="19" t="inlineStr">
        <is>
          <t>No</t>
        </is>
      </c>
      <c r="C569" s="5" t="inlineStr">
        <is>
          <t>1.0</t>
        </is>
      </c>
      <c r="D569" s="5" t="inlineStr">
        <is>
          <t>GCO</t>
        </is>
      </c>
      <c r="E569" s="5" t="inlineStr">
        <is>
          <t>42847922MDD3003</t>
        </is>
      </c>
      <c r="F569" s="16">
        <f>HYPERLINK("https://vtmf.veevavault.com/ui/#doc_info/31152496/1/0", "42847922MDD3003-USA-S10-US10207-Sub-Investigator Curriculum Vitae-10 Jun 2025 (v1.0)")</f>
        <v/>
      </c>
      <c r="G569" s="5" t="inlineStr">
        <is>
          <t>Site Management</t>
        </is>
      </c>
      <c r="H569" s="5" t="inlineStr">
        <is>
          <t>Site Set-up Documentation</t>
        </is>
      </c>
      <c r="I569" s="5" t="inlineStr">
        <is>
          <t>Sub-Investigator Curriculum Vitae</t>
        </is>
      </c>
      <c r="J569" s="5" t="inlineStr">
        <is>
          <t>Sub-I CV_English_Mauney, S_Initial</t>
        </is>
      </c>
      <c r="K569" s="6" t="n">
        <v>273</v>
      </c>
      <c r="L569" s="7" t="n">
        <v>45818</v>
      </c>
      <c r="M569" s="11" t="n">
        <v>46091</v>
      </c>
      <c r="N569" s="5" t="inlineStr">
        <is>
          <t>Approved</t>
        </is>
      </c>
      <c r="O569" s="5" t="inlineStr">
        <is>
          <t>Site</t>
        </is>
      </c>
      <c r="P569" s="5" t="inlineStr">
        <is>
          <t>United States</t>
        </is>
      </c>
      <c r="Q569" s="13" t="inlineStr">
        <is>
          <t>S10-US10207</t>
        </is>
      </c>
      <c r="R569" s="5" t="inlineStr">
        <is>
          <t>Daniel Woodland</t>
        </is>
      </c>
      <c r="S569" s="8" t="n">
        <v>46091.90003472222</v>
      </c>
    </row>
    <row r="570" hidden="1" ht="43.5" customHeight="1">
      <c r="A570" s="15">
        <f>HYPERLINK("https://vtmf.veevavault.com/ui/#doc_info/31152970/1/0", "VTMF-25118051")</f>
        <v/>
      </c>
      <c r="B570" s="20" t="inlineStr">
        <is>
          <t>Yes</t>
        </is>
      </c>
      <c r="C570" s="5" t="inlineStr">
        <is>
          <t>1.0</t>
        </is>
      </c>
      <c r="D570" s="5" t="inlineStr">
        <is>
          <t>GCO</t>
        </is>
      </c>
      <c r="E570" s="5" t="inlineStr">
        <is>
          <t>42847922MDD3003</t>
        </is>
      </c>
      <c r="F570" s="16">
        <f>HYPERLINK("https://vtmf.veevavault.com/ui/#doc_info/31152970/1/0", "42847922MDD3003-USA-S10-US10085-IRB/IEC Approval-14 Jan 2026 (v1.0)")</f>
        <v/>
      </c>
      <c r="G570" s="5" t="inlineStr">
        <is>
          <t>IRB/IEC and other Approvals</t>
        </is>
      </c>
      <c r="H570" s="5" t="inlineStr">
        <is>
          <t>IRB/IEC Trial Approval</t>
        </is>
      </c>
      <c r="I570" s="5" t="inlineStr">
        <is>
          <t>IRB/IEC Approval</t>
        </is>
      </c>
      <c r="J570" s="5" t="inlineStr">
        <is>
          <t>IRB Approval_Revised Main ICF Part 1 &amp; Part 2 v7.0, Revised Main ICF Part 2 v7.0_Issued 12Aug2025_Issued 14Jan2026_Approved 12Jan206</t>
        </is>
      </c>
      <c r="K570" s="6" t="n">
        <v>55</v>
      </c>
      <c r="L570" s="7" t="n">
        <v>46036</v>
      </c>
      <c r="M570" s="11" t="n">
        <v>46091</v>
      </c>
      <c r="N570" s="5" t="inlineStr">
        <is>
          <t>Approved</t>
        </is>
      </c>
      <c r="O570" s="5" t="inlineStr">
        <is>
          <t>Site</t>
        </is>
      </c>
      <c r="P570" s="5" t="inlineStr">
        <is>
          <t>United States</t>
        </is>
      </c>
      <c r="Q570" s="13" t="inlineStr">
        <is>
          <t>S10-US10085</t>
        </is>
      </c>
      <c r="R570" s="5" t="inlineStr">
        <is>
          <t>Daniel Woodland</t>
        </is>
      </c>
      <c r="S570" s="8" t="n">
        <v>46091.94782407407</v>
      </c>
    </row>
    <row r="571" hidden="1" ht="29" customHeight="1">
      <c r="A571" s="15">
        <f>HYPERLINK("https://vtmf.veevavault.com/ui/#doc_info/31152983/1/0", "VTMF-25118066")</f>
        <v/>
      </c>
      <c r="B571" s="19" t="inlineStr">
        <is>
          <t>No</t>
        </is>
      </c>
      <c r="C571" s="5" t="inlineStr">
        <is>
          <t>1.0</t>
        </is>
      </c>
      <c r="D571" s="5" t="inlineStr">
        <is>
          <t>GCO</t>
        </is>
      </c>
      <c r="E571" s="5" t="inlineStr">
        <is>
          <t>42847922MDD3003</t>
        </is>
      </c>
      <c r="F571" s="16">
        <f>HYPERLINK("https://vtmf.veevavault.com/ui/#doc_info/31152983/1/0", "42847922MDD3003-USA-S10-US10085-Site-specific Informed Consent Form-12 Jan 2026 (v1.0)")</f>
        <v/>
      </c>
      <c r="G571" s="5" t="inlineStr">
        <is>
          <t>Central Trial Documents</t>
        </is>
      </c>
      <c r="H571" s="5" t="inlineStr">
        <is>
          <t>Subject Documents</t>
        </is>
      </c>
      <c r="I571" s="5" t="inlineStr">
        <is>
          <t>Site-specific Informed Consent Form</t>
        </is>
      </c>
      <c r="J571" s="5" t="inlineStr">
        <is>
          <t>Revised Site Specific ICF Main ICF Part 1 &amp; Part 2_English_v7.0_12Jan2026</t>
        </is>
      </c>
      <c r="K571" s="6" t="n">
        <v>57</v>
      </c>
      <c r="L571" s="7" t="n">
        <v>46034</v>
      </c>
      <c r="M571" s="11" t="n">
        <v>46091</v>
      </c>
      <c r="N571" s="5" t="inlineStr">
        <is>
          <t>Approved</t>
        </is>
      </c>
      <c r="O571" s="5" t="inlineStr">
        <is>
          <t>Site</t>
        </is>
      </c>
      <c r="P571" s="5" t="inlineStr">
        <is>
          <t>United States</t>
        </is>
      </c>
      <c r="Q571" s="13" t="inlineStr">
        <is>
          <t>S10-US10085</t>
        </is>
      </c>
      <c r="R571" s="5" t="inlineStr">
        <is>
          <t>Daniel Woodland</t>
        </is>
      </c>
      <c r="S571" s="8" t="n">
        <v>46091.95106481481</v>
      </c>
    </row>
    <row r="572" hidden="1" ht="29" customHeight="1">
      <c r="A572" s="15">
        <f>HYPERLINK("https://vtmf.veevavault.com/ui/#doc_info/31152987/1/0", "VTMF-25118073")</f>
        <v/>
      </c>
      <c r="B572" s="19" t="inlineStr">
        <is>
          <t>No</t>
        </is>
      </c>
      <c r="C572" s="5" t="inlineStr">
        <is>
          <t>1.0</t>
        </is>
      </c>
      <c r="D572" s="5" t="inlineStr">
        <is>
          <t>GCO</t>
        </is>
      </c>
      <c r="E572" s="5" t="inlineStr">
        <is>
          <t>42847922MDD3003</t>
        </is>
      </c>
      <c r="F572" s="16">
        <f>HYPERLINK("https://vtmf.veevavault.com/ui/#doc_info/31152987/1/0", "42847922MDD3003-USA-S10-US10085-Site-specific Informed Consent Form-12 Jan 2026 (v1.0)")</f>
        <v/>
      </c>
      <c r="G572" s="5" t="inlineStr">
        <is>
          <t>Central Trial Documents</t>
        </is>
      </c>
      <c r="H572" s="5" t="inlineStr">
        <is>
          <t>Subject Documents</t>
        </is>
      </c>
      <c r="I572" s="5" t="inlineStr">
        <is>
          <t>Site-specific Informed Consent Form</t>
        </is>
      </c>
      <c r="J572" s="5" t="inlineStr">
        <is>
          <t>Revised Site Specific ICF Main ICF Part 2_English_v7.0_12Jan2026</t>
        </is>
      </c>
      <c r="K572" s="6" t="n">
        <v>57</v>
      </c>
      <c r="L572" s="7" t="n">
        <v>46034</v>
      </c>
      <c r="M572" s="11" t="n">
        <v>46091</v>
      </c>
      <c r="N572" s="5" t="inlineStr">
        <is>
          <t>Approved</t>
        </is>
      </c>
      <c r="O572" s="5" t="inlineStr">
        <is>
          <t>Site</t>
        </is>
      </c>
      <c r="P572" s="5" t="inlineStr">
        <is>
          <t>United States</t>
        </is>
      </c>
      <c r="Q572" s="13" t="inlineStr">
        <is>
          <t>S10-US10085</t>
        </is>
      </c>
      <c r="R572" s="5" t="inlineStr">
        <is>
          <t>Daniel Woodland</t>
        </is>
      </c>
      <c r="S572" s="8" t="n">
        <v>46091.95262731481</v>
      </c>
    </row>
    <row r="573" hidden="1" ht="29" customHeight="1">
      <c r="A573" s="15">
        <f>HYPERLINK("https://vtmf.veevavault.com/ui/#doc_info/31156757/1/0", "VTMF-25121641")</f>
        <v/>
      </c>
      <c r="B573" s="19" t="inlineStr">
        <is>
          <t>No</t>
        </is>
      </c>
      <c r="C573" s="5" t="inlineStr">
        <is>
          <t>1.0</t>
        </is>
      </c>
      <c r="D573" s="5" t="inlineStr">
        <is>
          <t>GCO</t>
        </is>
      </c>
      <c r="E573" s="5" t="inlineStr">
        <is>
          <t>42847922MDD3003</t>
        </is>
      </c>
      <c r="F573" s="16">
        <f>HYPERLINK("https://vtmf.veevavault.com/ui/#doc_info/31156757/1/0", "42847922MDD3003-SWE-S10-SE10009-Other Curriculum Vitae-28 Oct 2025 (v1.0)")</f>
        <v/>
      </c>
      <c r="G573" s="5" t="inlineStr">
        <is>
          <t>Site Management</t>
        </is>
      </c>
      <c r="H573" s="5" t="inlineStr">
        <is>
          <t>Site Set-up Documentation</t>
        </is>
      </c>
      <c r="I573" s="5" t="inlineStr">
        <is>
          <t>Other Curriculum Vitae</t>
        </is>
      </c>
      <c r="J573" s="5" t="inlineStr">
        <is>
          <t>CV_Eng_Larsson, T_Study nurse_Initial</t>
        </is>
      </c>
      <c r="K573" s="6" t="n">
        <v>134</v>
      </c>
      <c r="L573" s="7" t="n">
        <v>45958</v>
      </c>
      <c r="M573" s="11" t="n">
        <v>46092</v>
      </c>
      <c r="N573" s="5" t="inlineStr">
        <is>
          <t>Approved</t>
        </is>
      </c>
      <c r="O573" s="5" t="inlineStr">
        <is>
          <t>Site</t>
        </is>
      </c>
      <c r="P573" s="5" t="inlineStr">
        <is>
          <t>Sweden</t>
        </is>
      </c>
      <c r="Q573" s="13" t="inlineStr">
        <is>
          <t>S10-SE10009</t>
        </is>
      </c>
      <c r="R573" s="5" t="inlineStr">
        <is>
          <t>Marcus Nilsson</t>
        </is>
      </c>
      <c r="S573" s="8" t="n">
        <v>46092.37577546296</v>
      </c>
    </row>
    <row r="574" hidden="1" ht="29" customHeight="1">
      <c r="A574" s="15">
        <f>HYPERLINK("https://vtmf.veevavault.com/ui/#doc_info/31158494/1/0", "VTMF-25123016")</f>
        <v/>
      </c>
      <c r="B574" s="19" t="inlineStr">
        <is>
          <t>No</t>
        </is>
      </c>
      <c r="C574" s="5" t="inlineStr">
        <is>
          <t>1.0</t>
        </is>
      </c>
      <c r="D574" s="5" t="inlineStr">
        <is>
          <t>GCO</t>
        </is>
      </c>
      <c r="E574" s="5" t="inlineStr">
        <is>
          <t>42847922MDD3003</t>
        </is>
      </c>
      <c r="F574" s="16">
        <f>HYPERLINK("https://vtmf.veevavault.com/ui/#doc_info/31158494/1/0", "42847922MDD3003-ROU-S10-RO10011-Other Curriculum Vitae-19 May 2025 (v1.0)")</f>
        <v/>
      </c>
      <c r="G574" s="5" t="inlineStr">
        <is>
          <t>Site Management</t>
        </is>
      </c>
      <c r="H574" s="5" t="inlineStr">
        <is>
          <t>Site Set-up Documentation</t>
        </is>
      </c>
      <c r="I574" s="5" t="inlineStr">
        <is>
          <t>Other Curriculum Vitae</t>
        </is>
      </c>
      <c r="J574" s="5" t="inlineStr">
        <is>
          <t>CV_Buliga, I</t>
        </is>
      </c>
      <c r="K574" s="6" t="n">
        <v>296</v>
      </c>
      <c r="L574" s="7" t="n">
        <v>45796</v>
      </c>
      <c r="M574" s="11" t="n">
        <v>46092</v>
      </c>
      <c r="N574" s="5" t="inlineStr">
        <is>
          <t>Approved</t>
        </is>
      </c>
      <c r="O574" s="5" t="inlineStr">
        <is>
          <t>Site</t>
        </is>
      </c>
      <c r="P574" s="5" t="inlineStr">
        <is>
          <t>Romania</t>
        </is>
      </c>
      <c r="Q574" s="13" t="inlineStr">
        <is>
          <t>S10-RO10011</t>
        </is>
      </c>
      <c r="R574" s="5" t="inlineStr">
        <is>
          <t>Alexandra Matache</t>
        </is>
      </c>
      <c r="S574" s="8" t="n">
        <v>46092.51865740741</v>
      </c>
    </row>
    <row r="575" hidden="1" ht="29" customHeight="1">
      <c r="A575" s="15">
        <f>HYPERLINK("https://vtmf.veevavault.com/ui/#doc_info/31158518/1/0", "VTMF-25123057")</f>
        <v/>
      </c>
      <c r="B575" s="19" t="inlineStr">
        <is>
          <t>No</t>
        </is>
      </c>
      <c r="C575" s="5" t="inlineStr">
        <is>
          <t>1.0</t>
        </is>
      </c>
      <c r="D575" s="5" t="inlineStr">
        <is>
          <t>GCO</t>
        </is>
      </c>
      <c r="E575" s="5" t="inlineStr">
        <is>
          <t>42847922MDD3003</t>
        </is>
      </c>
      <c r="F575" s="16">
        <f>HYPERLINK("https://vtmf.veevavault.com/ui/#doc_info/31158518/1/0", "42847922MDD3003-ROU-S10-RO10011-Other Curriculum Vitae-19 May 2025 (v1.0)")</f>
        <v/>
      </c>
      <c r="G575" s="5" t="inlineStr">
        <is>
          <t>Site Management</t>
        </is>
      </c>
      <c r="H575" s="5" t="inlineStr">
        <is>
          <t>Site Set-up Documentation</t>
        </is>
      </c>
      <c r="I575" s="5" t="inlineStr">
        <is>
          <t>Other Curriculum Vitae</t>
        </is>
      </c>
      <c r="J575" s="5" t="inlineStr">
        <is>
          <t>CV_Emanoil, I</t>
        </is>
      </c>
      <c r="K575" s="6" t="n">
        <v>296</v>
      </c>
      <c r="L575" s="7" t="n">
        <v>45796</v>
      </c>
      <c r="M575" s="11" t="n">
        <v>46092</v>
      </c>
      <c r="N575" s="5" t="inlineStr">
        <is>
          <t>Approved</t>
        </is>
      </c>
      <c r="O575" s="5" t="inlineStr">
        <is>
          <t>Site</t>
        </is>
      </c>
      <c r="P575" s="5" t="inlineStr">
        <is>
          <t>Romania</t>
        </is>
      </c>
      <c r="Q575" s="13" t="inlineStr">
        <is>
          <t>S10-RO10011</t>
        </is>
      </c>
      <c r="R575" s="5" t="inlineStr">
        <is>
          <t>Alexandra Matache</t>
        </is>
      </c>
      <c r="S575" s="8" t="n">
        <v>46092.52202546296</v>
      </c>
    </row>
    <row r="576" hidden="1" ht="29" customHeight="1">
      <c r="A576" s="15">
        <f>HYPERLINK("https://vtmf.veevavault.com/ui/#doc_info/31158641/1/0", "VTMF-25123142")</f>
        <v/>
      </c>
      <c r="B576" s="19" t="inlineStr">
        <is>
          <t>No</t>
        </is>
      </c>
      <c r="C576" s="5" t="inlineStr">
        <is>
          <t>1.0</t>
        </is>
      </c>
      <c r="D576" s="5" t="inlineStr">
        <is>
          <t>GCO</t>
        </is>
      </c>
      <c r="E576" s="5" t="inlineStr">
        <is>
          <t>42847922MDD3003</t>
        </is>
      </c>
      <c r="F576" s="16">
        <f>HYPERLINK("https://vtmf.veevavault.com/ui/#doc_info/31158641/1/0", "42847922MDD3003-ROU-S10-RO10011-Principal Investigator Curriculum Vitae-19 Feb 2025 (v1.0)")</f>
        <v/>
      </c>
      <c r="G576" s="5" t="inlineStr">
        <is>
          <t>Site Management</t>
        </is>
      </c>
      <c r="H576" s="5" t="inlineStr">
        <is>
          <t>Site Set-up Documentation</t>
        </is>
      </c>
      <c r="I576" s="5" t="inlineStr">
        <is>
          <t>Principal Investigator Curriculum Vitae</t>
        </is>
      </c>
      <c r="J576" s="5" t="inlineStr">
        <is>
          <t>CV_EN_Stefanescu,</t>
        </is>
      </c>
      <c r="K576" s="6" t="n">
        <v>385</v>
      </c>
      <c r="L576" s="7" t="n">
        <v>45707</v>
      </c>
      <c r="M576" s="11" t="n">
        <v>46092</v>
      </c>
      <c r="N576" s="5" t="inlineStr">
        <is>
          <t>Approved</t>
        </is>
      </c>
      <c r="O576" s="5" t="inlineStr">
        <is>
          <t>Site</t>
        </is>
      </c>
      <c r="P576" s="5" t="inlineStr">
        <is>
          <t>Romania</t>
        </is>
      </c>
      <c r="Q576" s="13" t="inlineStr">
        <is>
          <t>S10-RO10011</t>
        </is>
      </c>
      <c r="R576" s="5" t="inlineStr">
        <is>
          <t>Alexandra Matache</t>
        </is>
      </c>
      <c r="S576" s="8" t="n">
        <v>46092.53112268518</v>
      </c>
    </row>
    <row r="577" hidden="1" ht="29" customHeight="1">
      <c r="A577" s="15">
        <f>HYPERLINK("https://vtmf.veevavault.com/ui/#doc_info/31158692/1/0", "VTMF-25123250")</f>
        <v/>
      </c>
      <c r="B577" s="19" t="inlineStr">
        <is>
          <t>No</t>
        </is>
      </c>
      <c r="C577" s="5" t="inlineStr">
        <is>
          <t>1.0</t>
        </is>
      </c>
      <c r="D577" s="5" t="inlineStr">
        <is>
          <t>GCO</t>
        </is>
      </c>
      <c r="E577" s="5" t="inlineStr">
        <is>
          <t>42847922MDD3003</t>
        </is>
      </c>
      <c r="F577" s="16">
        <f>HYPERLINK("https://vtmf.veevavault.com/ui/#doc_info/31158692/1/0", "42847922MDD3003-ROU-S10-RO10011-Site Signature Sheet-04 Feb 2026 (v1.0)")</f>
        <v/>
      </c>
      <c r="G577" s="5" t="inlineStr">
        <is>
          <t>Site Management</t>
        </is>
      </c>
      <c r="H577" s="5" t="inlineStr">
        <is>
          <t>Site Set-up Documentation</t>
        </is>
      </c>
      <c r="I577" s="5" t="inlineStr">
        <is>
          <t>Site Signature Sheet</t>
        </is>
      </c>
      <c r="J577" s="5" t="inlineStr">
        <is>
          <t>Delegation Log_Stefanescu, C_Final</t>
        </is>
      </c>
      <c r="K577" s="6" t="n">
        <v>35</v>
      </c>
      <c r="L577" s="7" t="n">
        <v>46057</v>
      </c>
      <c r="M577" s="11" t="n">
        <v>46092</v>
      </c>
      <c r="N577" s="5" t="inlineStr">
        <is>
          <t>Approved</t>
        </is>
      </c>
      <c r="O577" s="5" t="inlineStr">
        <is>
          <t>Site</t>
        </is>
      </c>
      <c r="P577" s="5" t="inlineStr">
        <is>
          <t>Romania</t>
        </is>
      </c>
      <c r="Q577" s="13" t="inlineStr">
        <is>
          <t>S10-RO10011</t>
        </is>
      </c>
      <c r="R577" s="5" t="inlineStr">
        <is>
          <t>Alexandra Matache</t>
        </is>
      </c>
      <c r="S577" s="8" t="n">
        <v>46092.54153935185</v>
      </c>
    </row>
    <row r="578" hidden="1" ht="29" customHeight="1">
      <c r="A578" s="15">
        <f>HYPERLINK("https://vtmf.veevavault.com/ui/#doc_info/31158873/1/0", "VTMF-25123342")</f>
        <v/>
      </c>
      <c r="B578" s="19" t="inlineStr">
        <is>
          <t>No</t>
        </is>
      </c>
      <c r="C578" s="5" t="inlineStr">
        <is>
          <t>1.0</t>
        </is>
      </c>
      <c r="D578" s="5" t="inlineStr">
        <is>
          <t>GCO</t>
        </is>
      </c>
      <c r="E578" s="5" t="inlineStr">
        <is>
          <t>42847922MDD3003</t>
        </is>
      </c>
      <c r="F578" s="16">
        <f>HYPERLINK("https://vtmf.veevavault.com/ui/#doc_info/31158873/1/0", "42847922MDD3003-ROU-S10-RO10011-Non-IP Shipment Documentation-31 Jul 2025 (v1.0)")</f>
        <v/>
      </c>
      <c r="G578" s="5" t="inlineStr">
        <is>
          <t>IP and Trial Supplies</t>
        </is>
      </c>
      <c r="H578" s="5" t="inlineStr">
        <is>
          <t>Non-IP Documentation</t>
        </is>
      </c>
      <c r="I578" s="5" t="inlineStr">
        <is>
          <t>Non-IP Shipment Documentation</t>
        </is>
      </c>
      <c r="J578" s="5" t="inlineStr">
        <is>
          <t>NIPSF_GPTP V8</t>
        </is>
      </c>
      <c r="K578" s="6" t="n">
        <v>223</v>
      </c>
      <c r="L578" s="7" t="n">
        <v>45869</v>
      </c>
      <c r="M578" s="11" t="n">
        <v>46092</v>
      </c>
      <c r="N578" s="5" t="inlineStr">
        <is>
          <t>Approved</t>
        </is>
      </c>
      <c r="O578" s="5" t="inlineStr">
        <is>
          <t>Site</t>
        </is>
      </c>
      <c r="P578" s="5" t="inlineStr">
        <is>
          <t>Romania</t>
        </is>
      </c>
      <c r="Q578" s="13" t="inlineStr">
        <is>
          <t>S10-RO10011</t>
        </is>
      </c>
      <c r="R578" s="5" t="inlineStr">
        <is>
          <t>Alexandra Matache</t>
        </is>
      </c>
      <c r="S578" s="8" t="n">
        <v>46092.54910879629</v>
      </c>
    </row>
    <row r="579" hidden="1" ht="29" customHeight="1">
      <c r="A579" s="15">
        <f>HYPERLINK("https://vtmf.veevavault.com/ui/#doc_info/31159291/1/0", "VTMF-25123630")</f>
        <v/>
      </c>
      <c r="B579" s="20" t="inlineStr">
        <is>
          <t>Yes</t>
        </is>
      </c>
      <c r="C579" s="5" t="inlineStr">
        <is>
          <t>1.0</t>
        </is>
      </c>
      <c r="D579" s="5" t="inlineStr">
        <is>
          <t>GCO</t>
        </is>
      </c>
      <c r="E579" s="5" t="inlineStr">
        <is>
          <t>42847922MDD3003</t>
        </is>
      </c>
      <c r="F579" s="16">
        <f>HYPERLINK("https://vtmf.veevavault.com/ui/#doc_info/31159291/1/0", "42847922MDD3003-ROU-S10-RO10011-On-site Drug Inventory and Reconciliation Form-04 Feb 2026 (v1.0)")</f>
        <v/>
      </c>
      <c r="G579" s="5" t="inlineStr">
        <is>
          <t>IP and Trial Supplies</t>
        </is>
      </c>
      <c r="H579" s="5" t="inlineStr">
        <is>
          <t>IP Documentation</t>
        </is>
      </c>
      <c r="I579" s="5" t="inlineStr">
        <is>
          <t>On-site Drug Inventory and Reconciliation Form</t>
        </is>
      </c>
      <c r="J579" s="5" t="inlineStr">
        <is>
          <t>On-Site Drug Inventory Form</t>
        </is>
      </c>
      <c r="K579" s="6" t="n">
        <v>35</v>
      </c>
      <c r="L579" s="7" t="n">
        <v>46057</v>
      </c>
      <c r="M579" s="11" t="n">
        <v>46092</v>
      </c>
      <c r="N579" s="5" t="inlineStr">
        <is>
          <t>Approved</t>
        </is>
      </c>
      <c r="O579" s="5" t="inlineStr">
        <is>
          <t>Site</t>
        </is>
      </c>
      <c r="P579" s="5" t="inlineStr">
        <is>
          <t>Romania</t>
        </is>
      </c>
      <c r="Q579" s="13" t="inlineStr">
        <is>
          <t>S10-RO10011</t>
        </is>
      </c>
      <c r="R579" s="5" t="inlineStr">
        <is>
          <t>Alexandra Matache</t>
        </is>
      </c>
      <c r="S579" s="8" t="n">
        <v>46092.58157407407</v>
      </c>
    </row>
    <row r="580" hidden="1">
      <c r="A580" s="15">
        <f>HYPERLINK("https://vtmf.veevavault.com/ui/#doc_info/31159411/1/0", "VTMF-25123654")</f>
        <v/>
      </c>
      <c r="B580" s="19" t="inlineStr">
        <is>
          <t>No</t>
        </is>
      </c>
      <c r="C580" s="5" t="inlineStr">
        <is>
          <t>1.0</t>
        </is>
      </c>
      <c r="D580" s="5" t="inlineStr">
        <is>
          <t>GCO</t>
        </is>
      </c>
      <c r="E580" s="5" t="inlineStr">
        <is>
          <t>42847922MDD3003</t>
        </is>
      </c>
      <c r="F580" s="16">
        <f>HYPERLINK("https://vtmf.veevavault.com/ui/#doc_info/31159411/1/0", "42847922MDD3003-ROU-S10-RO10011-Visit Log (v1.0)")</f>
        <v/>
      </c>
      <c r="G580" s="5" t="inlineStr">
        <is>
          <t>Site Management</t>
        </is>
      </c>
      <c r="H580" s="5" t="inlineStr">
        <is>
          <t>Site Management</t>
        </is>
      </c>
      <c r="I580" s="5" t="inlineStr">
        <is>
          <t>Visit Log</t>
        </is>
      </c>
      <c r="J580" s="5" t="inlineStr">
        <is>
          <t>Trial Center Visit Log</t>
        </is>
      </c>
      <c r="K580" s="6" t="n">
        <v>35</v>
      </c>
      <c r="L580" s="7" t="n">
        <v>46057</v>
      </c>
      <c r="M580" s="11" t="n">
        <v>46092</v>
      </c>
      <c r="N580" s="5" t="inlineStr">
        <is>
          <t>Approved</t>
        </is>
      </c>
      <c r="O580" s="5" t="inlineStr">
        <is>
          <t>Site</t>
        </is>
      </c>
      <c r="P580" s="5" t="inlineStr">
        <is>
          <t>Romania</t>
        </is>
      </c>
      <c r="Q580" s="13" t="inlineStr">
        <is>
          <t>S10-RO10011</t>
        </is>
      </c>
      <c r="R580" s="5" t="inlineStr">
        <is>
          <t>Alexandra Matache</t>
        </is>
      </c>
      <c r="S580" s="8" t="n">
        <v>46092.58354166667</v>
      </c>
    </row>
    <row r="581" hidden="1" ht="29" customHeight="1">
      <c r="A581" s="15">
        <f>HYPERLINK("https://vtmf.veevavault.com/ui/#doc_info/31159415/1/0", "VTMF-25123662")</f>
        <v/>
      </c>
      <c r="B581" s="20" t="inlineStr">
        <is>
          <t>Yes</t>
        </is>
      </c>
      <c r="C581" s="5" t="inlineStr">
        <is>
          <t>1.0</t>
        </is>
      </c>
      <c r="D581" s="5" t="inlineStr">
        <is>
          <t>GCO</t>
        </is>
      </c>
      <c r="E581" s="5" t="inlineStr">
        <is>
          <t>42847922MDD3003</t>
        </is>
      </c>
      <c r="F581" s="16">
        <f>HYPERLINK("https://vtmf.veevavault.com/ui/#doc_info/31159415/1/0", "42847922MDD3003-ROU-S10-RO10011-On-site Drug Inventory and Reconciliation Form-04 Feb 2026 (v1.0)")</f>
        <v/>
      </c>
      <c r="G581" s="5" t="inlineStr">
        <is>
          <t>IP and Trial Supplies</t>
        </is>
      </c>
      <c r="H581" s="5" t="inlineStr">
        <is>
          <t>IP Documentation</t>
        </is>
      </c>
      <c r="I581" s="5" t="inlineStr">
        <is>
          <t>On-site Drug Inventory and Reconciliation Form</t>
        </is>
      </c>
      <c r="J581" s="5" t="inlineStr">
        <is>
          <t>On-Site Drug Inventory and Accountability Form</t>
        </is>
      </c>
      <c r="K581" s="6" t="n">
        <v>35</v>
      </c>
      <c r="L581" s="7" t="n">
        <v>46057</v>
      </c>
      <c r="M581" s="11" t="n">
        <v>46092</v>
      </c>
      <c r="N581" s="5" t="inlineStr">
        <is>
          <t>Approved</t>
        </is>
      </c>
      <c r="O581" s="5" t="inlineStr">
        <is>
          <t>Site</t>
        </is>
      </c>
      <c r="P581" s="5" t="inlineStr">
        <is>
          <t>Romania</t>
        </is>
      </c>
      <c r="Q581" s="13" t="inlineStr">
        <is>
          <t>S10-RO10011</t>
        </is>
      </c>
      <c r="R581" s="5" t="inlineStr">
        <is>
          <t>Alexandra Matache</t>
        </is>
      </c>
      <c r="S581" s="8" t="n">
        <v>46092.58532407408</v>
      </c>
    </row>
    <row r="582" hidden="1">
      <c r="A582" s="15">
        <f>HYPERLINK("https://vtmf.veevavault.com/ui/#doc_info/31160203/1/0", "VTMF-25124238")</f>
        <v/>
      </c>
      <c r="B582" s="19" t="inlineStr">
        <is>
          <t>No</t>
        </is>
      </c>
      <c r="C582" s="5" t="inlineStr">
        <is>
          <t>1.0</t>
        </is>
      </c>
      <c r="D582" s="5" t="inlineStr">
        <is>
          <t>GCO</t>
        </is>
      </c>
      <c r="E582" s="5" t="inlineStr">
        <is>
          <t>42847922MDD3003</t>
        </is>
      </c>
      <c r="F582" s="16">
        <f>HYPERLINK("https://vtmf.veevavault.com/ui/#doc_info/31160203/1/0", "42847922MDD3003-ARG--Regulatory Submission-11 Dec 2025 (v1.0)")</f>
        <v/>
      </c>
      <c r="G582" s="5" t="inlineStr">
        <is>
          <t>Regulatory</t>
        </is>
      </c>
      <c r="H582" s="5" t="inlineStr">
        <is>
          <t>Trial Approval</t>
        </is>
      </c>
      <c r="I582" s="5" t="inlineStr">
        <is>
          <t>Regulatory Submission</t>
        </is>
      </c>
      <c r="J582" s="5" t="inlineStr">
        <is>
          <t>Anmat submission_Import extension_11dec2025</t>
        </is>
      </c>
      <c r="K582" s="6" t="n">
        <v>90</v>
      </c>
      <c r="L582" s="7" t="n">
        <v>46002</v>
      </c>
      <c r="M582" s="11" t="n">
        <v>46092</v>
      </c>
      <c r="N582" s="5" t="inlineStr">
        <is>
          <t>Approved</t>
        </is>
      </c>
      <c r="O582" s="5" t="inlineStr">
        <is>
          <t>Country</t>
        </is>
      </c>
      <c r="P582" s="5" t="inlineStr">
        <is>
          <t>Argentina</t>
        </is>
      </c>
      <c r="Q582" s="13" t="inlineStr"/>
      <c r="R582" s="5" t="inlineStr">
        <is>
          <t>Paula Missart</t>
        </is>
      </c>
      <c r="S582" s="8" t="n">
        <v>46092.63978009259</v>
      </c>
    </row>
    <row r="583" hidden="1" ht="29" customHeight="1">
      <c r="A583" s="15">
        <f>HYPERLINK("https://vtmf.veevavault.com/ui/#doc_info/31159200/1/0", "VTMF-25124272")</f>
        <v/>
      </c>
      <c r="B583" s="20" t="inlineStr">
        <is>
          <t>Yes</t>
        </is>
      </c>
      <c r="C583" s="5" t="inlineStr">
        <is>
          <t>1.0</t>
        </is>
      </c>
      <c r="D583" s="5" t="inlineStr">
        <is>
          <t>GCO</t>
        </is>
      </c>
      <c r="E583" s="5" t="inlineStr">
        <is>
          <t>42847922MDD3003</t>
        </is>
      </c>
      <c r="F583" s="16">
        <f>HYPERLINK("https://vtmf.veevavault.com/ui/#doc_info/31159200/1/0", "42847922MDD3003-CZE-S10-CZ10004-Relevant Communications-27 Jan 2026 (v1.0)")</f>
        <v/>
      </c>
      <c r="G583" s="5" t="inlineStr">
        <is>
          <t>Site Management</t>
        </is>
      </c>
      <c r="H583" s="5" t="inlineStr">
        <is>
          <t>General</t>
        </is>
      </c>
      <c r="I583" s="5" t="inlineStr">
        <is>
          <t>Relevant Communications</t>
        </is>
      </c>
      <c r="J583" s="5" t="inlineStr">
        <is>
          <t>Email to site_new Protocol Amendment 2 Training v4.0_sent 27Jan2026</t>
        </is>
      </c>
      <c r="K583" s="6" t="n">
        <v>43</v>
      </c>
      <c r="L583" s="7" t="n">
        <v>46049</v>
      </c>
      <c r="M583" s="11" t="n">
        <v>46092</v>
      </c>
      <c r="N583" s="5" t="inlineStr">
        <is>
          <t>Approved</t>
        </is>
      </c>
      <c r="O583" s="5" t="inlineStr">
        <is>
          <t>Site</t>
        </is>
      </c>
      <c r="P583" s="5" t="inlineStr">
        <is>
          <t>Czech Republic</t>
        </is>
      </c>
      <c r="Q583" s="13" t="inlineStr">
        <is>
          <t>S10-CZ10004</t>
        </is>
      </c>
      <c r="R583" s="5" t="inlineStr">
        <is>
          <t>System</t>
        </is>
      </c>
      <c r="S583" s="8" t="n">
        <v>46092.63739583334</v>
      </c>
    </row>
    <row r="584" hidden="1">
      <c r="A584" s="15">
        <f>HYPERLINK("https://vtmf.veevavault.com/ui/#doc_info/31160250/1/0", "VTMF-25124319")</f>
        <v/>
      </c>
      <c r="B584" s="19" t="inlineStr">
        <is>
          <t>No</t>
        </is>
      </c>
      <c r="C584" s="5" t="inlineStr">
        <is>
          <t>1.0</t>
        </is>
      </c>
      <c r="D584" s="5" t="inlineStr">
        <is>
          <t>GCO</t>
        </is>
      </c>
      <c r="E584" s="5" t="inlineStr">
        <is>
          <t>42847922MDD3003</t>
        </is>
      </c>
      <c r="F584" s="16">
        <f>HYPERLINK("https://vtmf.veevavault.com/ui/#doc_info/31160250/1/0", "42847922MDD3003-ARG--Regulatory Submission-05 Jan 2026 (v1.0)")</f>
        <v/>
      </c>
      <c r="G584" s="5" t="inlineStr">
        <is>
          <t>Regulatory</t>
        </is>
      </c>
      <c r="H584" s="5" t="inlineStr">
        <is>
          <t>Trial Approval</t>
        </is>
      </c>
      <c r="I584" s="5" t="inlineStr">
        <is>
          <t>Regulatory Submission</t>
        </is>
      </c>
      <c r="J584" s="5" t="inlineStr">
        <is>
          <t>Anmat submission_Import extension requirement</t>
        </is>
      </c>
      <c r="K584" s="6" t="n">
        <v>65</v>
      </c>
      <c r="L584" s="7" t="n">
        <v>46027</v>
      </c>
      <c r="M584" s="11" t="n">
        <v>46092</v>
      </c>
      <c r="N584" s="5" t="inlineStr">
        <is>
          <t>Approved</t>
        </is>
      </c>
      <c r="O584" s="5" t="inlineStr">
        <is>
          <t>Country</t>
        </is>
      </c>
      <c r="P584" s="5" t="inlineStr">
        <is>
          <t>Argentina</t>
        </is>
      </c>
      <c r="Q584" s="13" t="inlineStr"/>
      <c r="R584" s="5" t="inlineStr">
        <is>
          <t>Paula Missart</t>
        </is>
      </c>
      <c r="S584" s="8" t="n">
        <v>46092.6469212963</v>
      </c>
    </row>
    <row r="585" hidden="1">
      <c r="A585" s="15">
        <f>HYPERLINK("https://vtmf.veevavault.com/ui/#doc_info/31160264/1/0", "VTMF-25124342")</f>
        <v/>
      </c>
      <c r="B585" s="20" t="inlineStr">
        <is>
          <t>Yes</t>
        </is>
      </c>
      <c r="C585" s="5" t="inlineStr">
        <is>
          <t>1.0</t>
        </is>
      </c>
      <c r="D585" s="5" t="inlineStr">
        <is>
          <t>GCO</t>
        </is>
      </c>
      <c r="E585" s="5" t="inlineStr">
        <is>
          <t>42847922MDD3003</t>
        </is>
      </c>
      <c r="F585" s="16">
        <f>HYPERLINK("https://vtmf.veevavault.com/ui/#doc_info/31160264/1/0", "42847922MDD3003-ARG--Approval-09 Jan 2026 (v1.0)")</f>
        <v/>
      </c>
      <c r="G585" s="5" t="inlineStr">
        <is>
          <t>Regulatory</t>
        </is>
      </c>
      <c r="H585" s="5" t="inlineStr">
        <is>
          <t>Trial Approval</t>
        </is>
      </c>
      <c r="I585" s="5" t="inlineStr">
        <is>
          <t>Approval</t>
        </is>
      </c>
      <c r="J585" s="5" t="inlineStr">
        <is>
          <t>ANMAT Approval_Import extension_12JAN2026</t>
        </is>
      </c>
      <c r="K585" s="6" t="n">
        <v>61</v>
      </c>
      <c r="L585" s="7" t="n">
        <v>46031</v>
      </c>
      <c r="M585" s="11" t="n">
        <v>46092</v>
      </c>
      <c r="N585" s="5" t="inlineStr">
        <is>
          <t>Approved</t>
        </is>
      </c>
      <c r="O585" s="5" t="inlineStr">
        <is>
          <t>Country</t>
        </is>
      </c>
      <c r="P585" s="5" t="inlineStr">
        <is>
          <t>Argentina</t>
        </is>
      </c>
      <c r="Q585" s="13" t="inlineStr"/>
      <c r="R585" s="5" t="inlineStr">
        <is>
          <t>Paula Missart</t>
        </is>
      </c>
      <c r="S585" s="8" t="n">
        <v>46092.64850694445</v>
      </c>
    </row>
    <row r="586" hidden="1" ht="29" customHeight="1">
      <c r="A586" s="15">
        <f>HYPERLINK("https://vtmf.veevavault.com/ui/#doc_info/31160629/1/0", "VTMF-25124626")</f>
        <v/>
      </c>
      <c r="B586" s="20" t="inlineStr">
        <is>
          <t>Yes</t>
        </is>
      </c>
      <c r="C586" s="5" t="inlineStr">
        <is>
          <t>1.0</t>
        </is>
      </c>
      <c r="D586" s="5" t="inlineStr">
        <is>
          <t>GCO</t>
        </is>
      </c>
      <c r="E586" s="5" t="inlineStr">
        <is>
          <t>42847922MDD3003</t>
        </is>
      </c>
      <c r="F586" s="16">
        <f>HYPERLINK("https://vtmf.veevavault.com/ui/#doc_info/31160629/1/0", "42847922MDD3003-USA-S10-US10252-Form FDA1572-12 Aug 2025 (v1.0)")</f>
        <v/>
      </c>
      <c r="G586" s="5" t="inlineStr">
        <is>
          <t>Site Management</t>
        </is>
      </c>
      <c r="H586" s="5" t="inlineStr">
        <is>
          <t>Site Set-up Documentation</t>
        </is>
      </c>
      <c r="I586" s="5" t="inlineStr">
        <is>
          <t>Form FDA1572</t>
        </is>
      </c>
      <c r="J586" s="5" t="inlineStr">
        <is>
          <t>1572_Revised</t>
        </is>
      </c>
      <c r="K586" s="6" t="n">
        <v>211</v>
      </c>
      <c r="L586" s="7" t="n">
        <v>45881</v>
      </c>
      <c r="M586" s="11" t="n">
        <v>46092</v>
      </c>
      <c r="N586" s="5" t="inlineStr">
        <is>
          <t>Approved</t>
        </is>
      </c>
      <c r="O586" s="5" t="inlineStr">
        <is>
          <t>Site</t>
        </is>
      </c>
      <c r="P586" s="5" t="inlineStr">
        <is>
          <t>United States</t>
        </is>
      </c>
      <c r="Q586" s="13" t="inlineStr">
        <is>
          <t>S10-US10252</t>
        </is>
      </c>
      <c r="R586" s="5" t="inlineStr">
        <is>
          <t>Daniel Woodland</t>
        </is>
      </c>
      <c r="S586" s="8" t="n">
        <v>46092.67502314815</v>
      </c>
    </row>
    <row r="587" hidden="1" ht="29" customHeight="1">
      <c r="A587" s="15">
        <f>HYPERLINK("https://vtmf.veevavault.com/ui/#doc_info/31161450/1/0", "VTMF-25125364")</f>
        <v/>
      </c>
      <c r="B587" s="19" t="inlineStr">
        <is>
          <t>No</t>
        </is>
      </c>
      <c r="C587" s="5" t="inlineStr">
        <is>
          <t>1.0</t>
        </is>
      </c>
      <c r="D587" s="5" t="inlineStr">
        <is>
          <t>GCO</t>
        </is>
      </c>
      <c r="E587" s="5" t="inlineStr">
        <is>
          <t>42847922MDD3003</t>
        </is>
      </c>
      <c r="F587" s="16">
        <f>HYPERLINK("https://vtmf.veevavault.com/ui/#doc_info/31161450/1/0", "42847922MDD3003-ESP-S10-ES10002-Other Curriculum Vitae-03 Feb 2026 (v1.0)")</f>
        <v/>
      </c>
      <c r="G587" s="5" t="inlineStr">
        <is>
          <t>Site Management</t>
        </is>
      </c>
      <c r="H587" s="5" t="inlineStr">
        <is>
          <t>Site Set-up Documentation</t>
        </is>
      </c>
      <c r="I587" s="5" t="inlineStr">
        <is>
          <t>Other Curriculum Vitae</t>
        </is>
      </c>
      <c r="J587" s="5" t="inlineStr">
        <is>
          <t>Other CV_English_Rue, A_Initial</t>
        </is>
      </c>
      <c r="K587" s="6" t="n">
        <v>36</v>
      </c>
      <c r="L587" s="7" t="n">
        <v>46056</v>
      </c>
      <c r="M587" s="11" t="n">
        <v>46092</v>
      </c>
      <c r="N587" s="5" t="inlineStr">
        <is>
          <t>Approved</t>
        </is>
      </c>
      <c r="O587" s="5" t="inlineStr">
        <is>
          <t>Site</t>
        </is>
      </c>
      <c r="P587" s="5" t="inlineStr">
        <is>
          <t>Spain</t>
        </is>
      </c>
      <c r="Q587" s="13" t="inlineStr">
        <is>
          <t>S10-ES10002</t>
        </is>
      </c>
      <c r="R587" s="5" t="inlineStr">
        <is>
          <t>Ruben Ayora</t>
        </is>
      </c>
      <c r="S587" s="8" t="n">
        <v>46092.73078703704</v>
      </c>
    </row>
    <row r="588" hidden="1" ht="29" customHeight="1">
      <c r="A588" s="15">
        <f>HYPERLINK("https://vtmf.veevavault.com/ui/#doc_info/31163866/1/0", "VTMF-25127515")</f>
        <v/>
      </c>
      <c r="B588" s="19" t="inlineStr">
        <is>
          <t>No</t>
        </is>
      </c>
      <c r="C588" s="5" t="inlineStr">
        <is>
          <t>1.0</t>
        </is>
      </c>
      <c r="D588" s="5" t="inlineStr">
        <is>
          <t>GCO</t>
        </is>
      </c>
      <c r="E588" s="5" t="inlineStr">
        <is>
          <t>42847922MDD3003</t>
        </is>
      </c>
      <c r="F588" s="16">
        <f>HYPERLINK("https://vtmf.veevavault.com/ui/#doc_info/31163866/1/0", "42847922MDD3003-USA--Certificate of Destruction-20 Nov 2025 (v1.0)")</f>
        <v/>
      </c>
      <c r="G588" s="5" t="inlineStr">
        <is>
          <t>IP and Trial Supplies</t>
        </is>
      </c>
      <c r="H588" s="5" t="inlineStr">
        <is>
          <t>IP Documentation</t>
        </is>
      </c>
      <c r="I588" s="5" t="inlineStr">
        <is>
          <t>Certificate of Destruction</t>
        </is>
      </c>
      <c r="J588" s="5" t="inlineStr">
        <is>
          <t>COD_20Nov25</t>
        </is>
      </c>
      <c r="K588" s="6" t="n">
        <v>112</v>
      </c>
      <c r="L588" s="7" t="n">
        <v>45981</v>
      </c>
      <c r="M588" s="11" t="n">
        <v>46093</v>
      </c>
      <c r="N588" s="5" t="inlineStr">
        <is>
          <t>Approved</t>
        </is>
      </c>
      <c r="O588" s="5" t="inlineStr">
        <is>
          <t>Country</t>
        </is>
      </c>
      <c r="P588" s="5" t="inlineStr">
        <is>
          <t>United States</t>
        </is>
      </c>
      <c r="Q588" s="13" t="inlineStr"/>
      <c r="R588" s="5" t="inlineStr">
        <is>
          <t>Juliet Leshner</t>
        </is>
      </c>
      <c r="S588" s="8" t="n">
        <v>46092.97020833333</v>
      </c>
    </row>
    <row r="589" hidden="1">
      <c r="A589" s="15">
        <f>HYPERLINK("https://vtmf.veevavault.com/ui/#doc_info/31163867/1/0", "VTMF-25127516")</f>
        <v/>
      </c>
      <c r="B589" s="19" t="inlineStr">
        <is>
          <t>No</t>
        </is>
      </c>
      <c r="C589" s="5" t="inlineStr">
        <is>
          <t>1.0</t>
        </is>
      </c>
      <c r="D589" s="5" t="inlineStr">
        <is>
          <t>GCO</t>
        </is>
      </c>
      <c r="E589" s="5" t="inlineStr">
        <is>
          <t>42847922MDD3003</t>
        </is>
      </c>
      <c r="F589" s="16">
        <f>HYPERLINK("https://vtmf.veevavault.com/ui/#doc_info/31163867/1/0", "42847922MDD3003-USA--Certificate of Destruction-09 Jul 2025 (v1.0)")</f>
        <v/>
      </c>
      <c r="G589" s="5" t="inlineStr">
        <is>
          <t>IP and Trial Supplies</t>
        </is>
      </c>
      <c r="H589" s="5" t="inlineStr">
        <is>
          <t>IP Documentation</t>
        </is>
      </c>
      <c r="I589" s="5" t="inlineStr">
        <is>
          <t>Certificate of Destruction</t>
        </is>
      </c>
      <c r="J589" s="5" t="inlineStr">
        <is>
          <t>COD_09 Jul 2025</t>
        </is>
      </c>
      <c r="K589" s="6" t="n">
        <v>246</v>
      </c>
      <c r="L589" s="7" t="n">
        <v>45847</v>
      </c>
      <c r="M589" s="11" t="n">
        <v>46093</v>
      </c>
      <c r="N589" s="5" t="inlineStr">
        <is>
          <t>Approved</t>
        </is>
      </c>
      <c r="O589" s="5" t="inlineStr">
        <is>
          <t>Country</t>
        </is>
      </c>
      <c r="P589" s="5" t="inlineStr">
        <is>
          <t>United States</t>
        </is>
      </c>
      <c r="Q589" s="13" t="inlineStr"/>
      <c r="R589" s="5" t="inlineStr">
        <is>
          <t>Juliet Leshner</t>
        </is>
      </c>
      <c r="S589" s="8" t="n">
        <v>46092.97020833333</v>
      </c>
    </row>
    <row r="590" hidden="1" ht="29" customHeight="1">
      <c r="A590" s="15">
        <f>HYPERLINK("https://vtmf.veevavault.com/ui/#doc_info/31163868/1/0", "VTMF-25127517")</f>
        <v/>
      </c>
      <c r="B590" s="19" t="inlineStr">
        <is>
          <t>No</t>
        </is>
      </c>
      <c r="C590" s="5" t="inlineStr">
        <is>
          <t>1.0</t>
        </is>
      </c>
      <c r="D590" s="5" t="inlineStr">
        <is>
          <t>GCO</t>
        </is>
      </c>
      <c r="E590" s="5" t="inlineStr">
        <is>
          <t>42847922MDD3003</t>
        </is>
      </c>
      <c r="F590" s="16">
        <f>HYPERLINK("https://vtmf.veevavault.com/ui/#doc_info/31163868/1/0", "42847922MDD3003-USA--Certificate of Destruction-17 Oct 2025 (v1.0)")</f>
        <v/>
      </c>
      <c r="G590" s="5" t="inlineStr">
        <is>
          <t>IP and Trial Supplies</t>
        </is>
      </c>
      <c r="H590" s="5" t="inlineStr">
        <is>
          <t>IP Documentation</t>
        </is>
      </c>
      <c r="I590" s="5" t="inlineStr">
        <is>
          <t>Certificate of Destruction</t>
        </is>
      </c>
      <c r="J590" s="5" t="inlineStr">
        <is>
          <t>COD_17Oct25</t>
        </is>
      </c>
      <c r="K590" s="6" t="n">
        <v>146</v>
      </c>
      <c r="L590" s="7" t="n">
        <v>45947</v>
      </c>
      <c r="M590" s="11" t="n">
        <v>46093</v>
      </c>
      <c r="N590" s="5" t="inlineStr">
        <is>
          <t>Approved</t>
        </is>
      </c>
      <c r="O590" s="5" t="inlineStr">
        <is>
          <t>Country</t>
        </is>
      </c>
      <c r="P590" s="5" t="inlineStr">
        <is>
          <t>United States</t>
        </is>
      </c>
      <c r="Q590" s="13" t="inlineStr"/>
      <c r="R590" s="5" t="inlineStr">
        <is>
          <t>Juliet Leshner</t>
        </is>
      </c>
      <c r="S590" s="8" t="n">
        <v>46092.97020833333</v>
      </c>
    </row>
    <row r="591" hidden="1" ht="29" customHeight="1">
      <c r="A591" s="15">
        <f>HYPERLINK("https://vtmf.veevavault.com/ui/#doc_info/31168367/1/0", "VTMF-25131399")</f>
        <v/>
      </c>
      <c r="B591" s="19" t="inlineStr">
        <is>
          <t>No</t>
        </is>
      </c>
      <c r="C591" s="5" t="inlineStr">
        <is>
          <t>1.0</t>
        </is>
      </c>
      <c r="D591" s="5" t="inlineStr">
        <is>
          <t>GCO</t>
        </is>
      </c>
      <c r="E591" s="5" t="inlineStr">
        <is>
          <t>42847922MDD3003</t>
        </is>
      </c>
      <c r="F591" s="16">
        <f>HYPERLINK("https://vtmf.veevavault.com/ui/#doc_info/31168367/1/0", "42847922MDD3003-CZE-S10-CZ10004-IP Destruction Form-23 Jan 2026 (v1.0)")</f>
        <v/>
      </c>
      <c r="G591" s="5" t="inlineStr">
        <is>
          <t>IP and Trial Supplies</t>
        </is>
      </c>
      <c r="H591" s="5" t="inlineStr">
        <is>
          <t>IP Documentation</t>
        </is>
      </c>
      <c r="I591" s="5" t="inlineStr">
        <is>
          <t>IP Destruction Form</t>
        </is>
      </c>
      <c r="J591" s="5" t="inlineStr">
        <is>
          <t>Destruction form CZ-DESTR-008-2026</t>
        </is>
      </c>
      <c r="K591" s="6" t="n">
        <v>48</v>
      </c>
      <c r="L591" s="7" t="n">
        <v>46045</v>
      </c>
      <c r="M591" s="11" t="n">
        <v>46093</v>
      </c>
      <c r="N591" s="5" t="inlineStr">
        <is>
          <t>Approved</t>
        </is>
      </c>
      <c r="O591" s="5" t="inlineStr">
        <is>
          <t>Site</t>
        </is>
      </c>
      <c r="P591" s="5" t="inlineStr">
        <is>
          <t>Czech Republic</t>
        </is>
      </c>
      <c r="Q591" s="13" t="inlineStr">
        <is>
          <t>S10-CZ10004</t>
        </is>
      </c>
      <c r="R591" s="5" t="inlineStr">
        <is>
          <t>Jitka Kone</t>
        </is>
      </c>
      <c r="S591" s="8" t="n">
        <v>46093.37858796296</v>
      </c>
    </row>
    <row r="592" hidden="1" ht="29" customHeight="1">
      <c r="A592" s="15">
        <f>HYPERLINK("https://vtmf.veevavault.com/ui/#doc_info/31172050/1/0", "VTMF-25134473")</f>
        <v/>
      </c>
      <c r="B592" s="19" t="inlineStr">
        <is>
          <t>No</t>
        </is>
      </c>
      <c r="C592" s="5" t="inlineStr">
        <is>
          <t>1.0</t>
        </is>
      </c>
      <c r="D592" s="5" t="inlineStr">
        <is>
          <t>GCO</t>
        </is>
      </c>
      <c r="E592" s="5" t="inlineStr">
        <is>
          <t>42847922MDD3003</t>
        </is>
      </c>
      <c r="F592" s="16">
        <f>HYPERLINK("https://vtmf.veevavault.com/ui/#doc_info/31172050/1/0", "42847922MDD3003-ARG-S10-AR10016-Non-IP Shipment Documentation-11 Sep 2024 (v1.0)")</f>
        <v/>
      </c>
      <c r="G592" s="5" t="inlineStr">
        <is>
          <t>IP and Trial Supplies</t>
        </is>
      </c>
      <c r="H592" s="5" t="inlineStr">
        <is>
          <t>Non-IP Documentation</t>
        </is>
      </c>
      <c r="I592" s="5" t="inlineStr">
        <is>
          <t>Non-IP Shipment Documentation</t>
        </is>
      </c>
      <c r="J592" s="5" t="inlineStr">
        <is>
          <t>Non-IP Shipment_ECG and smartphones</t>
        </is>
      </c>
      <c r="K592" s="6" t="n">
        <v>547</v>
      </c>
      <c r="L592" s="7" t="n">
        <v>45546</v>
      </c>
      <c r="M592" s="11" t="n">
        <v>46093</v>
      </c>
      <c r="N592" s="5" t="inlineStr">
        <is>
          <t>Approved</t>
        </is>
      </c>
      <c r="O592" s="5" t="inlineStr">
        <is>
          <t>Site</t>
        </is>
      </c>
      <c r="P592" s="5" t="inlineStr">
        <is>
          <t>Argentina</t>
        </is>
      </c>
      <c r="Q592" s="13" t="inlineStr">
        <is>
          <t>S10-AR10016</t>
        </is>
      </c>
      <c r="R592" s="5" t="inlineStr">
        <is>
          <t>Maria Emilia Garcia</t>
        </is>
      </c>
      <c r="S592" s="8" t="n">
        <v>46093.66130787037</v>
      </c>
    </row>
    <row r="593" hidden="1" ht="29" customHeight="1">
      <c r="A593" s="15">
        <f>HYPERLINK("https://vtmf.veevavault.com/ui/#doc_info/31172143/1/0", "VTMF-25134554")</f>
        <v/>
      </c>
      <c r="B593" s="19" t="inlineStr">
        <is>
          <t>No</t>
        </is>
      </c>
      <c r="C593" s="5" t="inlineStr">
        <is>
          <t>1.0</t>
        </is>
      </c>
      <c r="D593" s="5" t="inlineStr">
        <is>
          <t>GCO</t>
        </is>
      </c>
      <c r="E593" s="5" t="inlineStr">
        <is>
          <t>42847922MDD3003</t>
        </is>
      </c>
      <c r="F593" s="16">
        <f>HYPERLINK("https://vtmf.veevavault.com/ui/#doc_info/31172143/1/0", "42847922MDD3003-ARG-S10-AR10013-Non-IP Shipment Documentation-16 Sep 2025 (v1.0)")</f>
        <v/>
      </c>
      <c r="G593" s="5" t="inlineStr">
        <is>
          <t>IP and Trial Supplies</t>
        </is>
      </c>
      <c r="H593" s="5" t="inlineStr">
        <is>
          <t>Non-IP Documentation</t>
        </is>
      </c>
      <c r="I593" s="5" t="inlineStr">
        <is>
          <t>Non-IP Shipment Documentation</t>
        </is>
      </c>
      <c r="J593" s="5" t="inlineStr">
        <is>
          <t>NonIP_Shipment_Dreem</t>
        </is>
      </c>
      <c r="K593" s="6" t="n">
        <v>177</v>
      </c>
      <c r="L593" s="7" t="n">
        <v>45916</v>
      </c>
      <c r="M593" s="11" t="n">
        <v>46093</v>
      </c>
      <c r="N593" s="5" t="inlineStr">
        <is>
          <t>Approved</t>
        </is>
      </c>
      <c r="O593" s="5" t="inlineStr">
        <is>
          <t>Site</t>
        </is>
      </c>
      <c r="P593" s="5" t="inlineStr">
        <is>
          <t>Argentina</t>
        </is>
      </c>
      <c r="Q593" s="13" t="inlineStr">
        <is>
          <t>S10-AR10013</t>
        </is>
      </c>
      <c r="R593" s="5" t="inlineStr">
        <is>
          <t>Maria Emilia Garcia</t>
        </is>
      </c>
      <c r="S593" s="8" t="n">
        <v>46093.66521990741</v>
      </c>
    </row>
    <row r="594" hidden="1" ht="29" customHeight="1">
      <c r="A594" s="15">
        <f>HYPERLINK("https://vtmf.veevavault.com/ui/#doc_info/31175410/1/0", "VTMF-25137164")</f>
        <v/>
      </c>
      <c r="B594" s="20" t="inlineStr">
        <is>
          <t>Yes</t>
        </is>
      </c>
      <c r="C594" s="5" t="inlineStr">
        <is>
          <t>1.0</t>
        </is>
      </c>
      <c r="D594" s="5" t="inlineStr">
        <is>
          <t>GCO</t>
        </is>
      </c>
      <c r="E594" s="5" t="inlineStr">
        <is>
          <t>42847922MDD3003</t>
        </is>
      </c>
      <c r="F594" s="16">
        <f>HYPERLINK("https://vtmf.veevavault.com/ui/#doc_info/31175410/1/0", "42847922MDD3003-BRA--Translation and Revision Form-09 Aug 2023 (v1.0)")</f>
        <v/>
      </c>
      <c r="G594" s="5" t="inlineStr">
        <is>
          <t>Central Trial Documents</t>
        </is>
      </c>
      <c r="H594" s="5" t="inlineStr">
        <is>
          <t>Trial Documents</t>
        </is>
      </c>
      <c r="I594" s="5" t="inlineStr">
        <is>
          <t>Translation and Revision Form</t>
        </is>
      </c>
      <c r="J594" s="5" t="inlineStr">
        <is>
          <t>IB_Ed[11 vs 12]-Track Changes-JNJ-42847922-AAA-1074638; 09Aug2023</t>
        </is>
      </c>
      <c r="K594" s="6" t="n">
        <v>946</v>
      </c>
      <c r="L594" s="7" t="n">
        <v>45147</v>
      </c>
      <c r="M594" s="11" t="n">
        <v>46093</v>
      </c>
      <c r="N594" s="5" t="inlineStr">
        <is>
          <t>Approved</t>
        </is>
      </c>
      <c r="O594" s="5" t="inlineStr">
        <is>
          <t>Country</t>
        </is>
      </c>
      <c r="P594" s="5" t="inlineStr">
        <is>
          <t>Brazil</t>
        </is>
      </c>
      <c r="Q594" s="13" t="inlineStr"/>
      <c r="R594" s="5" t="inlineStr">
        <is>
          <t>Vanessa Ferezini Miorando</t>
        </is>
      </c>
      <c r="S594" s="8" t="n">
        <v>46093.93612268518</v>
      </c>
    </row>
    <row r="595">
      <c r="A595" s="15">
        <f>HYPERLINK("https://vtmf.veevavault.com/ui/#doc_info/31180390/1/0", "VTMF-25141689")</f>
        <v/>
      </c>
      <c r="B595" s="20" t="inlineStr">
        <is>
          <t>Yes</t>
        </is>
      </c>
      <c r="C595" s="5" t="inlineStr">
        <is>
          <t>1.0</t>
        </is>
      </c>
      <c r="D595" s="5" t="inlineStr">
        <is>
          <t>GCO</t>
        </is>
      </c>
      <c r="E595" s="5" t="inlineStr">
        <is>
          <t>42847922MDD3003</t>
        </is>
      </c>
      <c r="F595" s="16">
        <f>HYPERLINK("https://vtmf.veevavault.com/ui/#doc_info/31180390/1/0", "42847922MDD3003-CZE--Tracking Information-13 Oct 2025 (v1.0)")</f>
        <v/>
      </c>
      <c r="G595" s="5" t="inlineStr">
        <is>
          <t>Trial Management</t>
        </is>
      </c>
      <c r="H595" s="5" t="inlineStr">
        <is>
          <t>General</t>
        </is>
      </c>
      <c r="I595" s="5" t="inlineStr">
        <is>
          <t>Tracking Information</t>
        </is>
      </c>
      <c r="J595" s="5" t="inlineStr">
        <is>
          <t>ICF tracking log</t>
        </is>
      </c>
      <c r="K595" s="6" t="n">
        <v>151</v>
      </c>
      <c r="L595" s="7" t="n">
        <v>45943</v>
      </c>
      <c r="M595" s="11" t="n">
        <v>46094</v>
      </c>
      <c r="N595" s="5" t="inlineStr">
        <is>
          <t>Approved</t>
        </is>
      </c>
      <c r="O595" s="5" t="inlineStr">
        <is>
          <t>Country</t>
        </is>
      </c>
      <c r="P595" s="5" t="inlineStr">
        <is>
          <t>Czech Republic</t>
        </is>
      </c>
      <c r="Q595" s="13" t="inlineStr"/>
      <c r="R595" s="5" t="inlineStr">
        <is>
          <t>Vladimir Buzalka</t>
        </is>
      </c>
      <c r="S595" s="8" t="n">
        <v>46094.53974537037</v>
      </c>
    </row>
    <row r="596" hidden="1" ht="43.5" customHeight="1">
      <c r="A596" s="15">
        <f>HYPERLINK("https://vtmf.veevavault.com/ui/#doc_info/31180782/1/0", "VTMF-25142103")</f>
        <v/>
      </c>
      <c r="B596" s="20" t="inlineStr">
        <is>
          <t>Yes</t>
        </is>
      </c>
      <c r="C596" s="5" t="inlineStr">
        <is>
          <t>1.0</t>
        </is>
      </c>
      <c r="D596" s="5" t="inlineStr">
        <is>
          <t>GCO</t>
        </is>
      </c>
      <c r="E596" s="5" t="inlineStr">
        <is>
          <t>42847922MDD3003</t>
        </is>
      </c>
      <c r="F596" s="16">
        <f>HYPERLINK("https://vtmf.veevavault.com/ui/#doc_info/31180782/1/0", "42847922MDD3003-BRA--Protocol (v1.0)")</f>
        <v/>
      </c>
      <c r="G596" s="5" t="inlineStr">
        <is>
          <t>Central Trial Documents</t>
        </is>
      </c>
      <c r="H596" s="5" t="inlineStr">
        <is>
          <t>Trial Documents</t>
        </is>
      </c>
      <c r="I596" s="5" t="inlineStr">
        <is>
          <t>Protocol</t>
        </is>
      </c>
      <c r="J596" s="5" t="inlineStr">
        <is>
          <t>Protocol Clarification Communication_Dreem/CSD Devices Dispensing - Unscheduled Visit Can Be Used; 16Jun2025;</t>
        </is>
      </c>
      <c r="K596" s="6" t="n">
        <v>270</v>
      </c>
      <c r="L596" s="7" t="n">
        <v>45824</v>
      </c>
      <c r="M596" s="11" t="n">
        <v>46094</v>
      </c>
      <c r="N596" s="5" t="inlineStr">
        <is>
          <t>Approved</t>
        </is>
      </c>
      <c r="O596" s="5" t="inlineStr">
        <is>
          <t>Country</t>
        </is>
      </c>
      <c r="P596" s="5" t="inlineStr">
        <is>
          <t>Brazil</t>
        </is>
      </c>
      <c r="Q596" s="13" t="inlineStr"/>
      <c r="R596" s="5" t="inlineStr">
        <is>
          <t>Maria Gabriela Mouallem Brandão</t>
        </is>
      </c>
      <c r="S596" s="8" t="n">
        <v>46094.58513888889</v>
      </c>
    </row>
    <row r="597" hidden="1" ht="29" customHeight="1">
      <c r="A597" s="15">
        <f>HYPERLINK("https://vtmf.veevavault.com/ui/#doc_info/31180915/1/0", "VTMF-25142162")</f>
        <v/>
      </c>
      <c r="B597" s="20" t="inlineStr">
        <is>
          <t>Yes</t>
        </is>
      </c>
      <c r="C597" s="5" t="inlineStr">
        <is>
          <t>1.0</t>
        </is>
      </c>
      <c r="D597" s="5" t="inlineStr">
        <is>
          <t>GCO</t>
        </is>
      </c>
      <c r="E597" s="5" t="inlineStr">
        <is>
          <t>42847922MDD3003</t>
        </is>
      </c>
      <c r="F597" s="16">
        <f>HYPERLINK("https://vtmf.veevavault.com/ui/#doc_info/31180915/1/0", "42847922MDD3003-BRA--Translation and Revision Form-19 Sep 2025 (v1.0)")</f>
        <v/>
      </c>
      <c r="G597" s="5" t="inlineStr">
        <is>
          <t>Central Trial Documents</t>
        </is>
      </c>
      <c r="H597" s="5" t="inlineStr">
        <is>
          <t>Trial Documents</t>
        </is>
      </c>
      <c r="I597" s="5" t="inlineStr">
        <is>
          <t>Translation and Revision Form</t>
        </is>
      </c>
      <c r="J597" s="5" t="inlineStr">
        <is>
          <t>Protocol Clarification Communication_Clarification for Relapse; 19Sep2025</t>
        </is>
      </c>
      <c r="K597" s="6" t="n">
        <v>175</v>
      </c>
      <c r="L597" s="7" t="n">
        <v>45919</v>
      </c>
      <c r="M597" s="11" t="n">
        <v>46094</v>
      </c>
      <c r="N597" s="5" t="inlineStr">
        <is>
          <t>Approved</t>
        </is>
      </c>
      <c r="O597" s="5" t="inlineStr">
        <is>
          <t>Country</t>
        </is>
      </c>
      <c r="P597" s="5" t="inlineStr">
        <is>
          <t>Brazil</t>
        </is>
      </c>
      <c r="Q597" s="13" t="inlineStr"/>
      <c r="R597" s="5" t="inlineStr">
        <is>
          <t>Maria Gabriela Mouallem Brandão</t>
        </is>
      </c>
      <c r="S597" s="8" t="n">
        <v>46094.59236111111</v>
      </c>
    </row>
    <row r="598" hidden="1" ht="29" customHeight="1">
      <c r="A598" s="15">
        <f>HYPERLINK("https://vtmf.veevavault.com/ui/#doc_info/31180928/1/0", "VTMF-25142185")</f>
        <v/>
      </c>
      <c r="B598" s="20" t="inlineStr">
        <is>
          <t>Yes</t>
        </is>
      </c>
      <c r="C598" s="5" t="inlineStr">
        <is>
          <t>1.0</t>
        </is>
      </c>
      <c r="D598" s="5" t="inlineStr">
        <is>
          <t>GCO</t>
        </is>
      </c>
      <c r="E598" s="5" t="inlineStr">
        <is>
          <t>42847922MDD3003</t>
        </is>
      </c>
      <c r="F598" s="16">
        <f>HYPERLINK("https://vtmf.veevavault.com/ui/#doc_info/31180928/1/0", "42847922MDD3003-BRA--Protocol (v1.0)")</f>
        <v/>
      </c>
      <c r="G598" s="5" t="inlineStr">
        <is>
          <t>Central Trial Documents</t>
        </is>
      </c>
      <c r="H598" s="5" t="inlineStr">
        <is>
          <t>Trial Documents</t>
        </is>
      </c>
      <c r="I598" s="5" t="inlineStr">
        <is>
          <t>Protocol</t>
        </is>
      </c>
      <c r="J598" s="5" t="inlineStr">
        <is>
          <t>Protocol Clarification Communication_Correct Footnote m in Part 1; 25Aug2025</t>
        </is>
      </c>
      <c r="K598" s="6" t="n">
        <v>200</v>
      </c>
      <c r="L598" s="7" t="n">
        <v>45894</v>
      </c>
      <c r="M598" s="11" t="n">
        <v>46094</v>
      </c>
      <c r="N598" s="5" t="inlineStr">
        <is>
          <t>Approved</t>
        </is>
      </c>
      <c r="O598" s="5" t="inlineStr">
        <is>
          <t>Country</t>
        </is>
      </c>
      <c r="P598" s="5" t="inlineStr">
        <is>
          <t>Brazil</t>
        </is>
      </c>
      <c r="Q598" s="13" t="inlineStr"/>
      <c r="R598" s="5" t="inlineStr">
        <is>
          <t>Maria Gabriela Mouallem Brandão</t>
        </is>
      </c>
      <c r="S598" s="8" t="n">
        <v>46094.59523148148</v>
      </c>
    </row>
    <row r="599" hidden="1" ht="29" customHeight="1">
      <c r="A599" s="15">
        <f>HYPERLINK("https://vtmf.veevavault.com/ui/#doc_info/31188034/1/0", "VTMF-25148028")</f>
        <v/>
      </c>
      <c r="B599" s="20" t="inlineStr">
        <is>
          <t>Yes</t>
        </is>
      </c>
      <c r="C599" s="5" t="inlineStr">
        <is>
          <t>1.0</t>
        </is>
      </c>
      <c r="D599" s="5" t="inlineStr">
        <is>
          <t>GCO</t>
        </is>
      </c>
      <c r="E599" s="5" t="inlineStr">
        <is>
          <t>42847922MDD3003</t>
        </is>
      </c>
      <c r="F599" s="16">
        <f>HYPERLINK("https://vtmf.veevavault.com/ui/#doc_info/31188034/1/0", "42847922MDD3003-PRT-S10-PT10013-Relevant Communications-05 Feb 2026 (v1.0)")</f>
        <v/>
      </c>
      <c r="G599" s="5" t="inlineStr">
        <is>
          <t>Site Management</t>
        </is>
      </c>
      <c r="H599" s="5" t="inlineStr">
        <is>
          <t>General</t>
        </is>
      </c>
      <c r="I599" s="5" t="inlineStr">
        <is>
          <t>Relevant Communications</t>
        </is>
      </c>
      <c r="J599" s="5" t="inlineStr">
        <is>
          <t>Email_Site Visit Follow-Up Letter</t>
        </is>
      </c>
      <c r="K599" s="6" t="n">
        <v>39</v>
      </c>
      <c r="L599" s="7" t="n">
        <v>46058</v>
      </c>
      <c r="M599" s="11" t="n">
        <v>46097</v>
      </c>
      <c r="N599" s="5" t="inlineStr">
        <is>
          <t>Approved</t>
        </is>
      </c>
      <c r="O599" s="5" t="inlineStr">
        <is>
          <t>Site</t>
        </is>
      </c>
      <c r="P599" s="5" t="inlineStr">
        <is>
          <t>Portugal</t>
        </is>
      </c>
      <c r="Q599" s="13" t="inlineStr">
        <is>
          <t>S10-PT10013</t>
        </is>
      </c>
      <c r="R599" s="5" t="inlineStr">
        <is>
          <t>Ruben Ayora</t>
        </is>
      </c>
      <c r="S599" s="8" t="n">
        <v>46097.5049074074</v>
      </c>
    </row>
    <row r="600" hidden="1" ht="29" customHeight="1">
      <c r="A600" s="15">
        <f>HYPERLINK("https://vtmf.veevavault.com/ui/#doc_info/31189767/1/0", "VTMF-25149422")</f>
        <v/>
      </c>
      <c r="B600" s="20" t="inlineStr">
        <is>
          <t>Yes</t>
        </is>
      </c>
      <c r="C600" s="5" t="inlineStr">
        <is>
          <t>1.0</t>
        </is>
      </c>
      <c r="D600" s="5" t="inlineStr">
        <is>
          <t>GCO</t>
        </is>
      </c>
      <c r="E600" s="5" t="inlineStr">
        <is>
          <t>42847922MDD3003</t>
        </is>
      </c>
      <c r="F600" s="16">
        <f>HYPERLINK("https://vtmf.veevavault.com/ui/#doc_info/31189767/1/0", "42847922MDD3003-ITA-S10-IT10014-Relevant Communications-29 Jan 2026 (v1.0)")</f>
        <v/>
      </c>
      <c r="G600" s="5" t="inlineStr">
        <is>
          <t>Site Management</t>
        </is>
      </c>
      <c r="H600" s="5" t="inlineStr">
        <is>
          <t>General</t>
        </is>
      </c>
      <c r="I600" s="5" t="inlineStr">
        <is>
          <t>Relevant Communications</t>
        </is>
      </c>
      <c r="J600" s="5" t="inlineStr">
        <is>
          <t>Site ID-S10-IT10014_ PI - Maurizio Pompili _Subject _IT100140002_ IQVIA Eligibility Review_ Approved.</t>
        </is>
      </c>
      <c r="K600" s="6" t="n">
        <v>46</v>
      </c>
      <c r="L600" s="7" t="n">
        <v>46051</v>
      </c>
      <c r="M600" s="11" t="n">
        <v>46097</v>
      </c>
      <c r="N600" s="5" t="inlineStr">
        <is>
          <t>Approved</t>
        </is>
      </c>
      <c r="O600" s="5" t="inlineStr">
        <is>
          <t>Site</t>
        </is>
      </c>
      <c r="P600" s="5" t="inlineStr">
        <is>
          <t>Italy</t>
        </is>
      </c>
      <c r="Q600" s="13" t="inlineStr">
        <is>
          <t>S10-IT10014</t>
        </is>
      </c>
      <c r="R600" s="5" t="inlineStr">
        <is>
          <t>Gina Stefanelli</t>
        </is>
      </c>
      <c r="S600" s="8" t="n">
        <v>46097.69967592593</v>
      </c>
    </row>
    <row r="601" hidden="1" ht="43.5" customHeight="1">
      <c r="A601" s="15">
        <f>HYPERLINK("https://vtmf.veevavault.com/ui/#doc_info/31190838/1/0", "VTMF-25150184")</f>
        <v/>
      </c>
      <c r="B601" s="20" t="inlineStr">
        <is>
          <t>Yes</t>
        </is>
      </c>
      <c r="C601" s="5" t="inlineStr">
        <is>
          <t>1.0</t>
        </is>
      </c>
      <c r="D601" s="5" t="inlineStr">
        <is>
          <t>GCO</t>
        </is>
      </c>
      <c r="E601" s="5" t="inlineStr">
        <is>
          <t>42847922MDD3003</t>
        </is>
      </c>
      <c r="F601" s="16">
        <f>HYPERLINK("https://vtmf.veevavault.com/ui/#doc_info/31190838/1/0", "42847922MDD3003-BRA-S10-BR10003-Relevant Communications-07 Oct 2025 (v1.0)")</f>
        <v/>
      </c>
      <c r="G601" s="5" t="inlineStr">
        <is>
          <t>Site Management</t>
        </is>
      </c>
      <c r="H601" s="5" t="inlineStr">
        <is>
          <t>General</t>
        </is>
      </c>
      <c r="I601" s="5" t="inlineStr">
        <is>
          <t>Relevant Communications</t>
        </is>
      </c>
      <c r="J601" s="5" t="inlineStr">
        <is>
          <t>email: MDD3003 II Notification about screening on hold and Site Closure II Dr. Vasconcellos (S10-BR10003)_07Oct25</t>
        </is>
      </c>
      <c r="K601" s="6" t="n">
        <v>189</v>
      </c>
      <c r="L601" s="7" t="n">
        <v>45937</v>
      </c>
      <c r="M601" s="11" t="n">
        <v>46126</v>
      </c>
      <c r="N601" s="5" t="inlineStr">
        <is>
          <t>Approved</t>
        </is>
      </c>
      <c r="O601" s="5" t="inlineStr">
        <is>
          <t>Site</t>
        </is>
      </c>
      <c r="P601" s="5" t="inlineStr">
        <is>
          <t>Brazil</t>
        </is>
      </c>
      <c r="Q601" s="13" t="inlineStr">
        <is>
          <t>S10-BR10003</t>
        </is>
      </c>
      <c r="R601" s="5" t="inlineStr">
        <is>
          <t>Vanessa Ferezini Miorando</t>
        </is>
      </c>
      <c r="S601" s="8" t="n">
        <v>46097.81354166667</v>
      </c>
    </row>
    <row r="602" hidden="1" ht="58" customHeight="1">
      <c r="A602" s="15">
        <f>HYPERLINK("https://vtmf.veevavault.com/ui/#doc_info/31191640/1/0", "VTMF-25150777")</f>
        <v/>
      </c>
      <c r="B602" s="20" t="inlineStr">
        <is>
          <t>Yes</t>
        </is>
      </c>
      <c r="C602" s="5" t="inlineStr">
        <is>
          <t>1.0</t>
        </is>
      </c>
      <c r="D602" s="5" t="inlineStr">
        <is>
          <t>GCO</t>
        </is>
      </c>
      <c r="E602" s="5" t="inlineStr">
        <is>
          <t>42847922MDD3003</t>
        </is>
      </c>
      <c r="F602" s="16">
        <f>HYPERLINK("https://vtmf.veevavault.com/ui/#doc_info/31191640/1/0", "42847922MDD3003-BRA--Relevant Communications-17 Dec 2025 (v1.0)")</f>
        <v/>
      </c>
      <c r="G602" s="5" t="inlineStr">
        <is>
          <t>Trial Management</t>
        </is>
      </c>
      <c r="H602" s="5" t="inlineStr">
        <is>
          <t>General</t>
        </is>
      </c>
      <c r="I602" s="5" t="inlineStr">
        <is>
          <t>Relevant Communications</t>
        </is>
      </c>
      <c r="J602" s="5" t="inlineStr">
        <is>
          <t>email: IMPORTANT: Seltorexant 42847922MDD3003_Request for Country Enrollment Assessment and Action Plan-Response by 18Dec2025_17Dec2025</t>
        </is>
      </c>
      <c r="K602" s="6" t="n">
        <v>118</v>
      </c>
      <c r="L602" s="7" t="n">
        <v>46008</v>
      </c>
      <c r="M602" s="11" t="n">
        <v>46126</v>
      </c>
      <c r="N602" s="5" t="inlineStr">
        <is>
          <t>Approved</t>
        </is>
      </c>
      <c r="O602" s="5" t="inlineStr">
        <is>
          <t>Country</t>
        </is>
      </c>
      <c r="P602" s="5" t="inlineStr">
        <is>
          <t>Brazil</t>
        </is>
      </c>
      <c r="Q602" s="13" t="inlineStr"/>
      <c r="R602" s="5" t="inlineStr">
        <is>
          <t>Vanessa Ferezini Miorando</t>
        </is>
      </c>
      <c r="S602" s="8" t="n">
        <v>46097.94902777778</v>
      </c>
    </row>
    <row r="603" hidden="1" ht="29" customHeight="1">
      <c r="A603" s="15">
        <f>HYPERLINK("https://vtmf.veevavault.com/ui/#doc_info/31122298/1/0", "VTMF-25154313")</f>
        <v/>
      </c>
      <c r="B603" s="19" t="inlineStr">
        <is>
          <t>No</t>
        </is>
      </c>
      <c r="C603" s="5" t="inlineStr">
        <is>
          <t>1.0</t>
        </is>
      </c>
      <c r="D603" s="5" t="inlineStr">
        <is>
          <t>GCO</t>
        </is>
      </c>
      <c r="E603" s="5" t="inlineStr">
        <is>
          <t>42847922MDD3003</t>
        </is>
      </c>
      <c r="F603" s="16">
        <f>HYPERLINK("https://vtmf.veevavault.com/ui/#doc_info/31122298/1/0", "42847922MDD3003-ARG-S10-AR10001-Non-IP Shipment Documentation-18 Jul 2025 (v1.0)")</f>
        <v/>
      </c>
      <c r="G603" s="5" t="inlineStr">
        <is>
          <t>IP and Trial Supplies</t>
        </is>
      </c>
      <c r="H603" s="5" t="inlineStr">
        <is>
          <t>Non-IP Documentation</t>
        </is>
      </c>
      <c r="I603" s="5" t="inlineStr">
        <is>
          <t>Non-IP Shipment Documentation</t>
        </is>
      </c>
      <c r="J603" s="5" t="inlineStr">
        <is>
          <t>Non-IP shipment Dreem Device-Lamaison</t>
        </is>
      </c>
      <c r="K603" s="6" t="n">
        <v>242</v>
      </c>
      <c r="L603" s="7" t="n">
        <v>45856</v>
      </c>
      <c r="M603" s="11" t="n">
        <v>46098</v>
      </c>
      <c r="N603" s="5" t="inlineStr">
        <is>
          <t>Approved</t>
        </is>
      </c>
      <c r="O603" s="5" t="inlineStr">
        <is>
          <t>Site</t>
        </is>
      </c>
      <c r="P603" s="5" t="inlineStr">
        <is>
          <t>Argentina</t>
        </is>
      </c>
      <c r="Q603" s="13" t="inlineStr">
        <is>
          <t>S10-AR10001</t>
        </is>
      </c>
      <c r="R603" s="5" t="inlineStr">
        <is>
          <t>Carolina Flumian</t>
        </is>
      </c>
      <c r="S603" s="8" t="n">
        <v>46086.71865740741</v>
      </c>
    </row>
    <row r="604" hidden="1" ht="29" customHeight="1">
      <c r="A604" s="15">
        <f>HYPERLINK("https://vtmf.veevavault.com/ui/#doc_info/31195977/1/0", "VTMF-25154564")</f>
        <v/>
      </c>
      <c r="B604" s="19" t="inlineStr">
        <is>
          <t>No</t>
        </is>
      </c>
      <c r="C604" s="5" t="inlineStr">
        <is>
          <t>1.0</t>
        </is>
      </c>
      <c r="D604" s="5" t="inlineStr">
        <is>
          <t>GCO</t>
        </is>
      </c>
      <c r="E604" s="5" t="inlineStr">
        <is>
          <t>42847922MDD3003</t>
        </is>
      </c>
      <c r="F604" s="16">
        <f>HYPERLINK("https://vtmf.veevavault.com/ui/#doc_info/31195977/1/0", "42847922MDD3003-CZE-S10-CZ10008-IP Destruction Form-23 Jan 2026 (v1.0)")</f>
        <v/>
      </c>
      <c r="G604" s="5" t="inlineStr">
        <is>
          <t>IP and Trial Supplies</t>
        </is>
      </c>
      <c r="H604" s="5" t="inlineStr">
        <is>
          <t>IP Documentation</t>
        </is>
      </c>
      <c r="I604" s="5" t="inlineStr">
        <is>
          <t>IP Destruction Form</t>
        </is>
      </c>
      <c r="J604" s="5" t="inlineStr">
        <is>
          <t>Destruction form CZ-DESTR-005-2026</t>
        </is>
      </c>
      <c r="K604" s="6" t="n">
        <v>53</v>
      </c>
      <c r="L604" s="7" t="n">
        <v>46045</v>
      </c>
      <c r="M604" s="11" t="n">
        <v>46098</v>
      </c>
      <c r="N604" s="5" t="inlineStr">
        <is>
          <t>Approved</t>
        </is>
      </c>
      <c r="O604" s="5" t="inlineStr">
        <is>
          <t>Site</t>
        </is>
      </c>
      <c r="P604" s="5" t="inlineStr">
        <is>
          <t>Czech Republic</t>
        </is>
      </c>
      <c r="Q604" s="13" t="inlineStr">
        <is>
          <t>S10-CZ10008</t>
        </is>
      </c>
      <c r="R604" s="5" t="inlineStr">
        <is>
          <t>Jitka Kone</t>
        </is>
      </c>
      <c r="S604" s="8" t="n">
        <v>46098.56940972222</v>
      </c>
    </row>
    <row r="605" hidden="1" ht="43.5" customHeight="1">
      <c r="A605" s="15">
        <f>HYPERLINK("https://vtmf.veevavault.com/ui/#doc_info/31197604/1/0", "VTMF-25155516")</f>
        <v/>
      </c>
      <c r="B605" s="20" t="inlineStr">
        <is>
          <t>Yes</t>
        </is>
      </c>
      <c r="C605" s="5" t="inlineStr">
        <is>
          <t>1.0</t>
        </is>
      </c>
      <c r="D605" s="5" t="inlineStr">
        <is>
          <t>GCO</t>
        </is>
      </c>
      <c r="E605" s="5" t="inlineStr">
        <is>
          <t>42847922MDD3003</t>
        </is>
      </c>
      <c r="F605" s="16">
        <f>HYPERLINK("https://vtmf.veevavault.com/ui/#doc_info/31197604/1/0", "42847922MDD3003-BRA--Relevant Communications-16 Jan 2026 (v1.0)")</f>
        <v/>
      </c>
      <c r="G605" s="5" t="inlineStr">
        <is>
          <t>Trial Management</t>
        </is>
      </c>
      <c r="H605" s="5" t="inlineStr">
        <is>
          <t>General</t>
        </is>
      </c>
      <c r="I605" s="5" t="inlineStr">
        <is>
          <t>Relevant Communications</t>
        </is>
      </c>
      <c r="J605" s="5" t="inlineStr">
        <is>
          <t>email: IMPORTANT: 42847922MDD3003_ Re-Baseline lock please review and provide feedback by Monday 19Jan26 EOB_16Jan26</t>
        </is>
      </c>
      <c r="K605" s="6" t="n">
        <v>60</v>
      </c>
      <c r="L605" s="7" t="n">
        <v>46038</v>
      </c>
      <c r="M605" s="11" t="n">
        <v>46098</v>
      </c>
      <c r="N605" s="5" t="inlineStr">
        <is>
          <t>Approved</t>
        </is>
      </c>
      <c r="O605" s="5" t="inlineStr">
        <is>
          <t>Country</t>
        </is>
      </c>
      <c r="P605" s="5" t="inlineStr">
        <is>
          <t>Brazil</t>
        </is>
      </c>
      <c r="Q605" s="13" t="inlineStr"/>
      <c r="R605" s="5" t="inlineStr">
        <is>
          <t>Vanessa Ferezini Miorando</t>
        </is>
      </c>
      <c r="S605" s="8" t="n">
        <v>46098.68565972222</v>
      </c>
    </row>
    <row r="606" hidden="1" ht="29" customHeight="1">
      <c r="A606" s="15">
        <f>HYPERLINK("https://vtmf.veevavault.com/ui/#doc_info/31197987/1/0", "VTMF-25155816")</f>
        <v/>
      </c>
      <c r="B606" s="20" t="inlineStr">
        <is>
          <t>Yes</t>
        </is>
      </c>
      <c r="C606" s="5" t="inlineStr">
        <is>
          <t>1.0</t>
        </is>
      </c>
      <c r="D606" s="5" t="inlineStr">
        <is>
          <t>GCO</t>
        </is>
      </c>
      <c r="E606" s="5" t="inlineStr">
        <is>
          <t>42847922MDD3003</t>
        </is>
      </c>
      <c r="F606" s="16">
        <f>HYPERLINK("https://vtmf.veevavault.com/ui/#doc_info/31197987/1/0", "42847922MDD3003-USA-S10-US10224-Relevant Communications-23 Sep 2025 (v1.0)")</f>
        <v/>
      </c>
      <c r="G606" s="5" t="inlineStr">
        <is>
          <t>Site Management</t>
        </is>
      </c>
      <c r="H606" s="5" t="inlineStr">
        <is>
          <t>General</t>
        </is>
      </c>
      <c r="I606" s="5" t="inlineStr">
        <is>
          <t>Relevant Communications</t>
        </is>
      </c>
      <c r="J606" s="5" t="inlineStr">
        <is>
          <t>Note To File-Lost eCOA device</t>
        </is>
      </c>
      <c r="K606" s="6" t="n">
        <v>175</v>
      </c>
      <c r="L606" s="7" t="n">
        <v>45923</v>
      </c>
      <c r="M606" s="11" t="n">
        <v>46098</v>
      </c>
      <c r="N606" s="5" t="inlineStr">
        <is>
          <t>Approved</t>
        </is>
      </c>
      <c r="O606" s="5" t="inlineStr">
        <is>
          <t>Site</t>
        </is>
      </c>
      <c r="P606" s="5" t="inlineStr">
        <is>
          <t>United States</t>
        </is>
      </c>
      <c r="Q606" s="13" t="inlineStr">
        <is>
          <t>S10-US10224</t>
        </is>
      </c>
      <c r="R606" s="5" t="inlineStr">
        <is>
          <t>Najalynn Chandler</t>
        </is>
      </c>
      <c r="S606" s="8" t="n">
        <v>46098.71375</v>
      </c>
    </row>
    <row r="607" hidden="1" ht="29" customHeight="1">
      <c r="A607" s="15">
        <f>HYPERLINK("https://vtmf.veevavault.com/ui/#doc_info/31197862/1/0", "VTMF-25155857")</f>
        <v/>
      </c>
      <c r="B607" s="20" t="inlineStr">
        <is>
          <t>Yes</t>
        </is>
      </c>
      <c r="C607" s="5" t="inlineStr">
        <is>
          <t>1.0</t>
        </is>
      </c>
      <c r="D607" s="5" t="inlineStr">
        <is>
          <t>GCO</t>
        </is>
      </c>
      <c r="E607" s="5" t="inlineStr">
        <is>
          <t>42847922MDD3003</t>
        </is>
      </c>
      <c r="F607" s="16">
        <f>HYPERLINK("https://vtmf.veevavault.com/ui/#doc_info/31197862/1/0", "42847922MDD3003---List of SOPs Current During Trial-01 Apr 2025 (v1.0)")</f>
        <v/>
      </c>
      <c r="G607" s="5" t="inlineStr">
        <is>
          <t>Trial Management</t>
        </is>
      </c>
      <c r="H607" s="5" t="inlineStr">
        <is>
          <t>Trial Oversight</t>
        </is>
      </c>
      <c r="I607" s="5" t="inlineStr">
        <is>
          <t>List of SOPs Current During Trial</t>
        </is>
      </c>
      <c r="J607" s="5" t="inlineStr">
        <is>
          <t>Beacon-Biosignals_SOP</t>
        </is>
      </c>
      <c r="K607" s="6" t="n">
        <v>350</v>
      </c>
      <c r="L607" s="7" t="n">
        <v>45748</v>
      </c>
      <c r="M607" s="11" t="n">
        <v>46098</v>
      </c>
      <c r="N607" s="5" t="inlineStr">
        <is>
          <t>Approved</t>
        </is>
      </c>
      <c r="O607" s="5" t="inlineStr">
        <is>
          <t>Study</t>
        </is>
      </c>
      <c r="P607" s="5" t="inlineStr"/>
      <c r="Q607" s="13" t="inlineStr"/>
      <c r="R607" s="5" t="inlineStr">
        <is>
          <t>Gina Stefanelli</t>
        </is>
      </c>
      <c r="S607" s="8" t="n">
        <v>46098.72055555556</v>
      </c>
    </row>
    <row r="608" hidden="1" ht="29" customHeight="1">
      <c r="A608" s="15">
        <f>HYPERLINK("https://vtmf.veevavault.com/ui/#doc_info/31198517/1/0", "VTMF-25156266")</f>
        <v/>
      </c>
      <c r="B608" s="20" t="inlineStr">
        <is>
          <t>Yes</t>
        </is>
      </c>
      <c r="C608" s="5" t="inlineStr">
        <is>
          <t>1.0</t>
        </is>
      </c>
      <c r="D608" s="5" t="inlineStr">
        <is>
          <t>GCO</t>
        </is>
      </c>
      <c r="E608" s="5" t="inlineStr">
        <is>
          <t>42847922MDD3003</t>
        </is>
      </c>
      <c r="F608" s="16">
        <f>HYPERLINK("https://vtmf.veevavault.com/ui/#doc_info/31198517/1/0", "42847922MDD3003-USA-S10-US10172-Form FDA1572-15 Dec 2025 (v1.0)")</f>
        <v/>
      </c>
      <c r="G608" s="5" t="inlineStr">
        <is>
          <t>Site Management</t>
        </is>
      </c>
      <c r="H608" s="5" t="inlineStr">
        <is>
          <t>Site Set-up Documentation</t>
        </is>
      </c>
      <c r="I608" s="5" t="inlineStr">
        <is>
          <t>Form FDA1572</t>
        </is>
      </c>
      <c r="J608" s="5" t="inlineStr">
        <is>
          <t>1572_Revised</t>
        </is>
      </c>
      <c r="K608" s="6" t="n">
        <v>92</v>
      </c>
      <c r="L608" s="7" t="n">
        <v>46006</v>
      </c>
      <c r="M608" s="11" t="n">
        <v>46098</v>
      </c>
      <c r="N608" s="5" t="inlineStr">
        <is>
          <t>Approved</t>
        </is>
      </c>
      <c r="O608" s="5" t="inlineStr">
        <is>
          <t>Site</t>
        </is>
      </c>
      <c r="P608" s="5" t="inlineStr">
        <is>
          <t>United States</t>
        </is>
      </c>
      <c r="Q608" s="13" t="inlineStr">
        <is>
          <t>S10-US10172</t>
        </is>
      </c>
      <c r="R608" s="5" t="inlineStr">
        <is>
          <t>Daniel Woodland</t>
        </is>
      </c>
      <c r="S608" s="8" t="n">
        <v>46098.78770833334</v>
      </c>
    </row>
    <row r="609" hidden="1" ht="43.5" customHeight="1">
      <c r="A609" s="15">
        <f>HYPERLINK("https://vtmf.veevavault.com/ui/#doc_info/31198385/1/0", "VTMF-25156275")</f>
        <v/>
      </c>
      <c r="B609" s="20" t="inlineStr">
        <is>
          <t>Yes</t>
        </is>
      </c>
      <c r="C609" s="5" t="inlineStr">
        <is>
          <t>1.0</t>
        </is>
      </c>
      <c r="D609" s="5" t="inlineStr">
        <is>
          <t>GCO</t>
        </is>
      </c>
      <c r="E609" s="5" t="inlineStr">
        <is>
          <t>42847922MDD3003</t>
        </is>
      </c>
      <c r="F609" s="16">
        <f>HYPERLINK("https://vtmf.veevavault.com/ui/#doc_info/31198385/1/0", "42847922MDD3003-BRA-S10-BR10008-Relevant Communications-23 Jan 2026 (v1.0)")</f>
        <v/>
      </c>
      <c r="G609" s="5" t="inlineStr">
        <is>
          <t>Site Management</t>
        </is>
      </c>
      <c r="H609" s="5" t="inlineStr">
        <is>
          <t>General</t>
        </is>
      </c>
      <c r="I609" s="5" t="inlineStr">
        <is>
          <t>Relevant Communications</t>
        </is>
      </c>
      <c r="J609" s="5" t="inlineStr">
        <is>
          <t>email: 42847922MDD3003_Enrollment cap increase &amp; Quality review Outcome_S10-BR10008 (Dr. Lacerda)_23 Jan26</t>
        </is>
      </c>
      <c r="K609" s="6" t="n">
        <v>53</v>
      </c>
      <c r="L609" s="7" t="n">
        <v>46045</v>
      </c>
      <c r="M609" s="11" t="n">
        <v>46098</v>
      </c>
      <c r="N609" s="5" t="inlineStr">
        <is>
          <t>Approved</t>
        </is>
      </c>
      <c r="O609" s="5" t="inlineStr">
        <is>
          <t>Site</t>
        </is>
      </c>
      <c r="P609" s="5" t="inlineStr">
        <is>
          <t>Brazil</t>
        </is>
      </c>
      <c r="Q609" s="13" t="inlineStr">
        <is>
          <t>S10-BR10008</t>
        </is>
      </c>
      <c r="R609" s="5" t="inlineStr">
        <is>
          <t>Vanessa Ferezini Miorando</t>
        </is>
      </c>
      <c r="S609" s="8" t="n">
        <v>46098.78916666667</v>
      </c>
    </row>
    <row r="610" hidden="1" ht="29" customHeight="1">
      <c r="A610" s="15">
        <f>HYPERLINK("https://vtmf.veevavault.com/ui/#doc_info/31198397/1/0", "VTMF-25156299")</f>
        <v/>
      </c>
      <c r="B610" s="20" t="inlineStr">
        <is>
          <t>Yes</t>
        </is>
      </c>
      <c r="C610" s="5" t="inlineStr">
        <is>
          <t>1.0</t>
        </is>
      </c>
      <c r="D610" s="5" t="inlineStr">
        <is>
          <t>GCO</t>
        </is>
      </c>
      <c r="E610" s="5" t="inlineStr">
        <is>
          <t>42847922MDD3003</t>
        </is>
      </c>
      <c r="F610" s="16">
        <f>HYPERLINK("https://vtmf.veevavault.com/ui/#doc_info/31198397/1/0", "42847922MDD3003-BRA-S10-BR10010-Relevant Communications-23 Jan 2026 (v1.0)")</f>
        <v/>
      </c>
      <c r="G610" s="5" t="inlineStr">
        <is>
          <t>Site Management</t>
        </is>
      </c>
      <c r="H610" s="5" t="inlineStr">
        <is>
          <t>General</t>
        </is>
      </c>
      <c r="I610" s="5" t="inlineStr">
        <is>
          <t>Relevant Communications</t>
        </is>
      </c>
      <c r="J610" s="5" t="inlineStr">
        <is>
          <t>email: 42847922MDD3003_Enrollment cap increase_S10-BR10010 Dr Rosa_23Jan2026</t>
        </is>
      </c>
      <c r="K610" s="6" t="n">
        <v>53</v>
      </c>
      <c r="L610" s="7" t="n">
        <v>46045</v>
      </c>
      <c r="M610" s="11" t="n">
        <v>46098</v>
      </c>
      <c r="N610" s="5" t="inlineStr">
        <is>
          <t>Approved</t>
        </is>
      </c>
      <c r="O610" s="5" t="inlineStr">
        <is>
          <t>Site</t>
        </is>
      </c>
      <c r="P610" s="5" t="inlineStr">
        <is>
          <t>Brazil</t>
        </is>
      </c>
      <c r="Q610" s="13" t="inlineStr">
        <is>
          <t>S10-BR10010</t>
        </is>
      </c>
      <c r="R610" s="5" t="inlineStr">
        <is>
          <t>Vanessa Ferezini Miorando</t>
        </is>
      </c>
      <c r="S610" s="8" t="n">
        <v>46098.79354166667</v>
      </c>
    </row>
    <row r="611" hidden="1" ht="58" customHeight="1">
      <c r="A611" s="15">
        <f>HYPERLINK("https://vtmf.veevavault.com/ui/#doc_info/31198616/1/0", "VTMF-25156331")</f>
        <v/>
      </c>
      <c r="B611" s="20" t="inlineStr">
        <is>
          <t>Yes</t>
        </is>
      </c>
      <c r="C611" s="5" t="inlineStr">
        <is>
          <t>1.0</t>
        </is>
      </c>
      <c r="D611" s="5" t="inlineStr">
        <is>
          <t>GCO</t>
        </is>
      </c>
      <c r="E611" s="5" t="inlineStr">
        <is>
          <t>42847922MDD3003</t>
        </is>
      </c>
      <c r="F611" s="16">
        <f>HYPERLINK("https://vtmf.veevavault.com/ui/#doc_info/31198616/1/0", "42847922MDD3003-BRA-S10-BR10010-Relevant Communications-27 Jan 2026 (v1.0)")</f>
        <v/>
      </c>
      <c r="G611" s="5" t="inlineStr">
        <is>
          <t>Site Management</t>
        </is>
      </c>
      <c r="H611" s="5" t="inlineStr">
        <is>
          <t>General</t>
        </is>
      </c>
      <c r="I611" s="5" t="inlineStr">
        <is>
          <t>Relevant Communications</t>
        </is>
      </c>
      <c r="J611" s="5" t="inlineStr">
        <is>
          <t>email: J&amp;J IM: Seltorexanto II OARS-7 II 42847922MDD3003_Autorização para reabertura do recrutamento para novos participantes_S10-BR10010 (Rosa)_27Jan2026</t>
        </is>
      </c>
      <c r="K611" s="6" t="n">
        <v>49</v>
      </c>
      <c r="L611" s="7" t="n">
        <v>46049</v>
      </c>
      <c r="M611" s="11" t="n">
        <v>46098</v>
      </c>
      <c r="N611" s="5" t="inlineStr">
        <is>
          <t>Approved</t>
        </is>
      </c>
      <c r="O611" s="5" t="inlineStr">
        <is>
          <t>Site</t>
        </is>
      </c>
      <c r="P611" s="5" t="inlineStr">
        <is>
          <t>Brazil</t>
        </is>
      </c>
      <c r="Q611" s="13" t="inlineStr">
        <is>
          <t>S10-BR10010</t>
        </is>
      </c>
      <c r="R611" s="5" t="inlineStr">
        <is>
          <t>Vanessa Ferezini Miorando</t>
        </is>
      </c>
      <c r="S611" s="8" t="n">
        <v>46098.79949074074</v>
      </c>
    </row>
    <row r="612" hidden="1" ht="43.5" customHeight="1">
      <c r="A612" s="15">
        <f>HYPERLINK("https://vtmf.veevavault.com/ui/#doc_info/31198620/1/0", "VTMF-25156348")</f>
        <v/>
      </c>
      <c r="B612" s="20" t="inlineStr">
        <is>
          <t>Yes</t>
        </is>
      </c>
      <c r="C612" s="5" t="inlineStr">
        <is>
          <t>1.0</t>
        </is>
      </c>
      <c r="D612" s="5" t="inlineStr">
        <is>
          <t>GCO</t>
        </is>
      </c>
      <c r="E612" s="5" t="inlineStr">
        <is>
          <t>42847922MDD3003</t>
        </is>
      </c>
      <c r="F612" s="16">
        <f>HYPERLINK("https://vtmf.veevavault.com/ui/#doc_info/31198620/1/0", "42847922MDD3003-BRA-S10-BR10008-Relevant Communications-27 Jan 2026 (v1.0)")</f>
        <v/>
      </c>
      <c r="G612" s="5" t="inlineStr">
        <is>
          <t>Site Management</t>
        </is>
      </c>
      <c r="H612" s="5" t="inlineStr">
        <is>
          <t>General</t>
        </is>
      </c>
      <c r="I612" s="5" t="inlineStr">
        <is>
          <t>Relevant Communications</t>
        </is>
      </c>
      <c r="J612" s="5" t="inlineStr">
        <is>
          <t>email: RES: [EXTERNAL] Re: J&amp;J IM: Seltorexanto II OARS-7 II 42847922MDD3003_ Quality review outcome _ S10-BR10008 Lacerda_27Jan2026</t>
        </is>
      </c>
      <c r="K612" s="6" t="n">
        <v>49</v>
      </c>
      <c r="L612" s="7" t="n">
        <v>46049</v>
      </c>
      <c r="M612" s="11" t="n">
        <v>46098</v>
      </c>
      <c r="N612" s="5" t="inlineStr">
        <is>
          <t>Approved</t>
        </is>
      </c>
      <c r="O612" s="5" t="inlineStr">
        <is>
          <t>Site</t>
        </is>
      </c>
      <c r="P612" s="5" t="inlineStr">
        <is>
          <t>Brazil</t>
        </is>
      </c>
      <c r="Q612" s="13" t="inlineStr">
        <is>
          <t>S10-BR10008</t>
        </is>
      </c>
      <c r="R612" s="5" t="inlineStr">
        <is>
          <t>Vanessa Ferezini Miorando</t>
        </is>
      </c>
      <c r="S612" s="8" t="n">
        <v>46098.80174768518</v>
      </c>
    </row>
    <row r="613" hidden="1" ht="29" customHeight="1">
      <c r="A613" s="15">
        <f>HYPERLINK("https://vtmf.veevavault.com/ui/#doc_info/31198628/1/0", "VTMF-25156365")</f>
        <v/>
      </c>
      <c r="B613" s="20" t="inlineStr">
        <is>
          <t>Yes</t>
        </is>
      </c>
      <c r="C613" s="5" t="inlineStr">
        <is>
          <t>1.0</t>
        </is>
      </c>
      <c r="D613" s="5" t="inlineStr">
        <is>
          <t>GCO</t>
        </is>
      </c>
      <c r="E613" s="5" t="inlineStr">
        <is>
          <t>42847922MDD3003</t>
        </is>
      </c>
      <c r="F613" s="16">
        <f>HYPERLINK("https://vtmf.veevavault.com/ui/#doc_info/31198628/1/0", "42847922MDD3003-BRA-S10-BR10023-Relevant Communications-28 Jan 2026 (v1.0)")</f>
        <v/>
      </c>
      <c r="G613" s="5" t="inlineStr">
        <is>
          <t>Site Management</t>
        </is>
      </c>
      <c r="H613" s="5" t="inlineStr">
        <is>
          <t>General</t>
        </is>
      </c>
      <c r="I613" s="5" t="inlineStr">
        <is>
          <t>Relevant Communications</t>
        </is>
      </c>
      <c r="J613" s="5" t="inlineStr">
        <is>
          <t>email: Re: MDD3003, BR10023 (Burigo) and raters_28Jan26</t>
        </is>
      </c>
      <c r="K613" s="6" t="n">
        <v>48</v>
      </c>
      <c r="L613" s="7" t="n">
        <v>46050</v>
      </c>
      <c r="M613" s="11" t="n">
        <v>46098</v>
      </c>
      <c r="N613" s="5" t="inlineStr">
        <is>
          <t>Approved</t>
        </is>
      </c>
      <c r="O613" s="5" t="inlineStr">
        <is>
          <t>Site</t>
        </is>
      </c>
      <c r="P613" s="5" t="inlineStr">
        <is>
          <t>Brazil</t>
        </is>
      </c>
      <c r="Q613" s="13" t="inlineStr">
        <is>
          <t>S10-BR10023</t>
        </is>
      </c>
      <c r="R613" s="5" t="inlineStr">
        <is>
          <t>Vanessa Ferezini Miorando</t>
        </is>
      </c>
      <c r="S613" s="8" t="n">
        <v>46098.80420138889</v>
      </c>
    </row>
    <row r="614" hidden="1" ht="43.5" customHeight="1">
      <c r="A614" s="15">
        <f>HYPERLINK("https://vtmf.veevavault.com/ui/#doc_info/31198655/1/0", "VTMF-25156427")</f>
        <v/>
      </c>
      <c r="B614" s="20" t="inlineStr">
        <is>
          <t>Yes</t>
        </is>
      </c>
      <c r="C614" s="5" t="inlineStr">
        <is>
          <t>1.0</t>
        </is>
      </c>
      <c r="D614" s="5" t="inlineStr">
        <is>
          <t>GCO</t>
        </is>
      </c>
      <c r="E614" s="5" t="inlineStr">
        <is>
          <t>42847922MDD3003</t>
        </is>
      </c>
      <c r="F614" s="16">
        <f>HYPERLINK("https://vtmf.veevavault.com/ui/#doc_info/31198655/1/0", "42847922MDD3003-BRA--Relevant Communications-03 Feb 2026 (v1.0)")</f>
        <v/>
      </c>
      <c r="G614" s="5" t="inlineStr">
        <is>
          <t>Trial Management</t>
        </is>
      </c>
      <c r="H614" s="5" t="inlineStr">
        <is>
          <t>General</t>
        </is>
      </c>
      <c r="I614" s="5" t="inlineStr">
        <is>
          <t>Relevant Communications</t>
        </is>
      </c>
      <c r="J614" s="5" t="inlineStr">
        <is>
          <t>email: RES: 42847922MDD3003_Weekly email to LTMs &amp; SMs for OARS-7 230Jan26_review and respond_03Feb2026</t>
        </is>
      </c>
      <c r="K614" s="6" t="n">
        <v>42</v>
      </c>
      <c r="L614" s="7" t="n">
        <v>46056</v>
      </c>
      <c r="M614" s="11" t="n">
        <v>46098</v>
      </c>
      <c r="N614" s="5" t="inlineStr">
        <is>
          <t>Approved</t>
        </is>
      </c>
      <c r="O614" s="5" t="inlineStr">
        <is>
          <t>Country</t>
        </is>
      </c>
      <c r="P614" s="5" t="inlineStr">
        <is>
          <t>Brazil</t>
        </is>
      </c>
      <c r="Q614" s="13" t="inlineStr"/>
      <c r="R614" s="5" t="inlineStr">
        <is>
          <t>Vanessa Ferezini Miorando</t>
        </is>
      </c>
      <c r="S614" s="8" t="n">
        <v>46098.81298611111</v>
      </c>
    </row>
    <row r="615" hidden="1" ht="58" customHeight="1">
      <c r="A615" s="15">
        <f>HYPERLINK("https://vtmf.veevavault.com/ui/#doc_info/31198666/1/0", "VTMF-25156441")</f>
        <v/>
      </c>
      <c r="B615" s="20" t="inlineStr">
        <is>
          <t>Yes</t>
        </is>
      </c>
      <c r="C615" s="5" t="inlineStr">
        <is>
          <t>1.0</t>
        </is>
      </c>
      <c r="D615" s="5" t="inlineStr">
        <is>
          <t>GCO</t>
        </is>
      </c>
      <c r="E615" s="5" t="inlineStr">
        <is>
          <t>42847922MDD3003</t>
        </is>
      </c>
      <c r="F615" s="16">
        <f>HYPERLINK("https://vtmf.veevavault.com/ui/#doc_info/31198666/1/0", "42847922MDD3003-BRA-S10-BR10023-Relevant Communications-03 Feb 2026 (v1.0)")</f>
        <v/>
      </c>
      <c r="G615" s="5" t="inlineStr">
        <is>
          <t>Site Management</t>
        </is>
      </c>
      <c r="H615" s="5" t="inlineStr">
        <is>
          <t>General</t>
        </is>
      </c>
      <c r="I615" s="5" t="inlineStr">
        <is>
          <t>Relevant Communications</t>
        </is>
      </c>
      <c r="J615" s="5" t="inlineStr">
        <is>
          <t>email: J&amp;J IM: Seltorexanto II OARS-7 II 42847922MDD3003_BR10023_Instrução do time central_Rater a ser considerado_Tania Morello_03Feb2026</t>
        </is>
      </c>
      <c r="K615" s="6" t="n">
        <v>42</v>
      </c>
      <c r="L615" s="7" t="n">
        <v>46056</v>
      </c>
      <c r="M615" s="11" t="n">
        <v>46098</v>
      </c>
      <c r="N615" s="5" t="inlineStr">
        <is>
          <t>Approved</t>
        </is>
      </c>
      <c r="O615" s="5" t="inlineStr">
        <is>
          <t>Site</t>
        </is>
      </c>
      <c r="P615" s="5" t="inlineStr">
        <is>
          <t>Brazil</t>
        </is>
      </c>
      <c r="Q615" s="13" t="inlineStr">
        <is>
          <t>S10-BR10023</t>
        </is>
      </c>
      <c r="R615" s="5" t="inlineStr">
        <is>
          <t>Vanessa Ferezini Miorando</t>
        </is>
      </c>
      <c r="S615" s="8" t="n">
        <v>46098.81461805556</v>
      </c>
    </row>
    <row r="616" hidden="1" ht="29" customHeight="1">
      <c r="A616" s="15">
        <f>HYPERLINK("https://vtmf.veevavault.com/ui/#doc_info/31198668/1/0", "VTMF-25156464")</f>
        <v/>
      </c>
      <c r="B616" s="20" t="inlineStr">
        <is>
          <t>Yes</t>
        </is>
      </c>
      <c r="C616" s="5" t="inlineStr">
        <is>
          <t>1.0</t>
        </is>
      </c>
      <c r="D616" s="5" t="inlineStr">
        <is>
          <t>GCO</t>
        </is>
      </c>
      <c r="E616" s="5" t="inlineStr">
        <is>
          <t>42847922MDD3003</t>
        </is>
      </c>
      <c r="F616" s="16">
        <f>HYPERLINK("https://vtmf.veevavault.com/ui/#doc_info/31198668/1/0", "42847922MDD3003-BRA--Relevant Communications-05 Feb 2026 (v1.0)")</f>
        <v/>
      </c>
      <c r="G616" s="5" t="inlineStr">
        <is>
          <t>Trial Management</t>
        </is>
      </c>
      <c r="H616" s="5" t="inlineStr">
        <is>
          <t>General</t>
        </is>
      </c>
      <c r="I616" s="5" t="inlineStr">
        <is>
          <t>Relevant Communications</t>
        </is>
      </c>
      <c r="J616" s="5" t="inlineStr">
        <is>
          <t>email: RES: MDD3003_Doubt_Visit procedures in different days_05Feb2026</t>
        </is>
      </c>
      <c r="K616" s="6" t="n">
        <v>40</v>
      </c>
      <c r="L616" s="7" t="n">
        <v>46058</v>
      </c>
      <c r="M616" s="11" t="n">
        <v>46098</v>
      </c>
      <c r="N616" s="5" t="inlineStr">
        <is>
          <t>Approved</t>
        </is>
      </c>
      <c r="O616" s="5" t="inlineStr">
        <is>
          <t>Country</t>
        </is>
      </c>
      <c r="P616" s="5" t="inlineStr">
        <is>
          <t>Brazil</t>
        </is>
      </c>
      <c r="Q616" s="13" t="inlineStr"/>
      <c r="R616" s="5" t="inlineStr">
        <is>
          <t>Vanessa Ferezini Miorando</t>
        </is>
      </c>
      <c r="S616" s="8" t="n">
        <v>46098.81842592593</v>
      </c>
    </row>
    <row r="617" hidden="1" ht="43.5" customHeight="1">
      <c r="A617" s="15">
        <f>HYPERLINK("https://vtmf.veevavault.com/ui/#doc_info/31198688/1/0", "VTMF-25156508")</f>
        <v/>
      </c>
      <c r="B617" s="20" t="inlineStr">
        <is>
          <t>Yes</t>
        </is>
      </c>
      <c r="C617" s="5" t="inlineStr">
        <is>
          <t>1.0</t>
        </is>
      </c>
      <c r="D617" s="5" t="inlineStr">
        <is>
          <t>GCO</t>
        </is>
      </c>
      <c r="E617" s="5" t="inlineStr">
        <is>
          <t>42847922MDD3003</t>
        </is>
      </c>
      <c r="F617" s="16">
        <f>HYPERLINK("https://vtmf.veevavault.com/ui/#doc_info/31198688/1/0", "42847922MDD3003-BRA--Relevant Communications-05 Feb 2026 (v1.0)")</f>
        <v/>
      </c>
      <c r="G617" s="5" t="inlineStr">
        <is>
          <t>Trial Management</t>
        </is>
      </c>
      <c r="H617" s="5" t="inlineStr">
        <is>
          <t>General</t>
        </is>
      </c>
      <c r="I617" s="5" t="inlineStr">
        <is>
          <t>Relevant Communications</t>
        </is>
      </c>
      <c r="J617" s="5" t="inlineStr">
        <is>
          <t>email: RES: 42847922MDD3003_Weekly Cleaning Campaign Database Lock Part 1_05Feb26_read and take action!_05Feb2026</t>
        </is>
      </c>
      <c r="K617" s="6" t="n">
        <v>40</v>
      </c>
      <c r="L617" s="7" t="n">
        <v>46058</v>
      </c>
      <c r="M617" s="11" t="n">
        <v>46098</v>
      </c>
      <c r="N617" s="5" t="inlineStr">
        <is>
          <t>Approved</t>
        </is>
      </c>
      <c r="O617" s="5" t="inlineStr">
        <is>
          <t>Country</t>
        </is>
      </c>
      <c r="P617" s="5" t="inlineStr">
        <is>
          <t>Brazil</t>
        </is>
      </c>
      <c r="Q617" s="13" t="inlineStr"/>
      <c r="R617" s="5" t="inlineStr">
        <is>
          <t>Vanessa Ferezini Miorando</t>
        </is>
      </c>
      <c r="S617" s="8" t="n">
        <v>46098.82673611111</v>
      </c>
    </row>
    <row r="618" hidden="1" ht="29" customHeight="1">
      <c r="A618" s="15">
        <f>HYPERLINK("https://vtmf.veevavault.com/ui/#doc_info/31204243/1/0", "VTMF-25161252")</f>
        <v/>
      </c>
      <c r="B618" s="20" t="inlineStr">
        <is>
          <t>Yes</t>
        </is>
      </c>
      <c r="C618" s="5" t="inlineStr">
        <is>
          <t>1.0</t>
        </is>
      </c>
      <c r="D618" s="5" t="inlineStr">
        <is>
          <t>GCO</t>
        </is>
      </c>
      <c r="E618" s="5" t="inlineStr">
        <is>
          <t>42847922MDD3003</t>
        </is>
      </c>
      <c r="F618" s="16">
        <f>HYPERLINK("https://vtmf.veevavault.com/ui/#doc_info/31204243/1/0", "42847922MDD3003-USA-S10-US10172-Financial Disclosure Form-15 Dec 2025 (v1.0)")</f>
        <v/>
      </c>
      <c r="G618" s="5" t="inlineStr">
        <is>
          <t>Site Management</t>
        </is>
      </c>
      <c r="H618" s="5" t="inlineStr">
        <is>
          <t>Site Set-up Documentation</t>
        </is>
      </c>
      <c r="I618" s="5" t="inlineStr">
        <is>
          <t>Financial Disclosure Form</t>
        </is>
      </c>
      <c r="J618" s="5" t="inlineStr">
        <is>
          <t>Sub-I FDF_Concepcion, A_Initial</t>
        </is>
      </c>
      <c r="K618" s="6" t="n">
        <v>93</v>
      </c>
      <c r="L618" s="7" t="n">
        <v>46006</v>
      </c>
      <c r="M618" s="11" t="n">
        <v>46099</v>
      </c>
      <c r="N618" s="5" t="inlineStr">
        <is>
          <t>Approved</t>
        </is>
      </c>
      <c r="O618" s="5" t="inlineStr">
        <is>
          <t>Site</t>
        </is>
      </c>
      <c r="P618" s="5" t="inlineStr">
        <is>
          <t>United States</t>
        </is>
      </c>
      <c r="Q618" s="13" t="inlineStr">
        <is>
          <t>S10-US10172</t>
        </is>
      </c>
      <c r="R618" s="5" t="inlineStr">
        <is>
          <t>Daniel Woodland</t>
        </is>
      </c>
      <c r="S618" s="8" t="n">
        <v>46099.62649305556</v>
      </c>
    </row>
    <row r="619" hidden="1" ht="29" customHeight="1">
      <c r="A619" s="15">
        <f>HYPERLINK("https://vtmf.veevavault.com/ui/#doc_info/31206475/1/0", "VTMF-25163052")</f>
        <v/>
      </c>
      <c r="B619" s="19" t="inlineStr">
        <is>
          <t>No</t>
        </is>
      </c>
      <c r="C619" s="5" t="inlineStr">
        <is>
          <t>1.0</t>
        </is>
      </c>
      <c r="D619" s="5" t="inlineStr">
        <is>
          <t>GCO</t>
        </is>
      </c>
      <c r="E619" s="5" t="inlineStr">
        <is>
          <t>42847922MDD3003</t>
        </is>
      </c>
      <c r="F619" s="16">
        <f>HYPERLINK("https://vtmf.veevavault.com/ui/#doc_info/31206475/1/0", "42847922MDD3003-COL-S10-CO10003-Sub-Investigator Curriculum Vitae-30 Jan 2026 (v1.0)")</f>
        <v/>
      </c>
      <c r="G619" s="5" t="inlineStr">
        <is>
          <t>Site Management</t>
        </is>
      </c>
      <c r="H619" s="5" t="inlineStr">
        <is>
          <t>Site Set-up Documentation</t>
        </is>
      </c>
      <c r="I619" s="5" t="inlineStr">
        <is>
          <t>Sub-Investigator Curriculum Vitae</t>
        </is>
      </c>
      <c r="J619" s="5" t="inlineStr">
        <is>
          <t>CV_Eng_Vásquez, D_30 Jan 2026</t>
        </is>
      </c>
      <c r="K619" s="6" t="n">
        <v>47</v>
      </c>
      <c r="L619" s="7" t="n">
        <v>46052</v>
      </c>
      <c r="M619" s="11" t="n">
        <v>46099</v>
      </c>
      <c r="N619" s="5" t="inlineStr">
        <is>
          <t>Superseded</t>
        </is>
      </c>
      <c r="O619" s="5" t="inlineStr">
        <is>
          <t>Site</t>
        </is>
      </c>
      <c r="P619" s="5" t="inlineStr">
        <is>
          <t>Colombia</t>
        </is>
      </c>
      <c r="Q619" s="13" t="inlineStr">
        <is>
          <t>S10-CO10003</t>
        </is>
      </c>
      <c r="R619" s="5" t="inlineStr">
        <is>
          <t>Monica Romero</t>
        </is>
      </c>
      <c r="S619" s="8" t="n">
        <v>46099.86460648148</v>
      </c>
    </row>
    <row r="620" hidden="1" ht="29" customHeight="1">
      <c r="A620" s="15">
        <f>HYPERLINK("https://vtmf.veevavault.com/ui/#doc_info/31206475/2/0", "VTMF-25163052")</f>
        <v/>
      </c>
      <c r="B620" s="19" t="inlineStr">
        <is>
          <t>No</t>
        </is>
      </c>
      <c r="C620" s="5" t="inlineStr">
        <is>
          <t>2.0</t>
        </is>
      </c>
      <c r="D620" s="5" t="inlineStr">
        <is>
          <t>GCO</t>
        </is>
      </c>
      <c r="E620" s="5" t="inlineStr">
        <is>
          <t>42847922MDD3003</t>
        </is>
      </c>
      <c r="F620" s="16">
        <f>HYPERLINK("https://vtmf.veevavault.com/ui/#doc_info/31206475/2/0", "42847922MDD3003-COL-S10-CO10003-Sub-Investigator Curriculum Vitae-30 Jan 2026 (v2.0)")</f>
        <v/>
      </c>
      <c r="G620" s="5" t="inlineStr">
        <is>
          <t>Site Management</t>
        </is>
      </c>
      <c r="H620" s="5" t="inlineStr">
        <is>
          <t>Site Set-up Documentation</t>
        </is>
      </c>
      <c r="I620" s="5" t="inlineStr">
        <is>
          <t>Sub-Investigator Curriculum Vitae</t>
        </is>
      </c>
      <c r="J620" s="5" t="inlineStr">
        <is>
          <t>CV_Eng_Vásquez, D_30 Jan 2026</t>
        </is>
      </c>
      <c r="K620" s="6" t="n">
        <v>48</v>
      </c>
      <c r="L620" s="7" t="n">
        <v>46052</v>
      </c>
      <c r="M620" s="11" t="n">
        <v>46100</v>
      </c>
      <c r="N620" s="5" t="inlineStr">
        <is>
          <t>Approved</t>
        </is>
      </c>
      <c r="O620" s="5" t="inlineStr">
        <is>
          <t>Site</t>
        </is>
      </c>
      <c r="P620" s="5" t="inlineStr">
        <is>
          <t>Colombia</t>
        </is>
      </c>
      <c r="Q620" s="13" t="inlineStr">
        <is>
          <t>S10-CO10003</t>
        </is>
      </c>
      <c r="R620" s="5" t="inlineStr">
        <is>
          <t>Monica Romero</t>
        </is>
      </c>
      <c r="S620" s="8" t="n">
        <v>46100.82047453704</v>
      </c>
    </row>
    <row r="621" hidden="1" ht="29" customHeight="1">
      <c r="A621" s="15">
        <f>HYPERLINK("https://vtmf.veevavault.com/ui/#doc_info/31210057/1/0", "VTMF-25166022")</f>
        <v/>
      </c>
      <c r="B621" s="19" t="inlineStr">
        <is>
          <t>No</t>
        </is>
      </c>
      <c r="C621" s="5" t="inlineStr">
        <is>
          <t>1.0</t>
        </is>
      </c>
      <c r="D621" s="5" t="inlineStr">
        <is>
          <t>GCO</t>
        </is>
      </c>
      <c r="E621" s="5" t="inlineStr">
        <is>
          <t>42847922MDD3003</t>
        </is>
      </c>
      <c r="F621" s="16">
        <f>HYPERLINK("https://vtmf.veevavault.com/ui/#doc_info/31210057/1/0", "42847922MDD3003-PRT-S10-PT10010-Non-IP Shipment Documentation-10 Oct 2025 (v1.0)")</f>
        <v/>
      </c>
      <c r="G621" s="5" t="inlineStr">
        <is>
          <t>IP and Trial Supplies</t>
        </is>
      </c>
      <c r="H621" s="5" t="inlineStr">
        <is>
          <t>Non-IP Documentation</t>
        </is>
      </c>
      <c r="I621" s="5" t="inlineStr">
        <is>
          <t>Non-IP Shipment Documentation</t>
        </is>
      </c>
      <c r="J621" s="5" t="inlineStr">
        <is>
          <t>Non-IP Shipment Form_Paper PROs (ATRQ - Screening, MMSE - Screening, PGI-C - V8)</t>
        </is>
      </c>
      <c r="K621" s="6" t="n">
        <v>160</v>
      </c>
      <c r="L621" s="7" t="n">
        <v>45940</v>
      </c>
      <c r="M621" s="11" t="n">
        <v>46100</v>
      </c>
      <c r="N621" s="5" t="inlineStr">
        <is>
          <t>Approved</t>
        </is>
      </c>
      <c r="O621" s="5" t="inlineStr">
        <is>
          <t>Site</t>
        </is>
      </c>
      <c r="P621" s="5" t="inlineStr">
        <is>
          <t>Portugal</t>
        </is>
      </c>
      <c r="Q621" s="13" t="inlineStr">
        <is>
          <t>S10-PT10010</t>
        </is>
      </c>
      <c r="R621" s="5" t="inlineStr">
        <is>
          <t>Ruben Ayora</t>
        </is>
      </c>
      <c r="S621" s="8" t="n">
        <v>46100.36037037037</v>
      </c>
    </row>
    <row r="622" hidden="1" ht="29" customHeight="1">
      <c r="A622" s="15">
        <f>HYPERLINK("https://vtmf.veevavault.com/ui/#doc_info/31210058/1/0", "VTMF-25166023")</f>
        <v/>
      </c>
      <c r="B622" s="19" t="inlineStr">
        <is>
          <t>No</t>
        </is>
      </c>
      <c r="C622" s="5" t="inlineStr">
        <is>
          <t>1.0</t>
        </is>
      </c>
      <c r="D622" s="5" t="inlineStr">
        <is>
          <t>GCO</t>
        </is>
      </c>
      <c r="E622" s="5" t="inlineStr">
        <is>
          <t>42847922MDD3003</t>
        </is>
      </c>
      <c r="F622" s="16">
        <f>HYPERLINK("https://vtmf.veevavault.com/ui/#doc_info/31210058/1/0", "42847922MDD3003-PRT-S10-PT10010-Non-IP Shipment Documentation-23 Oct 2025 (v1.0)")</f>
        <v/>
      </c>
      <c r="G622" s="5" t="inlineStr">
        <is>
          <t>IP and Trial Supplies</t>
        </is>
      </c>
      <c r="H622" s="5" t="inlineStr">
        <is>
          <t>Non-IP Documentation</t>
        </is>
      </c>
      <c r="I622" s="5" t="inlineStr">
        <is>
          <t>Non-IP Shipment Documentation</t>
        </is>
      </c>
      <c r="J622" s="5" t="inlineStr">
        <is>
          <t>Non-IP Shipment Form_ICF (Part 1 and 2) v8.0, ICF (Part 2) v9.0, IB Ed. 14</t>
        </is>
      </c>
      <c r="K622" s="6" t="n">
        <v>147</v>
      </c>
      <c r="L622" s="7" t="n">
        <v>45953</v>
      </c>
      <c r="M622" s="11" t="n">
        <v>46100</v>
      </c>
      <c r="N622" s="5" t="inlineStr">
        <is>
          <t>Approved</t>
        </is>
      </c>
      <c r="O622" s="5" t="inlineStr">
        <is>
          <t>Site</t>
        </is>
      </c>
      <c r="P622" s="5" t="inlineStr">
        <is>
          <t>Portugal</t>
        </is>
      </c>
      <c r="Q622" s="13" t="inlineStr">
        <is>
          <t>S10-PT10010</t>
        </is>
      </c>
      <c r="R622" s="5" t="inlineStr">
        <is>
          <t>Ruben Ayora</t>
        </is>
      </c>
      <c r="S622" s="8" t="n">
        <v>46100.36037037037</v>
      </c>
    </row>
    <row r="623" hidden="1" ht="29" customHeight="1">
      <c r="A623" s="15">
        <f>HYPERLINK("https://vtmf.veevavault.com/ui/#doc_info/31210059/1/0", "VTMF-25166024")</f>
        <v/>
      </c>
      <c r="B623" s="19" t="inlineStr">
        <is>
          <t>No</t>
        </is>
      </c>
      <c r="C623" s="5" t="inlineStr">
        <is>
          <t>1.0</t>
        </is>
      </c>
      <c r="D623" s="5" t="inlineStr">
        <is>
          <t>GCO</t>
        </is>
      </c>
      <c r="E623" s="5" t="inlineStr">
        <is>
          <t>42847922MDD3003</t>
        </is>
      </c>
      <c r="F623" s="16">
        <f>HYPERLINK("https://vtmf.veevavault.com/ui/#doc_info/31210059/1/0", "42847922MDD3003-PRT-S10-PT10010-Non-IP Shipment Documentation-30 May 2025 (v1.0)")</f>
        <v/>
      </c>
      <c r="G623" s="5" t="inlineStr">
        <is>
          <t>IP and Trial Supplies</t>
        </is>
      </c>
      <c r="H623" s="5" t="inlineStr">
        <is>
          <t>Non-IP Documentation</t>
        </is>
      </c>
      <c r="I623" s="5" t="inlineStr">
        <is>
          <t>Non-IP Shipment Documentation</t>
        </is>
      </c>
      <c r="J623" s="5" t="inlineStr">
        <is>
          <t>Non-IP Shipment Form_Paper PRO C-SSRS PA2 V1</t>
        </is>
      </c>
      <c r="K623" s="6" t="n">
        <v>293</v>
      </c>
      <c r="L623" s="7" t="n">
        <v>45807</v>
      </c>
      <c r="M623" s="11" t="n">
        <v>46100</v>
      </c>
      <c r="N623" s="5" t="inlineStr">
        <is>
          <t>Approved</t>
        </is>
      </c>
      <c r="O623" s="5" t="inlineStr">
        <is>
          <t>Site</t>
        </is>
      </c>
      <c r="P623" s="5" t="inlineStr">
        <is>
          <t>Portugal</t>
        </is>
      </c>
      <c r="Q623" s="13" t="inlineStr">
        <is>
          <t>S10-PT10010</t>
        </is>
      </c>
      <c r="R623" s="5" t="inlineStr">
        <is>
          <t>Ruben Ayora</t>
        </is>
      </c>
      <c r="S623" s="8" t="n">
        <v>46100.36037037037</v>
      </c>
    </row>
    <row r="624" hidden="1" ht="29" customHeight="1">
      <c r="A624" s="15">
        <f>HYPERLINK("https://vtmf.veevavault.com/ui/#doc_info/31210066/1/0", "VTMF-25166038")</f>
        <v/>
      </c>
      <c r="B624" s="20" t="inlineStr">
        <is>
          <t>Yes</t>
        </is>
      </c>
      <c r="C624" s="5" t="inlineStr">
        <is>
          <t>1.0</t>
        </is>
      </c>
      <c r="D624" s="5" t="inlineStr">
        <is>
          <t>GCO</t>
        </is>
      </c>
      <c r="E624" s="5" t="inlineStr">
        <is>
          <t>42847922MDD3003</t>
        </is>
      </c>
      <c r="F624" s="16">
        <f>HYPERLINK("https://vtmf.veevavault.com/ui/#doc_info/31210066/1/0", "42847922MDD3003-PRT-S10-PT10010-Protocol Signature Page-24 Jun 2025 (v1.0)")</f>
        <v/>
      </c>
      <c r="G624" s="5" t="inlineStr">
        <is>
          <t>Site Management</t>
        </is>
      </c>
      <c r="H624" s="5" t="inlineStr">
        <is>
          <t>Site Set-up Documentation</t>
        </is>
      </c>
      <c r="I624" s="5" t="inlineStr">
        <is>
          <t>Protocol Signature Page</t>
        </is>
      </c>
      <c r="J624" s="5" t="inlineStr">
        <is>
          <t>Protocol Signature Page_Martins, P_Amendment 2/EU-2</t>
        </is>
      </c>
      <c r="K624" s="6" t="n">
        <v>268</v>
      </c>
      <c r="L624" s="7" t="n">
        <v>45832</v>
      </c>
      <c r="M624" s="11" t="n">
        <v>46100</v>
      </c>
      <c r="N624" s="5" t="inlineStr">
        <is>
          <t>Approved</t>
        </is>
      </c>
      <c r="O624" s="5" t="inlineStr">
        <is>
          <t>Site</t>
        </is>
      </c>
      <c r="P624" s="5" t="inlineStr">
        <is>
          <t>Portugal</t>
        </is>
      </c>
      <c r="Q624" s="13" t="inlineStr">
        <is>
          <t>S10-PT10010</t>
        </is>
      </c>
      <c r="R624" s="5" t="inlineStr">
        <is>
          <t>Ruben Ayora</t>
        </is>
      </c>
      <c r="S624" s="8" t="n">
        <v>46100.36416666667</v>
      </c>
    </row>
    <row r="625" hidden="1" ht="29" customHeight="1">
      <c r="A625" s="15">
        <f>HYPERLINK("https://vtmf.veevavault.com/ui/#doc_info/31210068/1/0", "VTMF-25166041")</f>
        <v/>
      </c>
      <c r="B625" s="20" t="inlineStr">
        <is>
          <t>Yes</t>
        </is>
      </c>
      <c r="C625" s="5" t="inlineStr">
        <is>
          <t>1.0</t>
        </is>
      </c>
      <c r="D625" s="5" t="inlineStr">
        <is>
          <t>GCO</t>
        </is>
      </c>
      <c r="E625" s="5" t="inlineStr">
        <is>
          <t>42847922MDD3003</t>
        </is>
      </c>
      <c r="F625" s="16">
        <f>HYPERLINK("https://vtmf.veevavault.com/ui/#doc_info/31210068/1/0", "42847922MDD3003-PRT-S10-PT10010-Acceptance of Investigator Brochure-23 Oct 2025 (v1.0)")</f>
        <v/>
      </c>
      <c r="G625" s="5" t="inlineStr">
        <is>
          <t>Site Management</t>
        </is>
      </c>
      <c r="H625" s="5" t="inlineStr">
        <is>
          <t>Site Set-up Documentation</t>
        </is>
      </c>
      <c r="I625" s="5" t="inlineStr">
        <is>
          <t>Acceptance of Investigator Brochure</t>
        </is>
      </c>
      <c r="J625" s="5" t="inlineStr">
        <is>
          <t>Personal Data Processing Form_Seltorexant Ed. 14</t>
        </is>
      </c>
      <c r="K625" s="6" t="n">
        <v>147</v>
      </c>
      <c r="L625" s="7" t="n">
        <v>45953</v>
      </c>
      <c r="M625" s="11" t="n">
        <v>46100</v>
      </c>
      <c r="N625" s="5" t="inlineStr">
        <is>
          <t>Approved</t>
        </is>
      </c>
      <c r="O625" s="5" t="inlineStr">
        <is>
          <t>Site</t>
        </is>
      </c>
      <c r="P625" s="5" t="inlineStr">
        <is>
          <t>Portugal</t>
        </is>
      </c>
      <c r="Q625" s="13" t="inlineStr">
        <is>
          <t>S10-PT10010</t>
        </is>
      </c>
      <c r="R625" s="5" t="inlineStr">
        <is>
          <t>Ruben Ayora</t>
        </is>
      </c>
      <c r="S625" s="8" t="n">
        <v>46100.36417824074</v>
      </c>
    </row>
    <row r="626" hidden="1" ht="29" customHeight="1">
      <c r="A626" s="15">
        <f>HYPERLINK("https://vtmf.veevavault.com/ui/#doc_info/31214354/1/0", "VTMF-25169540")</f>
        <v/>
      </c>
      <c r="B626" s="19" t="inlineStr">
        <is>
          <t>No</t>
        </is>
      </c>
      <c r="C626" s="5" t="inlineStr">
        <is>
          <t>1.0</t>
        </is>
      </c>
      <c r="D626" s="5" t="inlineStr">
        <is>
          <t>GCO</t>
        </is>
      </c>
      <c r="E626" s="5" t="inlineStr">
        <is>
          <t>42847922MDD3003</t>
        </is>
      </c>
      <c r="F626" s="16">
        <f>HYPERLINK("https://vtmf.veevavault.com/ui/#doc_info/31214354/1/0", "42847922MDD3003-COL-S10-CO10003-Sub-Investigator Curriculum Vitae-30 Jan 2026 (v1.0)")</f>
        <v/>
      </c>
      <c r="G626" s="5" t="inlineStr">
        <is>
          <t>Site Management</t>
        </is>
      </c>
      <c r="H626" s="5" t="inlineStr">
        <is>
          <t>Site Set-up Documentation</t>
        </is>
      </c>
      <c r="I626" s="5" t="inlineStr">
        <is>
          <t>Sub-Investigator Curriculum Vitae</t>
        </is>
      </c>
      <c r="J626" s="5" t="inlineStr">
        <is>
          <t>CV_Spanish_Vásquez, D_30 Jan 2026</t>
        </is>
      </c>
      <c r="K626" s="6" t="n">
        <v>48</v>
      </c>
      <c r="L626" s="7" t="n">
        <v>46052</v>
      </c>
      <c r="M626" s="11" t="n">
        <v>46100</v>
      </c>
      <c r="N626" s="5" t="inlineStr">
        <is>
          <t>Approved</t>
        </is>
      </c>
      <c r="O626" s="5" t="inlineStr">
        <is>
          <t>Site</t>
        </is>
      </c>
      <c r="P626" s="5" t="inlineStr">
        <is>
          <t>Colombia</t>
        </is>
      </c>
      <c r="Q626" s="13" t="inlineStr">
        <is>
          <t>S10-CO10003</t>
        </is>
      </c>
      <c r="R626" s="5" t="inlineStr">
        <is>
          <t>Monica Romero</t>
        </is>
      </c>
      <c r="S626" s="8" t="n">
        <v>46100.79375</v>
      </c>
    </row>
    <row r="627" hidden="1">
      <c r="A627" s="15">
        <f>HYPERLINK("https://vtmf.veevavault.com/ui/#doc_info/31214852/1/0", "VTMF-25170020")</f>
        <v/>
      </c>
      <c r="B627" s="20" t="inlineStr">
        <is>
          <t>Yes</t>
        </is>
      </c>
      <c r="C627" s="5" t="inlineStr">
        <is>
          <t>1.0</t>
        </is>
      </c>
      <c r="D627" s="5" t="inlineStr">
        <is>
          <t>GCO</t>
        </is>
      </c>
      <c r="E627" s="5" t="inlineStr">
        <is>
          <t>42847922MDD3003</t>
        </is>
      </c>
      <c r="F627" s="16">
        <f>HYPERLINK("https://vtmf.veevavault.com/ui/#doc_info/31214852/1/0", "42847922MDD3003---Meeting Material-10 Feb 2026 (v1.0)")</f>
        <v/>
      </c>
      <c r="G627" s="5" t="inlineStr">
        <is>
          <t>Third Parties</t>
        </is>
      </c>
      <c r="H627" s="5" t="inlineStr">
        <is>
          <t>General</t>
        </is>
      </c>
      <c r="I627" s="5" t="inlineStr">
        <is>
          <t>Meeting Material</t>
        </is>
      </c>
      <c r="J627" s="5" t="inlineStr">
        <is>
          <t>LabCorp Weekly Meeting ADI Log</t>
        </is>
      </c>
      <c r="K627" s="6" t="n">
        <v>37</v>
      </c>
      <c r="L627" s="7" t="n">
        <v>46063</v>
      </c>
      <c r="M627" s="11" t="n">
        <v>46100</v>
      </c>
      <c r="N627" s="5" t="inlineStr">
        <is>
          <t>Approved</t>
        </is>
      </c>
      <c r="O627" s="5" t="inlineStr">
        <is>
          <t>Study</t>
        </is>
      </c>
      <c r="P627" s="5" t="inlineStr"/>
      <c r="Q627" s="13" t="inlineStr"/>
      <c r="R627" s="5" t="inlineStr">
        <is>
          <t>Debhora Garcia</t>
        </is>
      </c>
      <c r="S627" s="8" t="n">
        <v>46100.83143518519</v>
      </c>
    </row>
    <row r="628" hidden="1" ht="29" customHeight="1">
      <c r="A628" s="15">
        <f>HYPERLINK("https://vtmf.veevavault.com/ui/#doc_info/31214884/1/0", "VTMF-25170080")</f>
        <v/>
      </c>
      <c r="B628" s="20" t="inlineStr">
        <is>
          <t>Yes</t>
        </is>
      </c>
      <c r="C628" s="5" t="inlineStr">
        <is>
          <t>1.0</t>
        </is>
      </c>
      <c r="D628" s="5" t="inlineStr">
        <is>
          <t>GCO</t>
        </is>
      </c>
      <c r="E628" s="5" t="inlineStr">
        <is>
          <t>42847922MDD3003</t>
        </is>
      </c>
      <c r="F628" s="16">
        <f>HYPERLINK("https://vtmf.veevavault.com/ui/#doc_info/31214884/1/0", "42847922MDD3003-ARG--Regulatory Progress Report-23 Feb 2026- (v1.0)")</f>
        <v/>
      </c>
      <c r="G628" s="5" t="inlineStr">
        <is>
          <t>Regulatory</t>
        </is>
      </c>
      <c r="H628" s="5" t="inlineStr">
        <is>
          <t>Trial Status Reporting</t>
        </is>
      </c>
      <c r="I628" s="5" t="inlineStr">
        <is>
          <t>Regulatory Progress Report</t>
        </is>
      </c>
      <c r="J628" s="5" t="inlineStr">
        <is>
          <t>ANMAT Approval_Progress report period 01jul2025 to 31dec2025</t>
        </is>
      </c>
      <c r="K628" s="6" t="n">
        <v>32</v>
      </c>
      <c r="L628" s="7" t="n">
        <v>46076</v>
      </c>
      <c r="M628" s="11" t="n">
        <v>46108</v>
      </c>
      <c r="N628" s="5" t="inlineStr">
        <is>
          <t>Approved</t>
        </is>
      </c>
      <c r="O628" s="5" t="inlineStr">
        <is>
          <t>Country</t>
        </is>
      </c>
      <c r="P628" s="5" t="inlineStr">
        <is>
          <t>Argentina</t>
        </is>
      </c>
      <c r="Q628" s="13" t="inlineStr"/>
      <c r="R628" s="5" t="inlineStr">
        <is>
          <t>Agustina Ariela Murro</t>
        </is>
      </c>
      <c r="S628" s="8" t="n">
        <v>46100.83733796296</v>
      </c>
    </row>
    <row r="629" hidden="1" ht="29" customHeight="1">
      <c r="A629" s="15">
        <f>HYPERLINK("https://vtmf.veevavault.com/ui/#doc_info/31241876/1/0", "VTMF-25196262")</f>
        <v/>
      </c>
      <c r="B629" s="20" t="inlineStr">
        <is>
          <t>Yes</t>
        </is>
      </c>
      <c r="C629" s="5" t="inlineStr">
        <is>
          <t>1.0</t>
        </is>
      </c>
      <c r="D629" s="5" t="inlineStr">
        <is>
          <t>GCO</t>
        </is>
      </c>
      <c r="E629" s="5" t="inlineStr">
        <is>
          <t>42847922MDD3003</t>
        </is>
      </c>
      <c r="F629" s="16">
        <f>HYPERLINK("https://vtmf.veevavault.com/ui/#doc_info/31241876/1/0", "42847922MDD3003-SVK-S10-SK10005-Relevant Communications-11 Feb 2026 (v1.0)")</f>
        <v/>
      </c>
      <c r="G629" s="5" t="inlineStr">
        <is>
          <t>Site Management</t>
        </is>
      </c>
      <c r="H629" s="5" t="inlineStr">
        <is>
          <t>General</t>
        </is>
      </c>
      <c r="I629" s="5" t="inlineStr">
        <is>
          <t>Relevant Communications</t>
        </is>
      </c>
      <c r="J629" s="5" t="inlineStr">
        <is>
          <t>Email_New Protocol amendment 2 v4.0 training</t>
        </is>
      </c>
      <c r="K629" s="6" t="n">
        <v>37</v>
      </c>
      <c r="L629" s="7" t="n">
        <v>46064</v>
      </c>
      <c r="M629" s="11" t="n">
        <v>46101</v>
      </c>
      <c r="N629" s="5" t="inlineStr">
        <is>
          <t>Approved</t>
        </is>
      </c>
      <c r="O629" s="5" t="inlineStr">
        <is>
          <t>Site</t>
        </is>
      </c>
      <c r="P629" s="5" t="inlineStr">
        <is>
          <t>Slovakia</t>
        </is>
      </c>
      <c r="Q629" s="13" t="inlineStr">
        <is>
          <t>S10-SK10005</t>
        </is>
      </c>
      <c r="R629" s="5" t="inlineStr">
        <is>
          <t>Lenka Bohmerova</t>
        </is>
      </c>
      <c r="S629" s="8" t="n">
        <v>46101.58418981481</v>
      </c>
    </row>
    <row r="630" hidden="1" ht="29" customHeight="1">
      <c r="A630" s="15">
        <f>HYPERLINK("https://vtmf.veevavault.com/ui/#doc_info/31241969/1/0", "VTMF-25196292")</f>
        <v/>
      </c>
      <c r="B630" s="20" t="inlineStr">
        <is>
          <t>Yes</t>
        </is>
      </c>
      <c r="C630" s="5" t="inlineStr">
        <is>
          <t>1.0</t>
        </is>
      </c>
      <c r="D630" s="5" t="inlineStr">
        <is>
          <t>GCO</t>
        </is>
      </c>
      <c r="E630" s="5" t="inlineStr">
        <is>
          <t>42847922MDD3003</t>
        </is>
      </c>
      <c r="F630" s="16">
        <f>HYPERLINK("https://vtmf.veevavault.com/ui/#doc_info/31241969/1/0", "42847922MDD3003-SVK-S10-SK10001-Relevant Communications-06 Feb 2026 (v1.0)")</f>
        <v/>
      </c>
      <c r="G630" s="5" t="inlineStr">
        <is>
          <t>Site Management</t>
        </is>
      </c>
      <c r="H630" s="5" t="inlineStr">
        <is>
          <t>General</t>
        </is>
      </c>
      <c r="I630" s="5" t="inlineStr">
        <is>
          <t>Relevant Communications</t>
        </is>
      </c>
      <c r="J630" s="5" t="inlineStr">
        <is>
          <t>Email_New Protocol Amendment 2 v 4.0 Training</t>
        </is>
      </c>
      <c r="K630" s="6" t="n">
        <v>42</v>
      </c>
      <c r="L630" s="7" t="n">
        <v>46059</v>
      </c>
      <c r="M630" s="11" t="n">
        <v>46101</v>
      </c>
      <c r="N630" s="5" t="inlineStr">
        <is>
          <t>Approved</t>
        </is>
      </c>
      <c r="O630" s="5" t="inlineStr">
        <is>
          <t>Site</t>
        </is>
      </c>
      <c r="P630" s="5" t="inlineStr">
        <is>
          <t>Slovakia</t>
        </is>
      </c>
      <c r="Q630" s="13" t="inlineStr">
        <is>
          <t>S10-SK10001</t>
        </is>
      </c>
      <c r="R630" s="5" t="inlineStr">
        <is>
          <t>Lenka Bohmerova</t>
        </is>
      </c>
      <c r="S630" s="8" t="n">
        <v>46101.5887962963</v>
      </c>
    </row>
    <row r="631" hidden="1" ht="29" customHeight="1">
      <c r="A631" s="15">
        <f>HYPERLINK("https://vtmf.veevavault.com/ui/#doc_info/31251844/1/0", "VTMF-25204746")</f>
        <v/>
      </c>
      <c r="B631" s="19" t="inlineStr">
        <is>
          <t>No</t>
        </is>
      </c>
      <c r="C631" s="5" t="inlineStr">
        <is>
          <t>1.0</t>
        </is>
      </c>
      <c r="D631" s="5" t="inlineStr">
        <is>
          <t>GCO</t>
        </is>
      </c>
      <c r="E631" s="5" t="inlineStr">
        <is>
          <t>42847922MDD3003</t>
        </is>
      </c>
      <c r="F631" s="16">
        <f>HYPERLINK("https://vtmf.veevavault.com/ui/#doc_info/31251844/1/0", "42847922MDD3003-PRT-S10-PT10013-Sub-Investigator Curriculum Vitae-19 Feb 2026 (v1.0)")</f>
        <v/>
      </c>
      <c r="G631" s="5" t="inlineStr">
        <is>
          <t>Site Management</t>
        </is>
      </c>
      <c r="H631" s="5" t="inlineStr">
        <is>
          <t>Site Set-up Documentation</t>
        </is>
      </c>
      <c r="I631" s="5" t="inlineStr">
        <is>
          <t>Sub-Investigator Curriculum Vitae</t>
        </is>
      </c>
      <c r="J631" s="5" t="inlineStr">
        <is>
          <t>Sub-Inv. CV_English_ Fonseca, AR_Initial</t>
        </is>
      </c>
      <c r="K631" s="6" t="n">
        <v>32</v>
      </c>
      <c r="L631" s="7" t="n">
        <v>46072</v>
      </c>
      <c r="M631" s="11" t="n">
        <v>46104</v>
      </c>
      <c r="N631" s="5" t="inlineStr">
        <is>
          <t>Approved</t>
        </is>
      </c>
      <c r="O631" s="5" t="inlineStr">
        <is>
          <t>Site</t>
        </is>
      </c>
      <c r="P631" s="5" t="inlineStr">
        <is>
          <t>Portugal</t>
        </is>
      </c>
      <c r="Q631" s="13" t="inlineStr">
        <is>
          <t>S10-PT10013</t>
        </is>
      </c>
      <c r="R631" s="5" t="inlineStr">
        <is>
          <t>Ruben Ayora</t>
        </is>
      </c>
      <c r="S631" s="8" t="n">
        <v>46104.49927083333</v>
      </c>
    </row>
    <row r="632" hidden="1" ht="29" customHeight="1">
      <c r="A632" s="15">
        <f>HYPERLINK("https://vtmf.veevavault.com/ui/#doc_info/31260230/1/0", "VTMF-25211738")</f>
        <v/>
      </c>
      <c r="B632" s="19" t="inlineStr">
        <is>
          <t>No</t>
        </is>
      </c>
      <c r="C632" s="5" t="inlineStr">
        <is>
          <t>1.0</t>
        </is>
      </c>
      <c r="D632" s="5" t="inlineStr">
        <is>
          <t>GCO</t>
        </is>
      </c>
      <c r="E632" s="5" t="inlineStr">
        <is>
          <t>42847922MDD3003</t>
        </is>
      </c>
      <c r="F632" s="16">
        <f>HYPERLINK("https://vtmf.veevavault.com/ui/#doc_info/31260230/1/0", "42847922MDD3003-CZE-S10-CZ10008-Site Feasibility Questionnaire Completed-13 Nov 2023 (v1.0)")</f>
        <v/>
      </c>
      <c r="G632" s="5" t="inlineStr">
        <is>
          <t>Site Management</t>
        </is>
      </c>
      <c r="H632" s="5" t="inlineStr">
        <is>
          <t>Site Selection</t>
        </is>
      </c>
      <c r="I632" s="5" t="inlineStr">
        <is>
          <t>Site Feasibility Questionnaire Completed</t>
        </is>
      </c>
      <c r="J632" s="5" t="inlineStr">
        <is>
          <t>Site feasibility questionnaire combined for MDD3003 + MDD3005 + MDD3007 13NOV2023</t>
        </is>
      </c>
      <c r="K632" s="6" t="n">
        <v>862</v>
      </c>
      <c r="L632" s="7" t="n">
        <v>45243</v>
      </c>
      <c r="M632" s="11" t="n">
        <v>46105</v>
      </c>
      <c r="N632" s="5" t="inlineStr">
        <is>
          <t>Approved</t>
        </is>
      </c>
      <c r="O632" s="5" t="inlineStr">
        <is>
          <t>Site</t>
        </is>
      </c>
      <c r="P632" s="5" t="inlineStr">
        <is>
          <t>Czech Republic</t>
        </is>
      </c>
      <c r="Q632" s="13" t="inlineStr">
        <is>
          <t>S10-CZ10008</t>
        </is>
      </c>
      <c r="R632" s="5" t="inlineStr">
        <is>
          <t>Vladimir Buzalka</t>
        </is>
      </c>
      <c r="S632" s="8" t="n">
        <v>46105.5577662037</v>
      </c>
    </row>
    <row r="633" ht="29" customHeight="1">
      <c r="A633" s="15">
        <f>HYPERLINK("https://vtmf.veevavault.com/ui/#doc_info/31263106/1/0", "VTMF-25212556")</f>
        <v/>
      </c>
      <c r="B633" s="20" t="inlineStr">
        <is>
          <t>Yes</t>
        </is>
      </c>
      <c r="C633" s="5" t="inlineStr">
        <is>
          <t>1.0</t>
        </is>
      </c>
      <c r="D633" s="5" t="inlineStr">
        <is>
          <t>GCO</t>
        </is>
      </c>
      <c r="E633" s="5" t="inlineStr">
        <is>
          <t>42847922MDD3003</t>
        </is>
      </c>
      <c r="F633" s="16">
        <f>HYPERLINK("https://vtmf.veevavault.com/ui/#doc_info/31263106/1/0", "42847922MDD3003-CZE--Translation and Revision Form-25 Mar 2024 (v1.0)")</f>
        <v/>
      </c>
      <c r="G633" s="5" t="inlineStr">
        <is>
          <t>Central Trial Documents</t>
        </is>
      </c>
      <c r="H633" s="5" t="inlineStr">
        <is>
          <t>Trial Documents</t>
        </is>
      </c>
      <c r="I633" s="5" t="inlineStr">
        <is>
          <t>Translation and Revision Form</t>
        </is>
      </c>
      <c r="J633" s="5" t="inlineStr">
        <is>
          <t>ICF Translation Form_ICF-CZ-01Pregnancy 25MAR2024</t>
        </is>
      </c>
      <c r="K633" s="6" t="n">
        <v>729</v>
      </c>
      <c r="L633" s="7" t="n">
        <v>45376</v>
      </c>
      <c r="M633" s="11" t="n">
        <v>46105</v>
      </c>
      <c r="N633" s="5" t="inlineStr">
        <is>
          <t>Approved</t>
        </is>
      </c>
      <c r="O633" s="5" t="inlineStr">
        <is>
          <t>Country</t>
        </is>
      </c>
      <c r="P633" s="5" t="inlineStr">
        <is>
          <t>Czech Republic</t>
        </is>
      </c>
      <c r="Q633" s="13" t="inlineStr"/>
      <c r="R633" s="5" t="inlineStr">
        <is>
          <t>Vladimir Buzalka</t>
        </is>
      </c>
      <c r="S633" s="8" t="n">
        <v>46105.63545138889</v>
      </c>
    </row>
    <row r="634" ht="29" customHeight="1">
      <c r="A634" s="15">
        <f>HYPERLINK("https://vtmf.veevavault.com/ui/#doc_info/31263201/1/0", "VTMF-25212614")</f>
        <v/>
      </c>
      <c r="B634" s="20" t="inlineStr">
        <is>
          <t>Yes</t>
        </is>
      </c>
      <c r="C634" s="5" t="inlineStr">
        <is>
          <t>1.0</t>
        </is>
      </c>
      <c r="D634" s="5" t="inlineStr">
        <is>
          <t>GCO</t>
        </is>
      </c>
      <c r="E634" s="5" t="inlineStr">
        <is>
          <t>42847922MDD3003</t>
        </is>
      </c>
      <c r="F634" s="16">
        <f>HYPERLINK("https://vtmf.veevavault.com/ui/#doc_info/31263201/1/0", "42847922MDD3003-CZE--Translation and Revision Form-15 Jul 2025 (v1.0)")</f>
        <v/>
      </c>
      <c r="G634" s="5" t="inlineStr">
        <is>
          <t>Central Trial Documents</t>
        </is>
      </c>
      <c r="H634" s="5" t="inlineStr">
        <is>
          <t>Trial Documents</t>
        </is>
      </c>
      <c r="I634" s="5" t="inlineStr">
        <is>
          <t>Translation and Revision Form</t>
        </is>
      </c>
      <c r="J634" s="5" t="inlineStr">
        <is>
          <t>ICF Adaptation and approval Form_42847922MDD3003 ICF v6 15JUL2025 part 1+2 CZ</t>
        </is>
      </c>
      <c r="K634" s="6" t="n">
        <v>252</v>
      </c>
      <c r="L634" s="7" t="n">
        <v>45853</v>
      </c>
      <c r="M634" s="11" t="n">
        <v>46105</v>
      </c>
      <c r="N634" s="5" t="inlineStr">
        <is>
          <t>Approved</t>
        </is>
      </c>
      <c r="O634" s="5" t="inlineStr">
        <is>
          <t>Country</t>
        </is>
      </c>
      <c r="P634" s="5" t="inlineStr">
        <is>
          <t>Czech Republic</t>
        </is>
      </c>
      <c r="Q634" s="13" t="inlineStr"/>
      <c r="R634" s="5" t="inlineStr">
        <is>
          <t>Vladimir Buzalka</t>
        </is>
      </c>
      <c r="S634" s="8" t="n">
        <v>46105.64126157408</v>
      </c>
    </row>
    <row r="635" ht="29" customHeight="1">
      <c r="A635" s="15">
        <f>HYPERLINK("https://vtmf.veevavault.com/ui/#doc_info/31263202/1/0", "VTMF-25212615")</f>
        <v/>
      </c>
      <c r="B635" s="20" t="inlineStr">
        <is>
          <t>Yes</t>
        </is>
      </c>
      <c r="C635" s="5" t="inlineStr">
        <is>
          <t>1.0</t>
        </is>
      </c>
      <c r="D635" s="5" t="inlineStr">
        <is>
          <t>GCO</t>
        </is>
      </c>
      <c r="E635" s="5" t="inlineStr">
        <is>
          <t>42847922MDD3003</t>
        </is>
      </c>
      <c r="F635" s="16">
        <f>HYPERLINK("https://vtmf.veevavault.com/ui/#doc_info/31263202/1/0", "42847922MDD3003-CZE--Translation and Revision Form-15 Jul 2025 (v1.0)")</f>
        <v/>
      </c>
      <c r="G635" s="5" t="inlineStr">
        <is>
          <t>Central Trial Documents</t>
        </is>
      </c>
      <c r="H635" s="5" t="inlineStr">
        <is>
          <t>Trial Documents</t>
        </is>
      </c>
      <c r="I635" s="5" t="inlineStr">
        <is>
          <t>Translation and Revision Form</t>
        </is>
      </c>
      <c r="J635" s="5" t="inlineStr">
        <is>
          <t>ICF Adaptation and approval Form_42847922MDD3003 ICF v6 15JUL2025 part 2 only CZ</t>
        </is>
      </c>
      <c r="K635" s="6" t="n">
        <v>252</v>
      </c>
      <c r="L635" s="7" t="n">
        <v>45853</v>
      </c>
      <c r="M635" s="11" t="n">
        <v>46105</v>
      </c>
      <c r="N635" s="5" t="inlineStr">
        <is>
          <t>Approved</t>
        </is>
      </c>
      <c r="O635" s="5" t="inlineStr">
        <is>
          <t>Country</t>
        </is>
      </c>
      <c r="P635" s="5" t="inlineStr">
        <is>
          <t>Czech Republic</t>
        </is>
      </c>
      <c r="Q635" s="13" t="inlineStr"/>
      <c r="R635" s="5" t="inlineStr">
        <is>
          <t>Vladimir Buzalka</t>
        </is>
      </c>
      <c r="S635" s="8" t="n">
        <v>46105.64126157408</v>
      </c>
    </row>
    <row r="636" ht="29" customHeight="1">
      <c r="A636" s="15">
        <f>HYPERLINK("https://vtmf.veevavault.com/ui/#doc_info/31263152/1/0", "VTMF-25212662")</f>
        <v/>
      </c>
      <c r="B636" s="20" t="inlineStr">
        <is>
          <t>Yes</t>
        </is>
      </c>
      <c r="C636" s="5" t="inlineStr">
        <is>
          <t>1.0</t>
        </is>
      </c>
      <c r="D636" s="5" t="inlineStr">
        <is>
          <t>GCO</t>
        </is>
      </c>
      <c r="E636" s="5" t="inlineStr">
        <is>
          <t>42847922MDD3003</t>
        </is>
      </c>
      <c r="F636" s="16">
        <f>HYPERLINK("https://vtmf.veevavault.com/ui/#doc_info/31263152/1/0", "42847922MDD3003-CZE--Translation and Revision Form-15 Jul 2024 (v1.0)")</f>
        <v/>
      </c>
      <c r="G636" s="5" t="inlineStr">
        <is>
          <t>Central Trial Documents</t>
        </is>
      </c>
      <c r="H636" s="5" t="inlineStr">
        <is>
          <t>Trial Documents</t>
        </is>
      </c>
      <c r="I636" s="5" t="inlineStr">
        <is>
          <t>Translation and Revision Form</t>
        </is>
      </c>
      <c r="J636" s="5" t="inlineStr">
        <is>
          <t>ICF Translation Form_42847922MDD3003 ICF v6 15JUL2025 part 1+2 CZ (fully signed)</t>
        </is>
      </c>
      <c r="K636" s="6" t="n">
        <v>617</v>
      </c>
      <c r="L636" s="7" t="n">
        <v>45488</v>
      </c>
      <c r="M636" s="11" t="n">
        <v>46105</v>
      </c>
      <c r="N636" s="5" t="inlineStr">
        <is>
          <t>Approved</t>
        </is>
      </c>
      <c r="O636" s="5" t="inlineStr">
        <is>
          <t>Country</t>
        </is>
      </c>
      <c r="P636" s="5" t="inlineStr">
        <is>
          <t>Czech Republic</t>
        </is>
      </c>
      <c r="Q636" s="13" t="inlineStr"/>
      <c r="R636" s="5" t="inlineStr">
        <is>
          <t>Vladimir Buzalka</t>
        </is>
      </c>
      <c r="S636" s="8" t="n">
        <v>46105.64575231481</v>
      </c>
    </row>
    <row r="637" ht="29" customHeight="1">
      <c r="A637" s="15">
        <f>HYPERLINK("https://vtmf.veevavault.com/ui/#doc_info/31263153/1/0", "VTMF-25212663")</f>
        <v/>
      </c>
      <c r="B637" s="20" t="inlineStr">
        <is>
          <t>Yes</t>
        </is>
      </c>
      <c r="C637" s="5" t="inlineStr">
        <is>
          <t>1.0</t>
        </is>
      </c>
      <c r="D637" s="5" t="inlineStr">
        <is>
          <t>GCO</t>
        </is>
      </c>
      <c r="E637" s="5" t="inlineStr">
        <is>
          <t>42847922MDD3003</t>
        </is>
      </c>
      <c r="F637" s="16">
        <f>HYPERLINK("https://vtmf.veevavault.com/ui/#doc_info/31263153/1/0", "42847922MDD3003-CZE--Translation and Revision Form-15 Jul 2024 (v1.0)")</f>
        <v/>
      </c>
      <c r="G637" s="5" t="inlineStr">
        <is>
          <t>Central Trial Documents</t>
        </is>
      </c>
      <c r="H637" s="5" t="inlineStr">
        <is>
          <t>Trial Documents</t>
        </is>
      </c>
      <c r="I637" s="5" t="inlineStr">
        <is>
          <t>Translation and Revision Form</t>
        </is>
      </c>
      <c r="J637" s="5" t="inlineStr">
        <is>
          <t>ICF Translation Form_42847922MDD3003 ICF v6 15JUL2025 part 2 only CZ (fully signed)</t>
        </is>
      </c>
      <c r="K637" s="6" t="n">
        <v>617</v>
      </c>
      <c r="L637" s="7" t="n">
        <v>45488</v>
      </c>
      <c r="M637" s="11" t="n">
        <v>46105</v>
      </c>
      <c r="N637" s="5" t="inlineStr">
        <is>
          <t>Approved</t>
        </is>
      </c>
      <c r="O637" s="5" t="inlineStr">
        <is>
          <t>Country</t>
        </is>
      </c>
      <c r="P637" s="5" t="inlineStr">
        <is>
          <t>Czech Republic</t>
        </is>
      </c>
      <c r="Q637" s="13" t="inlineStr"/>
      <c r="R637" s="5" t="inlineStr">
        <is>
          <t>Vladimir Buzalka</t>
        </is>
      </c>
      <c r="S637" s="8" t="n">
        <v>46105.64575231481</v>
      </c>
    </row>
    <row r="638" ht="29" customHeight="1">
      <c r="A638" s="15">
        <f>HYPERLINK("https://vtmf.veevavault.com/ui/#doc_info/31263190/1/0", "VTMF-25212708")</f>
        <v/>
      </c>
      <c r="B638" s="20" t="inlineStr">
        <is>
          <t>Yes</t>
        </is>
      </c>
      <c r="C638" s="5" t="inlineStr">
        <is>
          <t>1.0</t>
        </is>
      </c>
      <c r="D638" s="5" t="inlineStr">
        <is>
          <t>GCO</t>
        </is>
      </c>
      <c r="E638" s="5" t="inlineStr">
        <is>
          <t>42847922MDD3003</t>
        </is>
      </c>
      <c r="F638" s="16">
        <f>HYPERLINK("https://vtmf.veevavault.com/ui/#doc_info/31263190/1/0", "42847922MDD3003-CZE--Master ICF Review and Approval Form-15 Jul 2025 (v1.0)")</f>
        <v/>
      </c>
      <c r="G638" s="5" t="inlineStr">
        <is>
          <t>Central Trial Documents</t>
        </is>
      </c>
      <c r="H638" s="5" t="inlineStr">
        <is>
          <t>Subject Documents</t>
        </is>
      </c>
      <c r="I638" s="5" t="inlineStr">
        <is>
          <t>Master ICF Review and Approval Form</t>
        </is>
      </c>
      <c r="J638" s="5" t="inlineStr">
        <is>
          <t>RAF_42847922MDD3003 ICF Addendum v6 15JUL2025 part 1+2 CZ (fully signed)</t>
        </is>
      </c>
      <c r="K638" s="6" t="n">
        <v>252</v>
      </c>
      <c r="L638" s="7" t="n">
        <v>45853</v>
      </c>
      <c r="M638" s="11" t="n">
        <v>46105</v>
      </c>
      <c r="N638" s="5" t="inlineStr">
        <is>
          <t>Approved</t>
        </is>
      </c>
      <c r="O638" s="5" t="inlineStr">
        <is>
          <t>Country</t>
        </is>
      </c>
      <c r="P638" s="5" t="inlineStr">
        <is>
          <t>Czech Republic</t>
        </is>
      </c>
      <c r="Q638" s="13" t="inlineStr"/>
      <c r="R638" s="5" t="inlineStr">
        <is>
          <t>Vladimir Buzalka</t>
        </is>
      </c>
      <c r="S638" s="8" t="n">
        <v>46105.65004629629</v>
      </c>
    </row>
    <row r="639" ht="29" customHeight="1">
      <c r="A639" s="15">
        <f>HYPERLINK("https://vtmf.veevavault.com/ui/#doc_info/31263191/1/0", "VTMF-25212709")</f>
        <v/>
      </c>
      <c r="B639" s="20" t="inlineStr">
        <is>
          <t>Yes</t>
        </is>
      </c>
      <c r="C639" s="5" t="inlineStr">
        <is>
          <t>1.0</t>
        </is>
      </c>
      <c r="D639" s="5" t="inlineStr">
        <is>
          <t>GCO</t>
        </is>
      </c>
      <c r="E639" s="5" t="inlineStr">
        <is>
          <t>42847922MDD3003</t>
        </is>
      </c>
      <c r="F639" s="16">
        <f>HYPERLINK("https://vtmf.veevavault.com/ui/#doc_info/31263191/1/0", "42847922MDD3003-CZE--Master ICF Review and Approval Form-15 Jul 2025 (v1.0)")</f>
        <v/>
      </c>
      <c r="G639" s="5" t="inlineStr">
        <is>
          <t>Central Trial Documents</t>
        </is>
      </c>
      <c r="H639" s="5" t="inlineStr">
        <is>
          <t>Subject Documents</t>
        </is>
      </c>
      <c r="I639" s="5" t="inlineStr">
        <is>
          <t>Master ICF Review and Approval Form</t>
        </is>
      </c>
      <c r="J639" s="5" t="inlineStr">
        <is>
          <t>RAF_42847922MDD3003 ICF v6 15JUL2025 part 1+2 CZ (fully signed)</t>
        </is>
      </c>
      <c r="K639" s="6" t="n">
        <v>252</v>
      </c>
      <c r="L639" s="7" t="n">
        <v>45853</v>
      </c>
      <c r="M639" s="11" t="n">
        <v>46105</v>
      </c>
      <c r="N639" s="5" t="inlineStr">
        <is>
          <t>Approved</t>
        </is>
      </c>
      <c r="O639" s="5" t="inlineStr">
        <is>
          <t>Country</t>
        </is>
      </c>
      <c r="P639" s="5" t="inlineStr">
        <is>
          <t>Czech Republic</t>
        </is>
      </c>
      <c r="Q639" s="13" t="inlineStr"/>
      <c r="R639" s="5" t="inlineStr">
        <is>
          <t>Vladimir Buzalka</t>
        </is>
      </c>
      <c r="S639" s="8" t="n">
        <v>46105.65004629629</v>
      </c>
    </row>
    <row r="640" ht="29" customHeight="1">
      <c r="A640" s="15">
        <f>HYPERLINK("https://vtmf.veevavault.com/ui/#doc_info/31263192/1/0", "VTMF-25212710")</f>
        <v/>
      </c>
      <c r="B640" s="20" t="inlineStr">
        <is>
          <t>Yes</t>
        </is>
      </c>
      <c r="C640" s="5" t="inlineStr">
        <is>
          <t>1.0</t>
        </is>
      </c>
      <c r="D640" s="5" t="inlineStr">
        <is>
          <t>GCO</t>
        </is>
      </c>
      <c r="E640" s="5" t="inlineStr">
        <is>
          <t>42847922MDD3003</t>
        </is>
      </c>
      <c r="F640" s="16">
        <f>HYPERLINK("https://vtmf.veevavault.com/ui/#doc_info/31263192/1/0", "42847922MDD3003-CZE--Master ICF Review and Approval Form-15 Jul 2025 (v1.0)")</f>
        <v/>
      </c>
      <c r="G640" s="5" t="inlineStr">
        <is>
          <t>Central Trial Documents</t>
        </is>
      </c>
      <c r="H640" s="5" t="inlineStr">
        <is>
          <t>Subject Documents</t>
        </is>
      </c>
      <c r="I640" s="5" t="inlineStr">
        <is>
          <t>Master ICF Review and Approval Form</t>
        </is>
      </c>
      <c r="J640" s="5" t="inlineStr">
        <is>
          <t>RAF_42847922MDD3003 ICF v6 15JUL2025 part 2 only CZ (fully signed)</t>
        </is>
      </c>
      <c r="K640" s="6" t="n">
        <v>252</v>
      </c>
      <c r="L640" s="7" t="n">
        <v>45853</v>
      </c>
      <c r="M640" s="11" t="n">
        <v>46105</v>
      </c>
      <c r="N640" s="5" t="inlineStr">
        <is>
          <t>Approved</t>
        </is>
      </c>
      <c r="O640" s="5" t="inlineStr">
        <is>
          <t>Country</t>
        </is>
      </c>
      <c r="P640" s="5" t="inlineStr">
        <is>
          <t>Czech Republic</t>
        </is>
      </c>
      <c r="Q640" s="13" t="inlineStr"/>
      <c r="R640" s="5" t="inlineStr">
        <is>
          <t>Vladimir Buzalka</t>
        </is>
      </c>
      <c r="S640" s="8" t="n">
        <v>46105.65004629629</v>
      </c>
    </row>
    <row r="641" hidden="1" ht="29" customHeight="1">
      <c r="A641" s="15">
        <f>HYPERLINK("https://vtmf.veevavault.com/ui/#doc_info/31263267/1/0", "VTMF-25212750")</f>
        <v/>
      </c>
      <c r="B641" s="19" t="inlineStr">
        <is>
          <t>No</t>
        </is>
      </c>
      <c r="C641" s="5" t="inlineStr">
        <is>
          <t>1.0</t>
        </is>
      </c>
      <c r="D641" s="5" t="inlineStr">
        <is>
          <t>GCO</t>
        </is>
      </c>
      <c r="E641" s="5" t="inlineStr">
        <is>
          <t>42847922MDD3003, 54135419SUI3003</t>
        </is>
      </c>
      <c r="F641" s="16">
        <f>HYPERLINK("https://vtmf.veevavault.com/ui/#doc_info/31263267/1/0", "42847922MDD3003-BRA-S10-BR10007-IRB/IEC Composition-25 Aug 2025 (v1.0)")</f>
        <v/>
      </c>
      <c r="G641" s="5" t="inlineStr">
        <is>
          <t>IRB/IEC and other Approvals</t>
        </is>
      </c>
      <c r="H641" s="5" t="inlineStr">
        <is>
          <t>IRB/IEC Trial Approval</t>
        </is>
      </c>
      <c r="I641" s="5" t="inlineStr">
        <is>
          <t>IRB/IEC Composition</t>
        </is>
      </c>
      <c r="J641" s="5" t="inlineStr">
        <is>
          <t>IRB Member List_HUOL; 25Aug2025</t>
        </is>
      </c>
      <c r="K641" s="6" t="n">
        <v>211</v>
      </c>
      <c r="L641" s="7" t="n">
        <v>45894</v>
      </c>
      <c r="M641" s="11" t="n">
        <v>46105</v>
      </c>
      <c r="N641" s="5" t="inlineStr">
        <is>
          <t>Approved</t>
        </is>
      </c>
      <c r="O641" s="5" t="inlineStr">
        <is>
          <t>Site</t>
        </is>
      </c>
      <c r="P641" s="5" t="inlineStr">
        <is>
          <t>Brazil, Brazil</t>
        </is>
      </c>
      <c r="Q641" s="13" t="inlineStr">
        <is>
          <t>AJ7-BR10007, S10-BR10007</t>
        </is>
      </c>
      <c r="R641" s="5" t="inlineStr">
        <is>
          <t>GUILHERME BENEVIDES</t>
        </is>
      </c>
      <c r="S641" s="8" t="n">
        <v>46105.65428240741</v>
      </c>
    </row>
    <row r="642" hidden="1" ht="29" customHeight="1">
      <c r="A642" s="15">
        <f>HYPERLINK("https://vtmf.veevavault.com/ui/#doc_info/31263486/1/0", "VTMF-25212976")</f>
        <v/>
      </c>
      <c r="B642" s="20" t="inlineStr">
        <is>
          <t>Yes</t>
        </is>
      </c>
      <c r="C642" s="5" t="inlineStr">
        <is>
          <t>1.0</t>
        </is>
      </c>
      <c r="D642" s="5" t="inlineStr">
        <is>
          <t>GCO</t>
        </is>
      </c>
      <c r="E642" s="5" t="inlineStr">
        <is>
          <t>42847922MDD3003</t>
        </is>
      </c>
      <c r="F642" s="16">
        <f>HYPERLINK("https://vtmf.veevavault.com/ui/#doc_info/31263486/1/0", "42847922MDD3003-CZE-S10-CZ10008-IP Site Release Documentation-16 Jun 2025 (v1.0)")</f>
        <v/>
      </c>
      <c r="G642" s="5" t="inlineStr">
        <is>
          <t>Site Management</t>
        </is>
      </c>
      <c r="H642" s="5" t="inlineStr">
        <is>
          <t>Site Set-up Documentation</t>
        </is>
      </c>
      <c r="I642" s="5" t="inlineStr">
        <is>
          <t>IP Site Release Documentation</t>
        </is>
      </c>
      <c r="J642" s="5" t="inlineStr">
        <is>
          <t>2025-06-16 [4G] 42847922MDD3003 Site Activation Alert for, Site S10-CZ10008</t>
        </is>
      </c>
      <c r="K642" s="6" t="n">
        <v>281</v>
      </c>
      <c r="L642" s="7" t="n">
        <v>45824</v>
      </c>
      <c r="M642" s="11" t="n">
        <v>46105</v>
      </c>
      <c r="N642" s="5" t="inlineStr">
        <is>
          <t>Approved</t>
        </is>
      </c>
      <c r="O642" s="5" t="inlineStr">
        <is>
          <t>Site</t>
        </is>
      </c>
      <c r="P642" s="5" t="inlineStr">
        <is>
          <t>Czech Republic</t>
        </is>
      </c>
      <c r="Q642" s="13" t="inlineStr">
        <is>
          <t>S10-CZ10008</t>
        </is>
      </c>
      <c r="R642" s="5" t="inlineStr">
        <is>
          <t>Vladimir Buzalka</t>
        </is>
      </c>
      <c r="S642" s="8" t="n">
        <v>46105.67583333333</v>
      </c>
    </row>
    <row r="643" hidden="1" ht="29" customHeight="1">
      <c r="A643" s="15">
        <f>HYPERLINK("https://vtmf.veevavault.com/ui/#doc_info/31268909/1/0", "VTMF-25217637")</f>
        <v/>
      </c>
      <c r="B643" s="20" t="inlineStr">
        <is>
          <t>Yes</t>
        </is>
      </c>
      <c r="C643" s="5" t="inlineStr">
        <is>
          <t>1.0</t>
        </is>
      </c>
      <c r="D643" s="5" t="inlineStr">
        <is>
          <t>GCO</t>
        </is>
      </c>
      <c r="E643" s="5" t="inlineStr">
        <is>
          <t>42847922MDD3003</t>
        </is>
      </c>
      <c r="F643" s="16">
        <f>HYPERLINK("https://vtmf.veevavault.com/ui/#doc_info/31268909/1/0", "42847922MDD3003-ESP-S10-ES10016-Acceptance of Investigator Brochure-28 Oct 2025 (v1.0)")</f>
        <v/>
      </c>
      <c r="G643" s="5" t="inlineStr">
        <is>
          <t>Site Management</t>
        </is>
      </c>
      <c r="H643" s="5" t="inlineStr">
        <is>
          <t>Site Set-up Documentation</t>
        </is>
      </c>
      <c r="I643" s="5" t="inlineStr">
        <is>
          <t>Acceptance of Investigator Brochure</t>
        </is>
      </c>
      <c r="J643" s="5" t="inlineStr">
        <is>
          <t>Acknowledgement of Receipt for Investigator´s Brochure_Seltorexant Ed.14</t>
        </is>
      </c>
      <c r="K643" s="6" t="n">
        <v>148</v>
      </c>
      <c r="L643" s="7" t="n">
        <v>45958</v>
      </c>
      <c r="M643" s="11" t="n">
        <v>46106</v>
      </c>
      <c r="N643" s="5" t="inlineStr">
        <is>
          <t>Approved</t>
        </is>
      </c>
      <c r="O643" s="5" t="inlineStr">
        <is>
          <t>Site</t>
        </is>
      </c>
      <c r="P643" s="5" t="inlineStr">
        <is>
          <t>Spain</t>
        </is>
      </c>
      <c r="Q643" s="13" t="inlineStr">
        <is>
          <t>S10-ES10016</t>
        </is>
      </c>
      <c r="R643" s="5" t="inlineStr">
        <is>
          <t>Ruben Ayora</t>
        </is>
      </c>
      <c r="S643" s="8" t="n">
        <v>46106.47130787037</v>
      </c>
    </row>
    <row r="644" hidden="1" ht="29" customHeight="1">
      <c r="A644" s="15">
        <f>HYPERLINK("https://vtmf.veevavault.com/ui/#doc_info/31269019/1/0", "VTMF-25217690")</f>
        <v/>
      </c>
      <c r="B644" s="20" t="inlineStr">
        <is>
          <t>Yes</t>
        </is>
      </c>
      <c r="C644" s="5" t="inlineStr">
        <is>
          <t>1.0</t>
        </is>
      </c>
      <c r="D644" s="5" t="inlineStr">
        <is>
          <t>GCO</t>
        </is>
      </c>
      <c r="E644" s="5" t="inlineStr">
        <is>
          <t>42847922MDD3003</t>
        </is>
      </c>
      <c r="F644" s="16">
        <f>HYPERLINK("https://vtmf.veevavault.com/ui/#doc_info/31269019/1/0", "42847922MDD3003-ESP-S10-ES10022-Acceptance of Investigator Brochure-20 Oct 2025 (v1.0)")</f>
        <v/>
      </c>
      <c r="G644" s="5" t="inlineStr">
        <is>
          <t>Site Management</t>
        </is>
      </c>
      <c r="H644" s="5" t="inlineStr">
        <is>
          <t>Site Set-up Documentation</t>
        </is>
      </c>
      <c r="I644" s="5" t="inlineStr">
        <is>
          <t>Acceptance of Investigator Brochure</t>
        </is>
      </c>
      <c r="J644" s="5" t="inlineStr">
        <is>
          <t>Acknowledgement of Receipt for Investigator´s Brochure_Seltorexant Ed.14</t>
        </is>
      </c>
      <c r="K644" s="6" t="n">
        <v>156</v>
      </c>
      <c r="L644" s="7" t="n">
        <v>45950</v>
      </c>
      <c r="M644" s="11" t="n">
        <v>46106</v>
      </c>
      <c r="N644" s="5" t="inlineStr">
        <is>
          <t>Approved</t>
        </is>
      </c>
      <c r="O644" s="5" t="inlineStr">
        <is>
          <t>Site</t>
        </is>
      </c>
      <c r="P644" s="5" t="inlineStr">
        <is>
          <t>Spain</t>
        </is>
      </c>
      <c r="Q644" s="13" t="inlineStr">
        <is>
          <t>S10-ES10022</t>
        </is>
      </c>
      <c r="R644" s="5" t="inlineStr">
        <is>
          <t>Ruben Ayora</t>
        </is>
      </c>
      <c r="S644" s="8" t="n">
        <v>46106.47797453704</v>
      </c>
    </row>
    <row r="645" hidden="1" ht="43.5" customHeight="1">
      <c r="A645" s="15">
        <f>HYPERLINK("https://vtmf.veevavault.com/ui/#doc_info/31270592/1/0", "VTMF-25219042")</f>
        <v/>
      </c>
      <c r="B645" s="20" t="inlineStr">
        <is>
          <t>Yes</t>
        </is>
      </c>
      <c r="C645" s="5" t="inlineStr">
        <is>
          <t>1.0</t>
        </is>
      </c>
      <c r="D645" s="5" t="inlineStr">
        <is>
          <t>GCO</t>
        </is>
      </c>
      <c r="E645" s="5" t="inlineStr">
        <is>
          <t>42847922MDD3003</t>
        </is>
      </c>
      <c r="F645" s="16">
        <f>HYPERLINK("https://vtmf.veevavault.com/ui/#doc_info/31270592/1/0", "42847922MDD3003-POL-S10-PL10017-Relevant Communications-19 Jan 2026 (v1.0)")</f>
        <v/>
      </c>
      <c r="G645" s="5" t="inlineStr">
        <is>
          <t>Site Management</t>
        </is>
      </c>
      <c r="H645" s="5" t="inlineStr">
        <is>
          <t>General</t>
        </is>
      </c>
      <c r="I645" s="5" t="inlineStr">
        <is>
          <t>Relevant Communications</t>
        </is>
      </c>
      <c r="J645" s="5" t="inlineStr">
        <is>
          <t>PI: Dr.Katarzyna Lachut _Site:S10-PL10017(Poland)_Subject :PL100170006_Visit: VISIT 1 / _ Alert-LEFT ANTERIOR HEMIBLOCK</t>
        </is>
      </c>
      <c r="K645" s="6" t="n">
        <v>65</v>
      </c>
      <c r="L645" s="7" t="n">
        <v>46041</v>
      </c>
      <c r="M645" s="11" t="n">
        <v>46106</v>
      </c>
      <c r="N645" s="5" t="inlineStr">
        <is>
          <t>Approved</t>
        </is>
      </c>
      <c r="O645" s="5" t="inlineStr">
        <is>
          <t>Site</t>
        </is>
      </c>
      <c r="P645" s="5" t="inlineStr">
        <is>
          <t>Poland</t>
        </is>
      </c>
      <c r="Q645" s="13" t="inlineStr">
        <is>
          <t>S10-PL10017</t>
        </is>
      </c>
      <c r="R645" s="5" t="inlineStr">
        <is>
          <t>Gina Stefanelli</t>
        </is>
      </c>
      <c r="S645" s="8" t="n">
        <v>46106.63827546296</v>
      </c>
    </row>
    <row r="646" hidden="1" ht="29" customHeight="1">
      <c r="A646" s="15">
        <f>HYPERLINK("https://vtmf.veevavault.com/ui/#doc_info/31270711/1/0", "VTMF-25219073")</f>
        <v/>
      </c>
      <c r="B646" s="20" t="inlineStr">
        <is>
          <t>Yes</t>
        </is>
      </c>
      <c r="C646" s="5" t="inlineStr">
        <is>
          <t>1.0</t>
        </is>
      </c>
      <c r="D646" s="5" t="inlineStr">
        <is>
          <t>GCO</t>
        </is>
      </c>
      <c r="E646" s="5" t="inlineStr">
        <is>
          <t>42847922MDD3003</t>
        </is>
      </c>
      <c r="F646" s="16">
        <f>HYPERLINK("https://vtmf.veevavault.com/ui/#doc_info/31270711/1/0", "42847922MDD3003-USA-S10-US10013-Relevant Communications-06 Jan 2026 (v1.0)")</f>
        <v/>
      </c>
      <c r="G646" s="5" t="inlineStr">
        <is>
          <t>Site Management</t>
        </is>
      </c>
      <c r="H646" s="5" t="inlineStr">
        <is>
          <t>General</t>
        </is>
      </c>
      <c r="I646" s="5" t="inlineStr">
        <is>
          <t>Relevant Communications</t>
        </is>
      </c>
      <c r="J646" s="5" t="inlineStr">
        <is>
          <t>Thase Subject US100130012- SAE CLOSED FRACTURE OF NECK OF LEFT FEMUR</t>
        </is>
      </c>
      <c r="K646" s="6" t="n">
        <v>78</v>
      </c>
      <c r="L646" s="7" t="n">
        <v>46028</v>
      </c>
      <c r="M646" s="11" t="n">
        <v>46106</v>
      </c>
      <c r="N646" s="5" t="inlineStr">
        <is>
          <t>Approved</t>
        </is>
      </c>
      <c r="O646" s="5" t="inlineStr">
        <is>
          <t>Site</t>
        </is>
      </c>
      <c r="P646" s="5" t="inlineStr">
        <is>
          <t>United States</t>
        </is>
      </c>
      <c r="Q646" s="13" t="inlineStr">
        <is>
          <t>S10-US10013</t>
        </is>
      </c>
      <c r="R646" s="5" t="inlineStr">
        <is>
          <t>Gina Stefanelli</t>
        </is>
      </c>
      <c r="S646" s="8" t="n">
        <v>46106.64059027778</v>
      </c>
    </row>
    <row r="647" hidden="1" ht="29" customHeight="1">
      <c r="A647" s="15">
        <f>HYPERLINK("https://vtmf.veevavault.com/ui/#doc_info/31273523/1/0", "VTMF-25221459")</f>
        <v/>
      </c>
      <c r="B647" s="20" t="inlineStr">
        <is>
          <t>Yes</t>
        </is>
      </c>
      <c r="C647" s="5" t="inlineStr">
        <is>
          <t>1.0</t>
        </is>
      </c>
      <c r="D647" s="5" t="inlineStr">
        <is>
          <t>GCO</t>
        </is>
      </c>
      <c r="E647" s="5" t="inlineStr">
        <is>
          <t>42847922MDD3003</t>
        </is>
      </c>
      <c r="F647" s="16">
        <f>HYPERLINK("https://vtmf.veevavault.com/ui/#doc_info/31273523/1/0", "42847922MDD3003-MEX-S10-MX10011-IRT User Account Management-08 Jul 2025 (v1.0)")</f>
        <v/>
      </c>
      <c r="G647" s="5" t="inlineStr">
        <is>
          <t>IP and Trial Supplies</t>
        </is>
      </c>
      <c r="H647" s="5" t="inlineStr">
        <is>
          <t>Interactive Response Technology</t>
        </is>
      </c>
      <c r="I647" s="5" t="inlineStr">
        <is>
          <t>IRT User Account Management</t>
        </is>
      </c>
      <c r="J647" s="5" t="inlineStr">
        <is>
          <t>Confirmation Email from IWRS (4G) to initiate a site_08-Jul-2025</t>
        </is>
      </c>
      <c r="K647" s="6" t="n">
        <v>260</v>
      </c>
      <c r="L647" s="7" t="n">
        <v>45846</v>
      </c>
      <c r="M647" s="11" t="n">
        <v>46106</v>
      </c>
      <c r="N647" s="5" t="inlineStr">
        <is>
          <t>Approved</t>
        </is>
      </c>
      <c r="O647" s="5" t="inlineStr">
        <is>
          <t>Site</t>
        </is>
      </c>
      <c r="P647" s="5" t="inlineStr">
        <is>
          <t>Mexico</t>
        </is>
      </c>
      <c r="Q647" s="13" t="inlineStr">
        <is>
          <t>S10-MX10011</t>
        </is>
      </c>
      <c r="R647" s="5" t="inlineStr">
        <is>
          <t>Arturo Munguia</t>
        </is>
      </c>
      <c r="S647" s="8" t="n">
        <v>46106.98297453704</v>
      </c>
    </row>
    <row r="648" hidden="1" ht="29" customHeight="1">
      <c r="A648" s="15">
        <f>HYPERLINK("https://vtmf.veevavault.com/ui/#doc_info/31273524/1/0", "VTMF-25221460")</f>
        <v/>
      </c>
      <c r="B648" s="20" t="inlineStr">
        <is>
          <t>Yes</t>
        </is>
      </c>
      <c r="C648" s="5" t="inlineStr">
        <is>
          <t>1.0</t>
        </is>
      </c>
      <c r="D648" s="5" t="inlineStr">
        <is>
          <t>GCO</t>
        </is>
      </c>
      <c r="E648" s="5" t="inlineStr">
        <is>
          <t>42847922MDD3003</t>
        </is>
      </c>
      <c r="F648" s="16">
        <f>HYPERLINK("https://vtmf.veevavault.com/ui/#doc_info/31273524/1/0", "42847922MDD3003-MEX-S10-MX10008-IRT User Account Management-07 Mar 2025 (v1.0)")</f>
        <v/>
      </c>
      <c r="G648" s="5" t="inlineStr">
        <is>
          <t>IP and Trial Supplies</t>
        </is>
      </c>
      <c r="H648" s="5" t="inlineStr">
        <is>
          <t>Interactive Response Technology</t>
        </is>
      </c>
      <c r="I648" s="5" t="inlineStr">
        <is>
          <t>IRT User Account Management</t>
        </is>
      </c>
      <c r="J648" s="5" t="inlineStr">
        <is>
          <t>Confirmation Email from IWRS (4G) to initiate a site_07-Mar-2025</t>
        </is>
      </c>
      <c r="K648" s="6" t="n">
        <v>383</v>
      </c>
      <c r="L648" s="7" t="n">
        <v>45723</v>
      </c>
      <c r="M648" s="11" t="n">
        <v>46106</v>
      </c>
      <c r="N648" s="5" t="inlineStr">
        <is>
          <t>Approved</t>
        </is>
      </c>
      <c r="O648" s="5" t="inlineStr">
        <is>
          <t>Site</t>
        </is>
      </c>
      <c r="P648" s="5" t="inlineStr">
        <is>
          <t>Mexico</t>
        </is>
      </c>
      <c r="Q648" s="13" t="inlineStr">
        <is>
          <t>S10-MX10008</t>
        </is>
      </c>
      <c r="R648" s="5" t="inlineStr">
        <is>
          <t>Arturo Munguia</t>
        </is>
      </c>
      <c r="S648" s="8" t="n">
        <v>46106.98297453704</v>
      </c>
    </row>
    <row r="649" hidden="1" ht="29" customHeight="1">
      <c r="A649" s="15">
        <f>HYPERLINK("https://vtmf.veevavault.com/ui/#doc_info/31280063/1/0", "VTMF-25227089")</f>
        <v/>
      </c>
      <c r="B649" s="19" t="inlineStr">
        <is>
          <t>No</t>
        </is>
      </c>
      <c r="C649" s="5" t="inlineStr">
        <is>
          <t>1.0</t>
        </is>
      </c>
      <c r="D649" s="5" t="inlineStr">
        <is>
          <t>GCO</t>
        </is>
      </c>
      <c r="E649" s="5" t="inlineStr">
        <is>
          <t>42847922MDD3003</t>
        </is>
      </c>
      <c r="F649" s="16">
        <f>HYPERLINK("https://vtmf.veevavault.com/ui/#doc_info/31280063/1/0", "42847922MDD3003-CZE-S10-CZ10005-Other Curriculum Vitae-18 Jun 2025 (v1.0)")</f>
        <v/>
      </c>
      <c r="G649" s="5" t="inlineStr">
        <is>
          <t>Site Management</t>
        </is>
      </c>
      <c r="H649" s="5" t="inlineStr">
        <is>
          <t>Site Set-up Documentation</t>
        </is>
      </c>
      <c r="I649" s="5" t="inlineStr">
        <is>
          <t>Other Curriculum Vitae</t>
        </is>
      </c>
      <c r="J649" s="5" t="inlineStr">
        <is>
          <t>CV_English_Bilkova, Zuzana_Pharmacist_initial  ; 18Jun2025</t>
        </is>
      </c>
      <c r="K649" s="6" t="n">
        <v>281</v>
      </c>
      <c r="L649" s="7" t="n">
        <v>45826</v>
      </c>
      <c r="M649" s="11" t="n">
        <v>46107</v>
      </c>
      <c r="N649" s="5" t="inlineStr">
        <is>
          <t>Approved</t>
        </is>
      </c>
      <c r="O649" s="5" t="inlineStr">
        <is>
          <t>Site</t>
        </is>
      </c>
      <c r="P649" s="5" t="inlineStr">
        <is>
          <t>Czech Republic</t>
        </is>
      </c>
      <c r="Q649" s="13" t="inlineStr">
        <is>
          <t>S10-CZ10005</t>
        </is>
      </c>
      <c r="R649" s="5" t="inlineStr">
        <is>
          <t>Katarina Minarovicova</t>
        </is>
      </c>
      <c r="S649" s="8" t="n">
        <v>46107.68277777778</v>
      </c>
    </row>
    <row r="650" hidden="1" ht="29" customHeight="1">
      <c r="A650" s="15">
        <f>HYPERLINK("https://vtmf.veevavault.com/ui/#doc_info/31280482/1/0", "VTMF-25227526")</f>
        <v/>
      </c>
      <c r="B650" s="19" t="inlineStr">
        <is>
          <t>No</t>
        </is>
      </c>
      <c r="C650" s="5" t="inlineStr">
        <is>
          <t>1.0</t>
        </is>
      </c>
      <c r="D650" s="5" t="inlineStr">
        <is>
          <t>GCO</t>
        </is>
      </c>
      <c r="E650" s="5" t="inlineStr">
        <is>
          <t>42847922MDD3003</t>
        </is>
      </c>
      <c r="F650" s="16">
        <f>HYPERLINK("https://vtmf.veevavault.com/ui/#doc_info/31280482/1/0", "42847922MDD3003-COL-S10-CO10003-Non-IP Shipment Documentation-16 Feb 2026 (v1.0)")</f>
        <v/>
      </c>
      <c r="G650" s="5" t="inlineStr">
        <is>
          <t>IP and Trial Supplies</t>
        </is>
      </c>
      <c r="H650" s="5" t="inlineStr">
        <is>
          <t>Non-IP Documentation</t>
        </is>
      </c>
      <c r="I650" s="5" t="inlineStr">
        <is>
          <t>Non-IP Shipment Documentation</t>
        </is>
      </c>
      <c r="J650" s="5" t="inlineStr">
        <is>
          <t>Site receipt_Insurance 2026-2027_16 Feb 2026</t>
        </is>
      </c>
      <c r="K650" s="6" t="n">
        <v>38</v>
      </c>
      <c r="L650" s="7" t="n">
        <v>46069</v>
      </c>
      <c r="M650" s="11" t="n">
        <v>46107</v>
      </c>
      <c r="N650" s="5" t="inlineStr">
        <is>
          <t>Approved</t>
        </is>
      </c>
      <c r="O650" s="5" t="inlineStr">
        <is>
          <t>Site</t>
        </is>
      </c>
      <c r="P650" s="5" t="inlineStr">
        <is>
          <t>Colombia</t>
        </is>
      </c>
      <c r="Q650" s="13" t="inlineStr">
        <is>
          <t>S10-CO10003</t>
        </is>
      </c>
      <c r="R650" s="5" t="inlineStr">
        <is>
          <t>Monica Romero</t>
        </is>
      </c>
      <c r="S650" s="8" t="n">
        <v>46107.71413194444</v>
      </c>
    </row>
    <row r="651" hidden="1" ht="43.5" customHeight="1">
      <c r="A651" s="15">
        <f>HYPERLINK("https://vtmf.veevavault.com/ui/#doc_info/31280845/1/0", "VTMF-25227620")</f>
        <v/>
      </c>
      <c r="B651" s="20" t="inlineStr">
        <is>
          <t>Yes</t>
        </is>
      </c>
      <c r="C651" s="5" t="inlineStr">
        <is>
          <t>1.0</t>
        </is>
      </c>
      <c r="D651" s="5" t="inlineStr">
        <is>
          <t>GCO</t>
        </is>
      </c>
      <c r="E651" s="5" t="inlineStr">
        <is>
          <t>42847922MDD3003</t>
        </is>
      </c>
      <c r="F651" s="16">
        <f>HYPERLINK("https://vtmf.veevavault.com/ui/#doc_info/31280845/1/0", "42847922MDD3003-BRA-S10-BR10007-Relevant Communications-25 Jul 2025 (v1.0)")</f>
        <v/>
      </c>
      <c r="G651" s="5" t="inlineStr">
        <is>
          <t>Site Management</t>
        </is>
      </c>
      <c r="H651" s="5" t="inlineStr">
        <is>
          <t>General</t>
        </is>
      </c>
      <c r="I651" s="5" t="inlineStr">
        <is>
          <t>Relevant Communications</t>
        </is>
      </c>
      <c r="J651" s="5" t="inlineStr">
        <is>
          <t>42847922MDD3003_Letter_Notification about screening on hold and Site Closure _S10 BR10007_Dr. Nunes - signed_25Jul2025</t>
        </is>
      </c>
      <c r="K651" s="6" t="n">
        <v>244</v>
      </c>
      <c r="L651" s="7" t="n">
        <v>45863</v>
      </c>
      <c r="M651" s="11" t="n">
        <v>46107</v>
      </c>
      <c r="N651" s="5" t="inlineStr">
        <is>
          <t>Approved</t>
        </is>
      </c>
      <c r="O651" s="5" t="inlineStr">
        <is>
          <t>Site</t>
        </is>
      </c>
      <c r="P651" s="5" t="inlineStr">
        <is>
          <t>Brazil</t>
        </is>
      </c>
      <c r="Q651" s="13" t="inlineStr">
        <is>
          <t>S10-BR10007</t>
        </is>
      </c>
      <c r="R651" s="5" t="inlineStr">
        <is>
          <t>Vanessa Ferezini Miorando</t>
        </is>
      </c>
      <c r="S651" s="8" t="n">
        <v>46107.72398148148</v>
      </c>
    </row>
    <row r="652" hidden="1" ht="29" customHeight="1">
      <c r="A652" s="15">
        <f>HYPERLINK("https://vtmf.veevavault.com/ui/#doc_info/31280947/1/0", "VTMF-25227802")</f>
        <v/>
      </c>
      <c r="B652" s="19" t="inlineStr">
        <is>
          <t>No</t>
        </is>
      </c>
      <c r="C652" s="5" t="inlineStr">
        <is>
          <t>1.0</t>
        </is>
      </c>
      <c r="D652" s="5" t="inlineStr">
        <is>
          <t>GCO</t>
        </is>
      </c>
      <c r="E652" s="5" t="inlineStr">
        <is>
          <t>42847922MDD3003</t>
        </is>
      </c>
      <c r="F652" s="16">
        <f>HYPERLINK("https://vtmf.veevavault.com/ui/#doc_info/31280947/1/0", "42847922MDD3003-COL-S10-CO10001-Non-IP Shipment Documentation-13 Jan 2026 (v1.0)")</f>
        <v/>
      </c>
      <c r="G652" s="5" t="inlineStr">
        <is>
          <t>IP and Trial Supplies</t>
        </is>
      </c>
      <c r="H652" s="5" t="inlineStr">
        <is>
          <t>Non-IP Documentation</t>
        </is>
      </c>
      <c r="I652" s="5" t="inlineStr">
        <is>
          <t>Non-IP Shipment Documentation</t>
        </is>
      </c>
      <c r="J652" s="5" t="inlineStr">
        <is>
          <t>Site receipt_Insurance 2026-2027_13 Jan 2026</t>
        </is>
      </c>
      <c r="K652" s="6" t="n">
        <v>72</v>
      </c>
      <c r="L652" s="7" t="n">
        <v>46035</v>
      </c>
      <c r="M652" s="11" t="n">
        <v>46107</v>
      </c>
      <c r="N652" s="5" t="inlineStr">
        <is>
          <t>Approved</t>
        </is>
      </c>
      <c r="O652" s="5" t="inlineStr">
        <is>
          <t>Site</t>
        </is>
      </c>
      <c r="P652" s="5" t="inlineStr">
        <is>
          <t>Colombia</t>
        </is>
      </c>
      <c r="Q652" s="13" t="inlineStr">
        <is>
          <t>S10-CO10001</t>
        </is>
      </c>
      <c r="R652" s="5" t="inlineStr">
        <is>
          <t>Monica Romero</t>
        </is>
      </c>
      <c r="S652" s="8" t="n">
        <v>46107.74802083334</v>
      </c>
    </row>
    <row r="653" hidden="1" ht="29" customHeight="1">
      <c r="A653" s="15">
        <f>HYPERLINK("https://vtmf.veevavault.com/ui/#doc_info/31282107/1/0", "VTMF-25228741")</f>
        <v/>
      </c>
      <c r="B653" s="19" t="inlineStr">
        <is>
          <t>No</t>
        </is>
      </c>
      <c r="C653" s="5" t="inlineStr">
        <is>
          <t>1.0</t>
        </is>
      </c>
      <c r="D653" s="5" t="inlineStr">
        <is>
          <t>GCO</t>
        </is>
      </c>
      <c r="E653" s="5" t="inlineStr">
        <is>
          <t>42847922MDD3003</t>
        </is>
      </c>
      <c r="F653" s="16">
        <f>HYPERLINK("https://vtmf.veevavault.com/ui/#doc_info/31282107/1/0", "42847922MDD3003-COL-S10-CO10002-Non-IP Shipment Documentation-23 Feb 2026 (v1.0)")</f>
        <v/>
      </c>
      <c r="G653" s="5" t="inlineStr">
        <is>
          <t>IP and Trial Supplies</t>
        </is>
      </c>
      <c r="H653" s="5" t="inlineStr">
        <is>
          <t>Non-IP Documentation</t>
        </is>
      </c>
      <c r="I653" s="5" t="inlineStr">
        <is>
          <t>Non-IP Shipment Documentation</t>
        </is>
      </c>
      <c r="J653" s="5" t="inlineStr">
        <is>
          <t>Site receipt_Insurance 2026-2027_23 Feb 2026</t>
        </is>
      </c>
      <c r="K653" s="6" t="n">
        <v>31</v>
      </c>
      <c r="L653" s="7" t="n">
        <v>46076</v>
      </c>
      <c r="M653" s="11" t="n">
        <v>46107</v>
      </c>
      <c r="N653" s="5" t="inlineStr">
        <is>
          <t>Approved</t>
        </is>
      </c>
      <c r="O653" s="5" t="inlineStr">
        <is>
          <t>Site</t>
        </is>
      </c>
      <c r="P653" s="5" t="inlineStr">
        <is>
          <t>Colombia</t>
        </is>
      </c>
      <c r="Q653" s="13" t="inlineStr">
        <is>
          <t>S10-CO10002</t>
        </is>
      </c>
      <c r="R653" s="5" t="inlineStr">
        <is>
          <t>Monica Romero</t>
        </is>
      </c>
      <c r="S653" s="8" t="n">
        <v>46107.88736111111</v>
      </c>
    </row>
    <row r="654" hidden="1" ht="29" customHeight="1">
      <c r="A654" s="15">
        <f>HYPERLINK("https://vtmf.veevavault.com/ui/#doc_info/31294828/1/0", "VTMF-25239716")</f>
        <v/>
      </c>
      <c r="B654" s="19" t="inlineStr">
        <is>
          <t>No</t>
        </is>
      </c>
      <c r="C654" s="5" t="inlineStr">
        <is>
          <t>1.0</t>
        </is>
      </c>
      <c r="D654" s="5" t="inlineStr">
        <is>
          <t>GCO</t>
        </is>
      </c>
      <c r="E654" s="5" t="inlineStr">
        <is>
          <t>42847922MDD3003</t>
        </is>
      </c>
      <c r="F654" s="16">
        <f>HYPERLINK("https://vtmf.veevavault.com/ui/#doc_info/31294828/1/0", "42847922MDD3003-CZE-S10-CZ10008-Site Signature Sheet-12 Feb 2026 (v1.0)")</f>
        <v/>
      </c>
      <c r="G654" s="5" t="inlineStr">
        <is>
          <t>Site Management</t>
        </is>
      </c>
      <c r="H654" s="5" t="inlineStr">
        <is>
          <t>Site Set-up Documentation</t>
        </is>
      </c>
      <c r="I654" s="5" t="inlineStr">
        <is>
          <t>Site Signature Sheet</t>
        </is>
      </c>
      <c r="J654" s="5" t="inlineStr">
        <is>
          <t>Delegation log_Solle, Z._update_12Feb2026</t>
        </is>
      </c>
      <c r="K654" s="6" t="n">
        <v>45</v>
      </c>
      <c r="L654" s="7" t="n">
        <v>46065</v>
      </c>
      <c r="M654" s="11" t="n">
        <v>46110</v>
      </c>
      <c r="N654" s="5" t="inlineStr">
        <is>
          <t>Approved</t>
        </is>
      </c>
      <c r="O654" s="5" t="inlineStr">
        <is>
          <t>Site</t>
        </is>
      </c>
      <c r="P654" s="5" t="inlineStr">
        <is>
          <t>Czech Republic</t>
        </is>
      </c>
      <c r="Q654" s="13" t="inlineStr">
        <is>
          <t>S10-CZ10008</t>
        </is>
      </c>
      <c r="R654" s="5" t="inlineStr">
        <is>
          <t>Vera Matousková</t>
        </is>
      </c>
      <c r="S654" s="8" t="n">
        <v>46110.68668981481</v>
      </c>
    </row>
    <row r="655" hidden="1" ht="29" customHeight="1">
      <c r="A655" s="15">
        <f>HYPERLINK("https://vtmf.veevavault.com/ui/#doc_info/31294829/1/0", "VTMF-25239729")</f>
        <v/>
      </c>
      <c r="B655" s="19" t="inlineStr">
        <is>
          <t>No</t>
        </is>
      </c>
      <c r="C655" s="5" t="inlineStr">
        <is>
          <t>1.0</t>
        </is>
      </c>
      <c r="D655" s="5" t="inlineStr">
        <is>
          <t>GCO</t>
        </is>
      </c>
      <c r="E655" s="5" t="inlineStr">
        <is>
          <t>42847922MDD3003</t>
        </is>
      </c>
      <c r="F655" s="16">
        <f>HYPERLINK("https://vtmf.veevavault.com/ui/#doc_info/31294829/1/0", "42847922MDD3003-CZE-S10-CZ10008-Maintenance Logs (Device)-09 Oct 2025 (v1.0)")</f>
        <v/>
      </c>
      <c r="G655" s="5" t="inlineStr">
        <is>
          <t>IP and Trial Supplies</t>
        </is>
      </c>
      <c r="H655" s="5" t="inlineStr">
        <is>
          <t>Storage</t>
        </is>
      </c>
      <c r="I655" s="5" t="inlineStr">
        <is>
          <t>Maintenance Logs (Device)</t>
        </is>
      </c>
      <c r="J655" s="5" t="inlineStr">
        <is>
          <t>Calibration Certificate_Centrifuge_09Oct2025</t>
        </is>
      </c>
      <c r="K655" s="6" t="n">
        <v>171</v>
      </c>
      <c r="L655" s="7" t="n">
        <v>45939</v>
      </c>
      <c r="M655" s="11" t="n">
        <v>46110</v>
      </c>
      <c r="N655" s="5" t="inlineStr">
        <is>
          <t>Approved</t>
        </is>
      </c>
      <c r="O655" s="5" t="inlineStr">
        <is>
          <t>Site</t>
        </is>
      </c>
      <c r="P655" s="5" t="inlineStr">
        <is>
          <t>Czech Republic</t>
        </is>
      </c>
      <c r="Q655" s="13" t="inlineStr">
        <is>
          <t>S10-CZ10008</t>
        </is>
      </c>
      <c r="R655" s="5" t="inlineStr">
        <is>
          <t>Vera Matousková</t>
        </is>
      </c>
      <c r="S655" s="8" t="n">
        <v>46110.69069444444</v>
      </c>
    </row>
    <row r="656" hidden="1" ht="29" customHeight="1">
      <c r="A656" s="15">
        <f>HYPERLINK("https://vtmf.veevavault.com/ui/#doc_info/31302506/1/0", "VTMF-25243152")</f>
        <v/>
      </c>
      <c r="B656" s="20" t="inlineStr">
        <is>
          <t>Yes</t>
        </is>
      </c>
      <c r="C656" s="5" t="inlineStr">
        <is>
          <t>1.0</t>
        </is>
      </c>
      <c r="D656" s="5" t="inlineStr">
        <is>
          <t>GCO</t>
        </is>
      </c>
      <c r="E656" s="5" t="inlineStr">
        <is>
          <t>42847922MDD3003</t>
        </is>
      </c>
      <c r="F656" s="16">
        <f>HYPERLINK("https://vtmf.veevavault.com/ui/#doc_info/31302506/1/0", "42847922MDD3003-USA-S10-US10071-Financial Disclosure Form-25 Nov 2025 (v1.0)")</f>
        <v/>
      </c>
      <c r="G656" s="5" t="inlineStr">
        <is>
          <t>Site Management</t>
        </is>
      </c>
      <c r="H656" s="5" t="inlineStr">
        <is>
          <t>Site Set-up Documentation</t>
        </is>
      </c>
      <c r="I656" s="5" t="inlineStr">
        <is>
          <t>Financial Disclosure Form</t>
        </is>
      </c>
      <c r="J656" s="5" t="inlineStr">
        <is>
          <t>SI FDF_Whipple, M_Initial</t>
        </is>
      </c>
      <c r="K656" s="6" t="n">
        <v>125</v>
      </c>
      <c r="L656" s="7" t="n">
        <v>45986</v>
      </c>
      <c r="M656" s="11" t="n">
        <v>46111</v>
      </c>
      <c r="N656" s="5" t="inlineStr">
        <is>
          <t>Approved</t>
        </is>
      </c>
      <c r="O656" s="5" t="inlineStr">
        <is>
          <t>Site</t>
        </is>
      </c>
      <c r="P656" s="5" t="inlineStr">
        <is>
          <t>United States</t>
        </is>
      </c>
      <c r="Q656" s="13" t="inlineStr">
        <is>
          <t>S10-US10071</t>
        </is>
      </c>
      <c r="R656" s="5" t="inlineStr">
        <is>
          <t>Daniel Woodland</t>
        </is>
      </c>
      <c r="S656" s="8" t="n">
        <v>46111.64700231481</v>
      </c>
    </row>
    <row r="657" hidden="1" ht="29" customHeight="1">
      <c r="A657" s="15">
        <f>HYPERLINK("https://vtmf.veevavault.com/ui/#doc_info/31302798/1/0", "VTMF-25243530")</f>
        <v/>
      </c>
      <c r="B657" s="19" t="inlineStr">
        <is>
          <t>No</t>
        </is>
      </c>
      <c r="C657" s="5" t="inlineStr">
        <is>
          <t>1.0</t>
        </is>
      </c>
      <c r="D657" s="5" t="inlineStr">
        <is>
          <t>GCO</t>
        </is>
      </c>
      <c r="E657" s="5" t="inlineStr">
        <is>
          <t>42847922MDD3003</t>
        </is>
      </c>
      <c r="F657" s="16">
        <f>HYPERLINK("https://vtmf.veevavault.com/ui/#doc_info/31302798/1/0", "42847922MDD3003-USA-S10-US10071-Sub-Investigator Curriculum Vitae-18 Nov 2025 (v1.0)")</f>
        <v/>
      </c>
      <c r="G657" s="5" t="inlineStr">
        <is>
          <t>Site Management</t>
        </is>
      </c>
      <c r="H657" s="5" t="inlineStr">
        <is>
          <t>Site Set-up Documentation</t>
        </is>
      </c>
      <c r="I657" s="5" t="inlineStr">
        <is>
          <t>Sub-Investigator Curriculum Vitae</t>
        </is>
      </c>
      <c r="J657" s="5" t="inlineStr">
        <is>
          <t>SI CV_English_Whipple, M_Initial</t>
        </is>
      </c>
      <c r="K657" s="6" t="n">
        <v>132</v>
      </c>
      <c r="L657" s="7" t="n">
        <v>45979</v>
      </c>
      <c r="M657" s="11" t="n">
        <v>46111</v>
      </c>
      <c r="N657" s="5" t="inlineStr">
        <is>
          <t>Approved</t>
        </is>
      </c>
      <c r="O657" s="5" t="inlineStr">
        <is>
          <t>Site</t>
        </is>
      </c>
      <c r="P657" s="5" t="inlineStr">
        <is>
          <t>United States</t>
        </is>
      </c>
      <c r="Q657" s="13" t="inlineStr">
        <is>
          <t>S10-US10071</t>
        </is>
      </c>
      <c r="R657" s="5" t="inlineStr">
        <is>
          <t>Daniel Woodland</t>
        </is>
      </c>
      <c r="S657" s="8" t="n">
        <v>46111.6846875</v>
      </c>
    </row>
    <row r="658" hidden="1">
      <c r="A658" s="15">
        <f>HYPERLINK("https://vtmf.veevavault.com/ui/#doc_info/31305367/1/0", "VTMF-25245668")</f>
        <v/>
      </c>
      <c r="B658" s="20" t="inlineStr">
        <is>
          <t>Yes</t>
        </is>
      </c>
      <c r="C658" s="5" t="inlineStr">
        <is>
          <t>1.0</t>
        </is>
      </c>
      <c r="D658" s="5" t="inlineStr">
        <is>
          <t>GCO</t>
        </is>
      </c>
      <c r="E658" s="5" t="inlineStr">
        <is>
          <t>42847922MDD3003</t>
        </is>
      </c>
      <c r="F658" s="16">
        <f>HYPERLINK("https://vtmf.veevavault.com/ui/#doc_info/31305367/1/0", "42847922MDD3003-POL-S10-PL10017-File Note-03 Feb 2026 (v1.0)")</f>
        <v/>
      </c>
      <c r="G658" s="5" t="inlineStr">
        <is>
          <t>Third Parties</t>
        </is>
      </c>
      <c r="H658" s="5" t="inlineStr">
        <is>
          <t>General</t>
        </is>
      </c>
      <c r="I658" s="5" t="inlineStr">
        <is>
          <t>File Note</t>
        </is>
      </c>
      <c r="J658" s="5" t="inlineStr">
        <is>
          <t>Discrepancy in rating results_PL100170007</t>
        </is>
      </c>
      <c r="K658" s="6" t="n">
        <v>55</v>
      </c>
      <c r="L658" s="7" t="n">
        <v>46056</v>
      </c>
      <c r="M658" s="11" t="n">
        <v>46111</v>
      </c>
      <c r="N658" s="5" t="inlineStr">
        <is>
          <t>Approved</t>
        </is>
      </c>
      <c r="O658" s="5" t="inlineStr">
        <is>
          <t>Site</t>
        </is>
      </c>
      <c r="P658" s="5" t="inlineStr">
        <is>
          <t>Poland</t>
        </is>
      </c>
      <c r="Q658" s="13" t="inlineStr">
        <is>
          <t>S10-PL10017</t>
        </is>
      </c>
      <c r="R658" s="5" t="inlineStr">
        <is>
          <t>Gina Stefanelli</t>
        </is>
      </c>
      <c r="S658" s="8" t="n">
        <v>46111.94109953703</v>
      </c>
    </row>
    <row r="659" hidden="1" ht="29" customHeight="1">
      <c r="A659" s="15">
        <f>HYPERLINK("https://vtmf.veevavault.com/ui/#doc_info/31310732/1/0", "VTMF-25250517")</f>
        <v/>
      </c>
      <c r="B659" s="19" t="inlineStr">
        <is>
          <t>No</t>
        </is>
      </c>
      <c r="C659" s="5" t="inlineStr">
        <is>
          <t>1.0</t>
        </is>
      </c>
      <c r="D659" s="5" t="inlineStr">
        <is>
          <t>GCO</t>
        </is>
      </c>
      <c r="E659" s="5" t="inlineStr">
        <is>
          <t>42847922MDD3003</t>
        </is>
      </c>
      <c r="F659" s="16">
        <f>HYPERLINK("https://vtmf.veevavault.com/ui/#doc_info/31310732/1/0", "42847922MDD3003-ITA-S10-IT10010-Other Curriculum Vitae-05 Jun 2025 (v1.0)")</f>
        <v/>
      </c>
      <c r="G659" s="5" t="inlineStr">
        <is>
          <t>Site Management</t>
        </is>
      </c>
      <c r="H659" s="5" t="inlineStr">
        <is>
          <t>Site Set-up Documentation</t>
        </is>
      </c>
      <c r="I659" s="5" t="inlineStr">
        <is>
          <t>Other Curriculum Vitae</t>
        </is>
      </c>
      <c r="J659" s="5" t="inlineStr">
        <is>
          <t>CV Laudati_05Jun2025</t>
        </is>
      </c>
      <c r="K659" s="6" t="n">
        <v>299</v>
      </c>
      <c r="L659" s="7" t="n">
        <v>45813</v>
      </c>
      <c r="M659" s="11" t="n">
        <v>46112</v>
      </c>
      <c r="N659" s="5" t="inlineStr">
        <is>
          <t>Approved</t>
        </is>
      </c>
      <c r="O659" s="5" t="inlineStr">
        <is>
          <t>Site</t>
        </is>
      </c>
      <c r="P659" s="5" t="inlineStr">
        <is>
          <t>Italy</t>
        </is>
      </c>
      <c r="Q659" s="13" t="inlineStr">
        <is>
          <t>S10-IT10010</t>
        </is>
      </c>
      <c r="R659" s="5" t="inlineStr">
        <is>
          <t>Alessia Campagnano</t>
        </is>
      </c>
      <c r="S659" s="8" t="n">
        <v>46112.52265046296</v>
      </c>
    </row>
    <row r="660" hidden="1" ht="29" customHeight="1">
      <c r="A660" s="15">
        <f>HYPERLINK("https://vtmf.veevavault.com/ui/#doc_info/31310733/1/0", "VTMF-25250518")</f>
        <v/>
      </c>
      <c r="B660" s="19" t="inlineStr">
        <is>
          <t>No</t>
        </is>
      </c>
      <c r="C660" s="5" t="inlineStr">
        <is>
          <t>1.0</t>
        </is>
      </c>
      <c r="D660" s="5" t="inlineStr">
        <is>
          <t>GCO</t>
        </is>
      </c>
      <c r="E660" s="5" t="inlineStr">
        <is>
          <t>42847922MDD3003</t>
        </is>
      </c>
      <c r="F660" s="16">
        <f>HYPERLINK("https://vtmf.veevavault.com/ui/#doc_info/31310733/1/0", "42847922MDD3003-ITA-S10-IT10010-Other Curriculum Vitae-05 Jun 2025 (v1.0)")</f>
        <v/>
      </c>
      <c r="G660" s="5" t="inlineStr">
        <is>
          <t>Site Management</t>
        </is>
      </c>
      <c r="H660" s="5" t="inlineStr">
        <is>
          <t>Site Set-up Documentation</t>
        </is>
      </c>
      <c r="I660" s="5" t="inlineStr">
        <is>
          <t>Other Curriculum Vitae</t>
        </is>
      </c>
      <c r="J660" s="5" t="inlineStr">
        <is>
          <t>CV Pilunni_05Jun2025</t>
        </is>
      </c>
      <c r="K660" s="6" t="n">
        <v>299</v>
      </c>
      <c r="L660" s="7" t="n">
        <v>45813</v>
      </c>
      <c r="M660" s="11" t="n">
        <v>46112</v>
      </c>
      <c r="N660" s="5" t="inlineStr">
        <is>
          <t>Approved</t>
        </is>
      </c>
      <c r="O660" s="5" t="inlineStr">
        <is>
          <t>Site</t>
        </is>
      </c>
      <c r="P660" s="5" t="inlineStr">
        <is>
          <t>Italy</t>
        </is>
      </c>
      <c r="Q660" s="13" t="inlineStr">
        <is>
          <t>S10-IT10010</t>
        </is>
      </c>
      <c r="R660" s="5" t="inlineStr">
        <is>
          <t>Alessia Campagnano</t>
        </is>
      </c>
      <c r="S660" s="8" t="n">
        <v>46112.52265046296</v>
      </c>
    </row>
    <row r="661" hidden="1" ht="29" customHeight="1">
      <c r="A661" s="15">
        <f>HYPERLINK("https://vtmf.veevavault.com/ui/#doc_info/31310734/1/0", "VTMF-25250519")</f>
        <v/>
      </c>
      <c r="B661" s="19" t="inlineStr">
        <is>
          <t>No</t>
        </is>
      </c>
      <c r="C661" s="5" t="inlineStr">
        <is>
          <t>1.0</t>
        </is>
      </c>
      <c r="D661" s="5" t="inlineStr">
        <is>
          <t>GCO</t>
        </is>
      </c>
      <c r="E661" s="5" t="inlineStr">
        <is>
          <t>42847922MDD3003</t>
        </is>
      </c>
      <c r="F661" s="16">
        <f>HYPERLINK("https://vtmf.veevavault.com/ui/#doc_info/31310734/1/0", "42847922MDD3003-ITA-S10-IT10010-Other Curriculum Vitae-05 Jun 2025 (v1.0)")</f>
        <v/>
      </c>
      <c r="G661" s="5" t="inlineStr">
        <is>
          <t>Site Management</t>
        </is>
      </c>
      <c r="H661" s="5" t="inlineStr">
        <is>
          <t>Site Set-up Documentation</t>
        </is>
      </c>
      <c r="I661" s="5" t="inlineStr">
        <is>
          <t>Other Curriculum Vitae</t>
        </is>
      </c>
      <c r="J661" s="5" t="inlineStr">
        <is>
          <t>CV Pavan_05Jun2025</t>
        </is>
      </c>
      <c r="K661" s="6" t="n">
        <v>299</v>
      </c>
      <c r="L661" s="7" t="n">
        <v>45813</v>
      </c>
      <c r="M661" s="11" t="n">
        <v>46112</v>
      </c>
      <c r="N661" s="5" t="inlineStr">
        <is>
          <t>Approved</t>
        </is>
      </c>
      <c r="O661" s="5" t="inlineStr">
        <is>
          <t>Site</t>
        </is>
      </c>
      <c r="P661" s="5" t="inlineStr">
        <is>
          <t>Italy</t>
        </is>
      </c>
      <c r="Q661" s="13" t="inlineStr">
        <is>
          <t>S10-IT10010</t>
        </is>
      </c>
      <c r="R661" s="5" t="inlineStr">
        <is>
          <t>Alessia Campagnano</t>
        </is>
      </c>
      <c r="S661" s="8" t="n">
        <v>46112.52265046296</v>
      </c>
    </row>
    <row r="662" hidden="1" ht="29" customHeight="1">
      <c r="A662" s="15">
        <f>HYPERLINK("https://vtmf.veevavault.com/ui/#doc_info/31310690/1/0", "VTMF-25250550")</f>
        <v/>
      </c>
      <c r="B662" s="20" t="inlineStr">
        <is>
          <t>Yes</t>
        </is>
      </c>
      <c r="C662" s="5" t="inlineStr">
        <is>
          <t>1.0</t>
        </is>
      </c>
      <c r="D662" s="5" t="inlineStr">
        <is>
          <t>GCO</t>
        </is>
      </c>
      <c r="E662" s="5" t="inlineStr">
        <is>
          <t>42847922MDD3003</t>
        </is>
      </c>
      <c r="F662" s="16">
        <f>HYPERLINK("https://vtmf.veevavault.com/ui/#doc_info/31310690/1/0", "42847922MDD3003-ITA-S10-IT10010-Protocol Signature Page-05 Jun 2025 (v1.0)")</f>
        <v/>
      </c>
      <c r="G662" s="5" t="inlineStr">
        <is>
          <t>Site Management</t>
        </is>
      </c>
      <c r="H662" s="5" t="inlineStr">
        <is>
          <t>Site Set-up Documentation</t>
        </is>
      </c>
      <c r="I662" s="5" t="inlineStr">
        <is>
          <t>Protocol Signature Page</t>
        </is>
      </c>
      <c r="J662" s="5" t="inlineStr">
        <is>
          <t>Protocol signature Page_Di Nicola_05Jun2025</t>
        </is>
      </c>
      <c r="K662" s="6" t="n">
        <v>299</v>
      </c>
      <c r="L662" s="7" t="n">
        <v>45813</v>
      </c>
      <c r="M662" s="11" t="n">
        <v>46112</v>
      </c>
      <c r="N662" s="5" t="inlineStr">
        <is>
          <t>Approved</t>
        </is>
      </c>
      <c r="O662" s="5" t="inlineStr">
        <is>
          <t>Site</t>
        </is>
      </c>
      <c r="P662" s="5" t="inlineStr">
        <is>
          <t>Italy</t>
        </is>
      </c>
      <c r="Q662" s="13" t="inlineStr">
        <is>
          <t>S10-IT10010</t>
        </is>
      </c>
      <c r="R662" s="5" t="inlineStr">
        <is>
          <t>Alessia Campagnano</t>
        </is>
      </c>
      <c r="S662" s="8" t="n">
        <v>46112.52707175926</v>
      </c>
    </row>
    <row r="663" hidden="1" ht="29" customHeight="1">
      <c r="A663" s="15">
        <f>HYPERLINK("https://vtmf.veevavault.com/ui/#doc_info/31310691/1/0", "VTMF-25250551")</f>
        <v/>
      </c>
      <c r="B663" s="20" t="inlineStr">
        <is>
          <t>Yes</t>
        </is>
      </c>
      <c r="C663" s="5" t="inlineStr">
        <is>
          <t>1.0</t>
        </is>
      </c>
      <c r="D663" s="5" t="inlineStr">
        <is>
          <t>GCO</t>
        </is>
      </c>
      <c r="E663" s="5" t="inlineStr">
        <is>
          <t>42847922MDD3003</t>
        </is>
      </c>
      <c r="F663" s="16">
        <f>HYPERLINK("https://vtmf.veevavault.com/ui/#doc_info/31310691/1/0", "42847922MDD3003-ITA-S10-IT10010-Protocol Signature Page-05 Jun 2025 (v1.0)")</f>
        <v/>
      </c>
      <c r="G663" s="5" t="inlineStr">
        <is>
          <t>Site Management</t>
        </is>
      </c>
      <c r="H663" s="5" t="inlineStr">
        <is>
          <t>Site Set-up Documentation</t>
        </is>
      </c>
      <c r="I663" s="5" t="inlineStr">
        <is>
          <t>Protocol Signature Page</t>
        </is>
      </c>
      <c r="J663" s="5" t="inlineStr">
        <is>
          <t>Protocol signature Page_Di Nicola_05Jun2025</t>
        </is>
      </c>
      <c r="K663" s="6" t="n">
        <v>299</v>
      </c>
      <c r="L663" s="7" t="n">
        <v>45813</v>
      </c>
      <c r="M663" s="11" t="n">
        <v>46112</v>
      </c>
      <c r="N663" s="5" t="inlineStr">
        <is>
          <t>Approved</t>
        </is>
      </c>
      <c r="O663" s="5" t="inlineStr">
        <is>
          <t>Site</t>
        </is>
      </c>
      <c r="P663" s="5" t="inlineStr">
        <is>
          <t>Italy</t>
        </is>
      </c>
      <c r="Q663" s="13" t="inlineStr">
        <is>
          <t>S10-IT10010</t>
        </is>
      </c>
      <c r="R663" s="5" t="inlineStr">
        <is>
          <t>Alessia Campagnano</t>
        </is>
      </c>
      <c r="S663" s="8" t="n">
        <v>46112.52707175926</v>
      </c>
    </row>
    <row r="664" hidden="1" ht="29" customHeight="1">
      <c r="A664" s="15">
        <f>HYPERLINK("https://vtmf.veevavault.com/ui/#doc_info/31311300/1/0", "VTMF-25251000")</f>
        <v/>
      </c>
      <c r="B664" s="19" t="inlineStr">
        <is>
          <t>No</t>
        </is>
      </c>
      <c r="C664" s="5" t="inlineStr">
        <is>
          <t>1.0</t>
        </is>
      </c>
      <c r="D664" s="5" t="inlineStr">
        <is>
          <t>GCO</t>
        </is>
      </c>
      <c r="E664" s="5" t="inlineStr">
        <is>
          <t>42847922MDD3003</t>
        </is>
      </c>
      <c r="F664" s="16">
        <f>HYPERLINK("https://vtmf.veevavault.com/ui/#doc_info/31311300/1/0", "42847922MDD3003-ITA-S10-IT10010-Other Curriculum Vitae-05 Jun 2025 (v1.0)")</f>
        <v/>
      </c>
      <c r="G664" s="5" t="inlineStr">
        <is>
          <t>Site Management</t>
        </is>
      </c>
      <c r="H664" s="5" t="inlineStr">
        <is>
          <t>Site Set-up Documentation</t>
        </is>
      </c>
      <c r="I664" s="5" t="inlineStr">
        <is>
          <t>Other Curriculum Vitae</t>
        </is>
      </c>
      <c r="J664" s="5" t="inlineStr">
        <is>
          <t>CV Barba_05Jun2025</t>
        </is>
      </c>
      <c r="K664" s="6" t="n">
        <v>299</v>
      </c>
      <c r="L664" s="7" t="n">
        <v>45813</v>
      </c>
      <c r="M664" s="11" t="n">
        <v>46112</v>
      </c>
      <c r="N664" s="5" t="inlineStr">
        <is>
          <t>Approved</t>
        </is>
      </c>
      <c r="O664" s="5" t="inlineStr">
        <is>
          <t>Site</t>
        </is>
      </c>
      <c r="P664" s="5" t="inlineStr">
        <is>
          <t>Italy</t>
        </is>
      </c>
      <c r="Q664" s="13" t="inlineStr">
        <is>
          <t>S10-IT10010</t>
        </is>
      </c>
      <c r="R664" s="5" t="inlineStr">
        <is>
          <t>Alessia Campagnano</t>
        </is>
      </c>
      <c r="S664" s="8" t="n">
        <v>46112.59655092593</v>
      </c>
    </row>
    <row r="665" hidden="1" ht="29" customHeight="1">
      <c r="A665" s="15">
        <f>HYPERLINK("https://vtmf.veevavault.com/ui/#doc_info/31311701/1/0", "VTMF-25251001")</f>
        <v/>
      </c>
      <c r="B665" s="19" t="inlineStr">
        <is>
          <t>No</t>
        </is>
      </c>
      <c r="C665" s="5" t="inlineStr">
        <is>
          <t>1.0</t>
        </is>
      </c>
      <c r="D665" s="5" t="inlineStr">
        <is>
          <t>GCO</t>
        </is>
      </c>
      <c r="E665" s="5" t="inlineStr">
        <is>
          <t>42847922MDD3003</t>
        </is>
      </c>
      <c r="F665" s="16">
        <f>HYPERLINK("https://vtmf.veevavault.com/ui/#doc_info/31311701/1/0", "42847922MDD3003-ITA-S10-IT10010-Other Curriculum Vitae-05 Jun 2025 (v1.0)")</f>
        <v/>
      </c>
      <c r="G665" s="5" t="inlineStr">
        <is>
          <t>Site Management</t>
        </is>
      </c>
      <c r="H665" s="5" t="inlineStr">
        <is>
          <t>Site Set-up Documentation</t>
        </is>
      </c>
      <c r="I665" s="5" t="inlineStr">
        <is>
          <t>Other Curriculum Vitae</t>
        </is>
      </c>
      <c r="J665" s="5" t="inlineStr">
        <is>
          <t>CV Cozzolino_05Jun2025</t>
        </is>
      </c>
      <c r="K665" s="6" t="n">
        <v>299</v>
      </c>
      <c r="L665" s="7" t="n">
        <v>45813</v>
      </c>
      <c r="M665" s="11" t="n">
        <v>46112</v>
      </c>
      <c r="N665" s="5" t="inlineStr">
        <is>
          <t>Approved</t>
        </is>
      </c>
      <c r="O665" s="5" t="inlineStr">
        <is>
          <t>Site</t>
        </is>
      </c>
      <c r="P665" s="5" t="inlineStr">
        <is>
          <t>Italy</t>
        </is>
      </c>
      <c r="Q665" s="13" t="inlineStr">
        <is>
          <t>S10-IT10010</t>
        </is>
      </c>
      <c r="R665" s="5" t="inlineStr">
        <is>
          <t>Alessia Campagnano</t>
        </is>
      </c>
      <c r="S665" s="8" t="n">
        <v>46112.59655092593</v>
      </c>
    </row>
    <row r="666" hidden="1" ht="29" customHeight="1">
      <c r="A666" s="15">
        <f>HYPERLINK("https://vtmf.veevavault.com/ui/#doc_info/31311670/1/0", "VTMF-25251086")</f>
        <v/>
      </c>
      <c r="B666" s="19" t="inlineStr">
        <is>
          <t>No</t>
        </is>
      </c>
      <c r="C666" s="5" t="inlineStr">
        <is>
          <t>1.0</t>
        </is>
      </c>
      <c r="D666" s="5" t="inlineStr">
        <is>
          <t>GCO</t>
        </is>
      </c>
      <c r="E666" s="5" t="inlineStr">
        <is>
          <t>42847922MDD3003</t>
        </is>
      </c>
      <c r="F666" s="16">
        <f>HYPERLINK("https://vtmf.veevavault.com/ui/#doc_info/31311670/1/0", "42847922MDD3003-ITA-S10-IT10010-Other Curriculum Vitae-30 Sep 2025 (v1.0)")</f>
        <v/>
      </c>
      <c r="G666" s="5" t="inlineStr">
        <is>
          <t>Site Management</t>
        </is>
      </c>
      <c r="H666" s="5" t="inlineStr">
        <is>
          <t>Site Set-up Documentation</t>
        </is>
      </c>
      <c r="I666" s="5" t="inlineStr">
        <is>
          <t>Other Curriculum Vitae</t>
        </is>
      </c>
      <c r="J666" s="5" t="inlineStr">
        <is>
          <t>CV Orticelli 30Sep2025</t>
        </is>
      </c>
      <c r="K666" s="6" t="n">
        <v>182</v>
      </c>
      <c r="L666" s="7" t="n">
        <v>45930</v>
      </c>
      <c r="M666" s="11" t="n">
        <v>46112</v>
      </c>
      <c r="N666" s="5" t="inlineStr">
        <is>
          <t>Approved</t>
        </is>
      </c>
      <c r="O666" s="5" t="inlineStr">
        <is>
          <t>Site</t>
        </is>
      </c>
      <c r="P666" s="5" t="inlineStr">
        <is>
          <t>Italy</t>
        </is>
      </c>
      <c r="Q666" s="13" t="inlineStr">
        <is>
          <t>S10-IT10010</t>
        </is>
      </c>
      <c r="R666" s="5" t="inlineStr">
        <is>
          <t>Alessia Campagnano</t>
        </is>
      </c>
      <c r="S666" s="8" t="n">
        <v>46112.60815972222</v>
      </c>
    </row>
    <row r="667" hidden="1" ht="29" customHeight="1">
      <c r="A667" s="15">
        <f>HYPERLINK("https://vtmf.veevavault.com/ui/#doc_info/31311671/1/0", "VTMF-25251087")</f>
        <v/>
      </c>
      <c r="B667" s="19" t="inlineStr">
        <is>
          <t>No</t>
        </is>
      </c>
      <c r="C667" s="5" t="inlineStr">
        <is>
          <t>1.0</t>
        </is>
      </c>
      <c r="D667" s="5" t="inlineStr">
        <is>
          <t>GCO</t>
        </is>
      </c>
      <c r="E667" s="5" t="inlineStr">
        <is>
          <t>42847922MDD3003</t>
        </is>
      </c>
      <c r="F667" s="16">
        <f>HYPERLINK("https://vtmf.veevavault.com/ui/#doc_info/31311671/1/0", "42847922MDD3003-ITA-S10-IT10010-Other Curriculum Vitae-30 Sep 2025 (v1.0)")</f>
        <v/>
      </c>
      <c r="G667" s="5" t="inlineStr">
        <is>
          <t>Site Management</t>
        </is>
      </c>
      <c r="H667" s="5" t="inlineStr">
        <is>
          <t>Site Set-up Documentation</t>
        </is>
      </c>
      <c r="I667" s="5" t="inlineStr">
        <is>
          <t>Other Curriculum Vitae</t>
        </is>
      </c>
      <c r="J667" s="5" t="inlineStr">
        <is>
          <t>CV Perrone 30Sep2025</t>
        </is>
      </c>
      <c r="K667" s="6" t="n">
        <v>183</v>
      </c>
      <c r="L667" s="7" t="n">
        <v>45930</v>
      </c>
      <c r="M667" s="11" t="n">
        <v>46113</v>
      </c>
      <c r="N667" s="5" t="inlineStr">
        <is>
          <t>Approved</t>
        </is>
      </c>
      <c r="O667" s="5" t="inlineStr">
        <is>
          <t>Site</t>
        </is>
      </c>
      <c r="P667" s="5" t="inlineStr">
        <is>
          <t>Italy</t>
        </is>
      </c>
      <c r="Q667" s="13" t="inlineStr">
        <is>
          <t>S10-IT10010</t>
        </is>
      </c>
      <c r="R667" s="5" t="inlineStr">
        <is>
          <t>Alessia Campagnano</t>
        </is>
      </c>
      <c r="S667" s="8" t="n">
        <v>46112.60815972222</v>
      </c>
    </row>
    <row r="668" hidden="1" ht="29" customHeight="1">
      <c r="A668" s="15">
        <f>HYPERLINK("https://vtmf.veevavault.com/ui/#doc_info/31312020/1/0", "VTMF-25251212")</f>
        <v/>
      </c>
      <c r="B668" s="20" t="inlineStr">
        <is>
          <t>Yes</t>
        </is>
      </c>
      <c r="C668" s="5" t="inlineStr">
        <is>
          <t>1.0</t>
        </is>
      </c>
      <c r="D668" s="5" t="inlineStr">
        <is>
          <t>GCO</t>
        </is>
      </c>
      <c r="E668" s="5" t="inlineStr">
        <is>
          <t>42847922MDD3003</t>
        </is>
      </c>
      <c r="F668" s="16">
        <f>HYPERLINK("https://vtmf.veevavault.com/ui/#doc_info/31312020/1/0", "42847922MDD3003-PRT-S10-PT10005-File Note-27 Jan 2026 (v1.0)")</f>
        <v/>
      </c>
      <c r="G668" s="5" t="inlineStr">
        <is>
          <t>Third Parties</t>
        </is>
      </c>
      <c r="H668" s="5" t="inlineStr">
        <is>
          <t>General</t>
        </is>
      </c>
      <c r="I668" s="5" t="inlineStr">
        <is>
          <t>File Note</t>
        </is>
      </c>
      <c r="J668" s="5" t="inlineStr">
        <is>
          <t>CTRNI NtF_Discrepancy in rating results_PT100050004.</t>
        </is>
      </c>
      <c r="K668" s="6" t="n">
        <v>63</v>
      </c>
      <c r="L668" s="7" t="n">
        <v>46049</v>
      </c>
      <c r="M668" s="11" t="n">
        <v>46112</v>
      </c>
      <c r="N668" s="5" t="inlineStr">
        <is>
          <t>Approved</t>
        </is>
      </c>
      <c r="O668" s="5" t="inlineStr">
        <is>
          <t>Site</t>
        </is>
      </c>
      <c r="P668" s="5" t="inlineStr">
        <is>
          <t>Portugal</t>
        </is>
      </c>
      <c r="Q668" s="13" t="inlineStr">
        <is>
          <t>S10-PT10005</t>
        </is>
      </c>
      <c r="R668" s="5" t="inlineStr">
        <is>
          <t>Gina Stefanelli</t>
        </is>
      </c>
      <c r="S668" s="8" t="n">
        <v>46112.62173611111</v>
      </c>
    </row>
    <row r="669" hidden="1">
      <c r="A669" s="15">
        <f>HYPERLINK("https://vtmf.veevavault.com/ui/#doc_info/31312027/1/0", "VTMF-25251238")</f>
        <v/>
      </c>
      <c r="B669" s="20" t="inlineStr">
        <is>
          <t>Yes</t>
        </is>
      </c>
      <c r="C669" s="5" t="inlineStr">
        <is>
          <t>1.0</t>
        </is>
      </c>
      <c r="D669" s="5" t="inlineStr">
        <is>
          <t>GCO</t>
        </is>
      </c>
      <c r="E669" s="5" t="inlineStr">
        <is>
          <t>42847922MDD3003</t>
        </is>
      </c>
      <c r="F669" s="16">
        <f>HYPERLINK("https://vtmf.veevavault.com/ui/#doc_info/31312027/1/0", "42847922MDD3003-PRT-S10-PT10008-File Note-19 Feb 2026 (v1.0)")</f>
        <v/>
      </c>
      <c r="G669" s="5" t="inlineStr">
        <is>
          <t>Third Parties</t>
        </is>
      </c>
      <c r="H669" s="5" t="inlineStr">
        <is>
          <t>General</t>
        </is>
      </c>
      <c r="I669" s="5" t="inlineStr">
        <is>
          <t>File Note</t>
        </is>
      </c>
      <c r="J669" s="5" t="inlineStr">
        <is>
          <t>CTNI NtF_Discrepancy in rating results_PT100080004</t>
        </is>
      </c>
      <c r="K669" s="6" t="n">
        <v>40</v>
      </c>
      <c r="L669" s="7" t="n">
        <v>46072</v>
      </c>
      <c r="M669" s="11" t="n">
        <v>46112</v>
      </c>
      <c r="N669" s="5" t="inlineStr">
        <is>
          <t>Approved</t>
        </is>
      </c>
      <c r="O669" s="5" t="inlineStr">
        <is>
          <t>Site</t>
        </is>
      </c>
      <c r="P669" s="5" t="inlineStr">
        <is>
          <t>Portugal</t>
        </is>
      </c>
      <c r="Q669" s="13" t="inlineStr">
        <is>
          <t>S10-PT10008</t>
        </is>
      </c>
      <c r="R669" s="5" t="inlineStr">
        <is>
          <t>Gina Stefanelli</t>
        </is>
      </c>
      <c r="S669" s="8" t="n">
        <v>46112.6249537037</v>
      </c>
    </row>
    <row r="670" hidden="1">
      <c r="A670" s="15">
        <f>HYPERLINK("https://vtmf.veevavault.com/ui/#doc_info/31313286/1/0", "VTMF-25252058")</f>
        <v/>
      </c>
      <c r="B670" s="20" t="inlineStr">
        <is>
          <t>Yes</t>
        </is>
      </c>
      <c r="C670" s="5" t="inlineStr">
        <is>
          <t>1.0</t>
        </is>
      </c>
      <c r="D670" s="5" t="inlineStr">
        <is>
          <t>GCO</t>
        </is>
      </c>
      <c r="E670" s="5" t="inlineStr">
        <is>
          <t>42847922MDD3003</t>
        </is>
      </c>
      <c r="F670" s="16">
        <f>HYPERLINK("https://vtmf.veevavault.com/ui/#doc_info/31313286/1/0", "42847922MDD3003-POL-S10-PL10021-File Note-27 Feb 2026 (v1.0)")</f>
        <v/>
      </c>
      <c r="G670" s="5" t="inlineStr">
        <is>
          <t>Third Parties</t>
        </is>
      </c>
      <c r="H670" s="5" t="inlineStr">
        <is>
          <t>General</t>
        </is>
      </c>
      <c r="I670" s="5" t="inlineStr">
        <is>
          <t>File Note</t>
        </is>
      </c>
      <c r="J670" s="5" t="inlineStr">
        <is>
          <t>CTNI NtF_Discrepancy in rating results_PL100210008</t>
        </is>
      </c>
      <c r="K670" s="6" t="n">
        <v>32</v>
      </c>
      <c r="L670" s="7" t="n">
        <v>46080</v>
      </c>
      <c r="M670" s="11" t="n">
        <v>46112</v>
      </c>
      <c r="N670" s="5" t="inlineStr">
        <is>
          <t>Approved</t>
        </is>
      </c>
      <c r="O670" s="5" t="inlineStr">
        <is>
          <t>Site</t>
        </is>
      </c>
      <c r="P670" s="5" t="inlineStr">
        <is>
          <t>Poland</t>
        </is>
      </c>
      <c r="Q670" s="13" t="inlineStr">
        <is>
          <t>S10-PL10021</t>
        </is>
      </c>
      <c r="R670" s="5" t="inlineStr">
        <is>
          <t>Gina Stefanelli</t>
        </is>
      </c>
      <c r="S670" s="8" t="n">
        <v>46112.70493055556</v>
      </c>
    </row>
    <row r="671" hidden="1" ht="29" customHeight="1">
      <c r="A671" s="15">
        <f>HYPERLINK("https://vtmf.veevavault.com/ui/#doc_info/31313293/1/0", "VTMF-25252067")</f>
        <v/>
      </c>
      <c r="B671" s="20" t="inlineStr">
        <is>
          <t>Yes</t>
        </is>
      </c>
      <c r="C671" s="5" t="inlineStr">
        <is>
          <t>1.0</t>
        </is>
      </c>
      <c r="D671" s="5" t="inlineStr">
        <is>
          <t>GCO</t>
        </is>
      </c>
      <c r="E671" s="5" t="inlineStr">
        <is>
          <t>42847922MDD3003</t>
        </is>
      </c>
      <c r="F671" s="16">
        <f>HYPERLINK("https://vtmf.veevavault.com/ui/#doc_info/31313293/1/0", "42847922MDD3003-PRT-S10-PT10001-File Note-25 Nov 2025 (v1.0)")</f>
        <v/>
      </c>
      <c r="G671" s="5" t="inlineStr">
        <is>
          <t>Third Parties</t>
        </is>
      </c>
      <c r="H671" s="5" t="inlineStr">
        <is>
          <t>General</t>
        </is>
      </c>
      <c r="I671" s="5" t="inlineStr">
        <is>
          <t>File Note</t>
        </is>
      </c>
      <c r="J671" s="5" t="inlineStr">
        <is>
          <t>CTNI NtF template_Discrepancy in rating results_PT100010004</t>
        </is>
      </c>
      <c r="K671" s="6" t="n">
        <v>126</v>
      </c>
      <c r="L671" s="7" t="n">
        <v>45986</v>
      </c>
      <c r="M671" s="11" t="n">
        <v>46112</v>
      </c>
      <c r="N671" s="5" t="inlineStr">
        <is>
          <t>Approved</t>
        </is>
      </c>
      <c r="O671" s="5" t="inlineStr">
        <is>
          <t>Site</t>
        </is>
      </c>
      <c r="P671" s="5" t="inlineStr">
        <is>
          <t>Portugal</t>
        </is>
      </c>
      <c r="Q671" s="13" t="inlineStr">
        <is>
          <t>S10-PT10001</t>
        </is>
      </c>
      <c r="R671" s="5" t="inlineStr">
        <is>
          <t>Gina Stefanelli</t>
        </is>
      </c>
      <c r="S671" s="8" t="n">
        <v>46112.70612268519</v>
      </c>
    </row>
    <row r="672" hidden="1">
      <c r="A672" s="15">
        <f>HYPERLINK("https://vtmf.veevavault.com/ui/#doc_info/31313502/1/0", "VTMF-25252080")</f>
        <v/>
      </c>
      <c r="B672" s="20" t="inlineStr">
        <is>
          <t>Yes</t>
        </is>
      </c>
      <c r="C672" s="5" t="inlineStr">
        <is>
          <t>1.0</t>
        </is>
      </c>
      <c r="D672" s="5" t="inlineStr">
        <is>
          <t>GCO</t>
        </is>
      </c>
      <c r="E672" s="5" t="inlineStr">
        <is>
          <t>42847922MDD3003</t>
        </is>
      </c>
      <c r="F672" s="16">
        <f>HYPERLINK("https://vtmf.veevavault.com/ui/#doc_info/31313502/1/0", "42847922MDD3003-PRT-S10-PT10013-File Note-25 Feb 2026 (v1.0)")</f>
        <v/>
      </c>
      <c r="G672" s="5" t="inlineStr">
        <is>
          <t>Third Parties</t>
        </is>
      </c>
      <c r="H672" s="5" t="inlineStr">
        <is>
          <t>General</t>
        </is>
      </c>
      <c r="I672" s="5" t="inlineStr">
        <is>
          <t>File Note</t>
        </is>
      </c>
      <c r="J672" s="5" t="inlineStr">
        <is>
          <t>CTNI NtF_Discrepancy in rating results_PT100130002</t>
        </is>
      </c>
      <c r="K672" s="6" t="n">
        <v>34</v>
      </c>
      <c r="L672" s="7" t="n">
        <v>46078</v>
      </c>
      <c r="M672" s="11" t="n">
        <v>46112</v>
      </c>
      <c r="N672" s="5" t="inlineStr">
        <is>
          <t>Approved</t>
        </is>
      </c>
      <c r="O672" s="5" t="inlineStr">
        <is>
          <t>Site</t>
        </is>
      </c>
      <c r="P672" s="5" t="inlineStr">
        <is>
          <t>Portugal</t>
        </is>
      </c>
      <c r="Q672" s="13" t="inlineStr">
        <is>
          <t>S10-PT10013</t>
        </is>
      </c>
      <c r="R672" s="5" t="inlineStr">
        <is>
          <t>Gina Stefanelli</t>
        </is>
      </c>
      <c r="S672" s="8" t="n">
        <v>46112.70731481481</v>
      </c>
    </row>
    <row r="673" hidden="1">
      <c r="A673" s="15">
        <f>HYPERLINK("https://vtmf.veevavault.com/ui/#doc_info/31313505/1/0", "VTMF-25252096")</f>
        <v/>
      </c>
      <c r="B673" s="20" t="inlineStr">
        <is>
          <t>Yes</t>
        </is>
      </c>
      <c r="C673" s="5" t="inlineStr">
        <is>
          <t>1.0</t>
        </is>
      </c>
      <c r="D673" s="5" t="inlineStr">
        <is>
          <t>GCO</t>
        </is>
      </c>
      <c r="E673" s="5" t="inlineStr">
        <is>
          <t>42847922MDD3003</t>
        </is>
      </c>
      <c r="F673" s="16">
        <f>HYPERLINK("https://vtmf.veevavault.com/ui/#doc_info/31313505/1/0", "42847922MDD3003-PRT-S10-PT10001-File Note-21 Oct 2025 (v1.0)")</f>
        <v/>
      </c>
      <c r="G673" s="5" t="inlineStr">
        <is>
          <t>Third Parties</t>
        </is>
      </c>
      <c r="H673" s="5" t="inlineStr">
        <is>
          <t>General</t>
        </is>
      </c>
      <c r="I673" s="5" t="inlineStr">
        <is>
          <t>File Note</t>
        </is>
      </c>
      <c r="J673" s="5" t="inlineStr">
        <is>
          <t>CTNI NtF Discrepancy in rating results_PT1000100002</t>
        </is>
      </c>
      <c r="K673" s="6" t="n">
        <v>161</v>
      </c>
      <c r="L673" s="7" t="n">
        <v>45951</v>
      </c>
      <c r="M673" s="11" t="n">
        <v>46112</v>
      </c>
      <c r="N673" s="5" t="inlineStr">
        <is>
          <t>Approved</t>
        </is>
      </c>
      <c r="O673" s="5" t="inlineStr">
        <is>
          <t>Site</t>
        </is>
      </c>
      <c r="P673" s="5" t="inlineStr">
        <is>
          <t>Portugal</t>
        </is>
      </c>
      <c r="Q673" s="13" t="inlineStr">
        <is>
          <t>S10-PT10001</t>
        </is>
      </c>
      <c r="R673" s="5" t="inlineStr">
        <is>
          <t>Gina Stefanelli</t>
        </is>
      </c>
      <c r="S673" s="8" t="n">
        <v>46112.70907407408</v>
      </c>
    </row>
    <row r="674" hidden="1">
      <c r="A674" s="15">
        <f>HYPERLINK("https://vtmf.veevavault.com/ui/#doc_info/31313511/1/0", "VTMF-25252108")</f>
        <v/>
      </c>
      <c r="B674" s="20" t="inlineStr">
        <is>
          <t>Yes</t>
        </is>
      </c>
      <c r="C674" s="5" t="inlineStr">
        <is>
          <t>1.0</t>
        </is>
      </c>
      <c r="D674" s="5" t="inlineStr">
        <is>
          <t>GCO</t>
        </is>
      </c>
      <c r="E674" s="5" t="inlineStr">
        <is>
          <t>42847922MDD3003</t>
        </is>
      </c>
      <c r="F674" s="16">
        <f>HYPERLINK("https://vtmf.veevavault.com/ui/#doc_info/31313511/1/0", "42847922MDD3003-SRB-S10-RS10001-File Note-29 Oct 2025 (v1.0)")</f>
        <v/>
      </c>
      <c r="G674" s="5" t="inlineStr">
        <is>
          <t>Third Parties</t>
        </is>
      </c>
      <c r="H674" s="5" t="inlineStr">
        <is>
          <t>General</t>
        </is>
      </c>
      <c r="I674" s="5" t="inlineStr">
        <is>
          <t>File Note</t>
        </is>
      </c>
      <c r="J674" s="5" t="inlineStr">
        <is>
          <t>CTNI NtF Discrepancy in rating results RS100010002</t>
        </is>
      </c>
      <c r="K674" s="6" t="n">
        <v>153</v>
      </c>
      <c r="L674" s="7" t="n">
        <v>45959</v>
      </c>
      <c r="M674" s="11" t="n">
        <v>46112</v>
      </c>
      <c r="N674" s="5" t="inlineStr">
        <is>
          <t>Approved</t>
        </is>
      </c>
      <c r="O674" s="5" t="inlineStr">
        <is>
          <t>Site</t>
        </is>
      </c>
      <c r="P674" s="5" t="inlineStr">
        <is>
          <t>Serbia</t>
        </is>
      </c>
      <c r="Q674" s="13" t="inlineStr">
        <is>
          <t>S10-RS10001</t>
        </is>
      </c>
      <c r="R674" s="5" t="inlineStr">
        <is>
          <t>Gina Stefanelli</t>
        </is>
      </c>
      <c r="S674" s="8" t="n">
        <v>46112.71045138889</v>
      </c>
    </row>
    <row r="675" hidden="1">
      <c r="A675" s="15">
        <f>HYPERLINK("https://vtmf.veevavault.com/ui/#doc_info/31313518/1/0", "VTMF-25252118")</f>
        <v/>
      </c>
      <c r="B675" s="20" t="inlineStr">
        <is>
          <t>Yes</t>
        </is>
      </c>
      <c r="C675" s="5" t="inlineStr">
        <is>
          <t>1.0</t>
        </is>
      </c>
      <c r="D675" s="5" t="inlineStr">
        <is>
          <t>GCO</t>
        </is>
      </c>
      <c r="E675" s="5" t="inlineStr">
        <is>
          <t>42847922MDD3003</t>
        </is>
      </c>
      <c r="F675" s="16">
        <f>HYPERLINK("https://vtmf.veevavault.com/ui/#doc_info/31313518/1/0", "42847922MDD3003-SWE-S10-SE10002-File Note-09 Feb 2026 (v1.0)")</f>
        <v/>
      </c>
      <c r="G675" s="5" t="inlineStr">
        <is>
          <t>Third Parties</t>
        </is>
      </c>
      <c r="H675" s="5" t="inlineStr">
        <is>
          <t>General</t>
        </is>
      </c>
      <c r="I675" s="5" t="inlineStr">
        <is>
          <t>File Note</t>
        </is>
      </c>
      <c r="J675" s="5" t="inlineStr">
        <is>
          <t>CTNI NtF_Discrepancy in rating results_SE100020032</t>
        </is>
      </c>
      <c r="K675" s="6" t="n">
        <v>50</v>
      </c>
      <c r="L675" s="7" t="n">
        <v>46062</v>
      </c>
      <c r="M675" s="11" t="n">
        <v>46112</v>
      </c>
      <c r="N675" s="5" t="inlineStr">
        <is>
          <t>Approved</t>
        </is>
      </c>
      <c r="O675" s="5" t="inlineStr">
        <is>
          <t>Site</t>
        </is>
      </c>
      <c r="P675" s="5" t="inlineStr">
        <is>
          <t>Sweden</t>
        </is>
      </c>
      <c r="Q675" s="13" t="inlineStr">
        <is>
          <t>S10-SE10002</t>
        </is>
      </c>
      <c r="R675" s="5" t="inlineStr">
        <is>
          <t>Gina Stefanelli</t>
        </is>
      </c>
      <c r="S675" s="8" t="n">
        <v>46112.71145833333</v>
      </c>
    </row>
    <row r="676" hidden="1">
      <c r="A676" s="15">
        <f>HYPERLINK("https://vtmf.veevavault.com/ui/#doc_info/31313527/1/0", "VTMF-25252131")</f>
        <v/>
      </c>
      <c r="B676" s="20" t="inlineStr">
        <is>
          <t>Yes</t>
        </is>
      </c>
      <c r="C676" s="5" t="inlineStr">
        <is>
          <t>1.0</t>
        </is>
      </c>
      <c r="D676" s="5" t="inlineStr">
        <is>
          <t>GCO</t>
        </is>
      </c>
      <c r="E676" s="5" t="inlineStr">
        <is>
          <t>42847922MDD3003</t>
        </is>
      </c>
      <c r="F676" s="16">
        <f>HYPERLINK("https://vtmf.veevavault.com/ui/#doc_info/31313527/1/0", "42847922MDD3003-TUR-S10-TR10001-File Note-01 Oct 2025 (v1.0)")</f>
        <v/>
      </c>
      <c r="G676" s="5" t="inlineStr">
        <is>
          <t>Third Parties</t>
        </is>
      </c>
      <c r="H676" s="5" t="inlineStr">
        <is>
          <t>General</t>
        </is>
      </c>
      <c r="I676" s="5" t="inlineStr">
        <is>
          <t>File Note</t>
        </is>
      </c>
      <c r="J676" s="5" t="inlineStr">
        <is>
          <t>CTNI NtF Discrepancy in rating results _TR100010003</t>
        </is>
      </c>
      <c r="K676" s="6" t="n">
        <v>181</v>
      </c>
      <c r="L676" s="7" t="n">
        <v>45931</v>
      </c>
      <c r="M676" s="11" t="n">
        <v>46112</v>
      </c>
      <c r="N676" s="5" t="inlineStr">
        <is>
          <t>Approved</t>
        </is>
      </c>
      <c r="O676" s="5" t="inlineStr">
        <is>
          <t>Site</t>
        </is>
      </c>
      <c r="P676" s="5" t="inlineStr">
        <is>
          <t>Türkiye</t>
        </is>
      </c>
      <c r="Q676" s="13" t="inlineStr">
        <is>
          <t>S10-TR10001</t>
        </is>
      </c>
      <c r="R676" s="5" t="inlineStr">
        <is>
          <t>Gina Stefanelli</t>
        </is>
      </c>
      <c r="S676" s="8" t="n">
        <v>46112.71283564815</v>
      </c>
    </row>
    <row r="677" hidden="1">
      <c r="A677" s="15">
        <f>HYPERLINK("https://vtmf.veevavault.com/ui/#doc_info/31313531/1/0", "VTMF-25252140")</f>
        <v/>
      </c>
      <c r="B677" s="20" t="inlineStr">
        <is>
          <t>Yes</t>
        </is>
      </c>
      <c r="C677" s="5" t="inlineStr">
        <is>
          <t>1.0</t>
        </is>
      </c>
      <c r="D677" s="5" t="inlineStr">
        <is>
          <t>GCO</t>
        </is>
      </c>
      <c r="E677" s="5" t="inlineStr">
        <is>
          <t>42847922MDD3003</t>
        </is>
      </c>
      <c r="F677" s="16">
        <f>HYPERLINK("https://vtmf.veevavault.com/ui/#doc_info/31313531/1/0", "42847922MDD3003-TUR-S10-TR10010-File Note-10 Nov 2025 (v1.0)")</f>
        <v/>
      </c>
      <c r="G677" s="5" t="inlineStr">
        <is>
          <t>Third Parties</t>
        </is>
      </c>
      <c r="H677" s="5" t="inlineStr">
        <is>
          <t>General</t>
        </is>
      </c>
      <c r="I677" s="5" t="inlineStr">
        <is>
          <t>File Note</t>
        </is>
      </c>
      <c r="J677" s="5" t="inlineStr">
        <is>
          <t>CTNI NtF Discrepancy in rating results_TR100100006</t>
        </is>
      </c>
      <c r="K677" s="6" t="n">
        <v>141</v>
      </c>
      <c r="L677" s="7" t="n">
        <v>45971</v>
      </c>
      <c r="M677" s="11" t="n">
        <v>46112</v>
      </c>
      <c r="N677" s="5" t="inlineStr">
        <is>
          <t>Approved</t>
        </is>
      </c>
      <c r="O677" s="5" t="inlineStr">
        <is>
          <t>Site</t>
        </is>
      </c>
      <c r="P677" s="5" t="inlineStr">
        <is>
          <t>Türkiye</t>
        </is>
      </c>
      <c r="Q677" s="13" t="inlineStr">
        <is>
          <t>S10-TR10010</t>
        </is>
      </c>
      <c r="R677" s="5" t="inlineStr">
        <is>
          <t>Gina Stefanelli</t>
        </is>
      </c>
      <c r="S677" s="8" t="n">
        <v>46112.7140162037</v>
      </c>
    </row>
    <row r="678" hidden="1">
      <c r="A678" s="15">
        <f>HYPERLINK("https://vtmf.veevavault.com/ui/#doc_info/31313535/1/0", "VTMF-25252151")</f>
        <v/>
      </c>
      <c r="B678" s="20" t="inlineStr">
        <is>
          <t>Yes</t>
        </is>
      </c>
      <c r="C678" s="5" t="inlineStr">
        <is>
          <t>1.0</t>
        </is>
      </c>
      <c r="D678" s="5" t="inlineStr">
        <is>
          <t>GCO</t>
        </is>
      </c>
      <c r="E678" s="5" t="inlineStr">
        <is>
          <t>42847922MDD3003</t>
        </is>
      </c>
      <c r="F678" s="16">
        <f>HYPERLINK("https://vtmf.veevavault.com/ui/#doc_info/31313535/1/0", "42847922MDD3003-TUR-S10-TR10010-File Note-10 Nov 2025 (v1.0)")</f>
        <v/>
      </c>
      <c r="G678" s="5" t="inlineStr">
        <is>
          <t>Third Parties</t>
        </is>
      </c>
      <c r="H678" s="5" t="inlineStr">
        <is>
          <t>General</t>
        </is>
      </c>
      <c r="I678" s="5" t="inlineStr">
        <is>
          <t>File Note</t>
        </is>
      </c>
      <c r="J678" s="5" t="inlineStr">
        <is>
          <t>CTNI NtF Discrepancy in rating results_TR100100007</t>
        </is>
      </c>
      <c r="K678" s="6" t="n">
        <v>141</v>
      </c>
      <c r="L678" s="7" t="n">
        <v>45971</v>
      </c>
      <c r="M678" s="11" t="n">
        <v>46112</v>
      </c>
      <c r="N678" s="5" t="inlineStr">
        <is>
          <t>Approved</t>
        </is>
      </c>
      <c r="O678" s="5" t="inlineStr">
        <is>
          <t>Site</t>
        </is>
      </c>
      <c r="P678" s="5" t="inlineStr">
        <is>
          <t>Türkiye</t>
        </is>
      </c>
      <c r="Q678" s="13" t="inlineStr">
        <is>
          <t>S10-TR10010</t>
        </is>
      </c>
      <c r="R678" s="5" t="inlineStr">
        <is>
          <t>Gina Stefanelli</t>
        </is>
      </c>
      <c r="S678" s="8" t="n">
        <v>46112.71506944444</v>
      </c>
    </row>
    <row r="679" hidden="1">
      <c r="A679" s="15">
        <f>HYPERLINK("https://vtmf.veevavault.com/ui/#doc_info/31313539/1/0", "VTMF-25252159")</f>
        <v/>
      </c>
      <c r="B679" s="20" t="inlineStr">
        <is>
          <t>Yes</t>
        </is>
      </c>
      <c r="C679" s="5" t="inlineStr">
        <is>
          <t>1.0</t>
        </is>
      </c>
      <c r="D679" s="5" t="inlineStr">
        <is>
          <t>GCO</t>
        </is>
      </c>
      <c r="E679" s="5" t="inlineStr">
        <is>
          <t>42847922MDD3003</t>
        </is>
      </c>
      <c r="F679" s="16">
        <f>HYPERLINK("https://vtmf.veevavault.com/ui/#doc_info/31313539/1/0", "42847922MDD3003-TUR-S10-TR10012-File Note-10 Nov 2025 (v1.0)")</f>
        <v/>
      </c>
      <c r="G679" s="5" t="inlineStr">
        <is>
          <t>Third Parties</t>
        </is>
      </c>
      <c r="H679" s="5" t="inlineStr">
        <is>
          <t>General</t>
        </is>
      </c>
      <c r="I679" s="5" t="inlineStr">
        <is>
          <t>File Note</t>
        </is>
      </c>
      <c r="J679" s="5" t="inlineStr">
        <is>
          <t>CTNI NtF Discrepancy in rating results_TR100120007</t>
        </is>
      </c>
      <c r="K679" s="6" t="n">
        <v>141</v>
      </c>
      <c r="L679" s="7" t="n">
        <v>45971</v>
      </c>
      <c r="M679" s="11" t="n">
        <v>46112</v>
      </c>
      <c r="N679" s="5" t="inlineStr">
        <is>
          <t>Approved</t>
        </is>
      </c>
      <c r="O679" s="5" t="inlineStr">
        <is>
          <t>Site</t>
        </is>
      </c>
      <c r="P679" s="5" t="inlineStr">
        <is>
          <t>Türkiye</t>
        </is>
      </c>
      <c r="Q679" s="13" t="inlineStr">
        <is>
          <t>S10-TR10012</t>
        </is>
      </c>
      <c r="R679" s="5" t="inlineStr">
        <is>
          <t>Gina Stefanelli</t>
        </is>
      </c>
      <c r="S679" s="8" t="n">
        <v>46112.71612268518</v>
      </c>
    </row>
    <row r="680" hidden="1">
      <c r="A680" s="15">
        <f>HYPERLINK("https://vtmf.veevavault.com/ui/#doc_info/31313549/1/0", "VTMF-25252173")</f>
        <v/>
      </c>
      <c r="B680" s="20" t="inlineStr">
        <is>
          <t>Yes</t>
        </is>
      </c>
      <c r="C680" s="5" t="inlineStr">
        <is>
          <t>1.0</t>
        </is>
      </c>
      <c r="D680" s="5" t="inlineStr">
        <is>
          <t>GCO</t>
        </is>
      </c>
      <c r="E680" s="5" t="inlineStr">
        <is>
          <t>42847922MDD3003</t>
        </is>
      </c>
      <c r="F680" s="16">
        <f>HYPERLINK("https://vtmf.veevavault.com/ui/#doc_info/31313549/1/0", "42847922MDD3003-TUR-S10-TR10012-File Note-10 Nov 2025 (v1.0)")</f>
        <v/>
      </c>
      <c r="G680" s="5" t="inlineStr">
        <is>
          <t>Third Parties</t>
        </is>
      </c>
      <c r="H680" s="5" t="inlineStr">
        <is>
          <t>General</t>
        </is>
      </c>
      <c r="I680" s="5" t="inlineStr">
        <is>
          <t>File Note</t>
        </is>
      </c>
      <c r="J680" s="5" t="inlineStr">
        <is>
          <t>CTNI NtF Discrepancy in rating results_TR100120009</t>
        </is>
      </c>
      <c r="K680" s="6" t="n">
        <v>141</v>
      </c>
      <c r="L680" s="7" t="n">
        <v>45971</v>
      </c>
      <c r="M680" s="11" t="n">
        <v>46112</v>
      </c>
      <c r="N680" s="5" t="inlineStr">
        <is>
          <t>Approved</t>
        </is>
      </c>
      <c r="O680" s="5" t="inlineStr">
        <is>
          <t>Site</t>
        </is>
      </c>
      <c r="P680" s="5" t="inlineStr">
        <is>
          <t>Türkiye</t>
        </is>
      </c>
      <c r="Q680" s="13" t="inlineStr">
        <is>
          <t>S10-TR10012</t>
        </is>
      </c>
      <c r="R680" s="5" t="inlineStr">
        <is>
          <t>Gina Stefanelli</t>
        </is>
      </c>
      <c r="S680" s="8" t="n">
        <v>46112.71719907408</v>
      </c>
    </row>
    <row r="681" hidden="1">
      <c r="A681" s="15">
        <f>HYPERLINK("https://vtmf.veevavault.com/ui/#doc_info/31313573/1/0", "VTMF-25252211")</f>
        <v/>
      </c>
      <c r="B681" s="20" t="inlineStr">
        <is>
          <t>Yes</t>
        </is>
      </c>
      <c r="C681" s="5" t="inlineStr">
        <is>
          <t>1.0</t>
        </is>
      </c>
      <c r="D681" s="5" t="inlineStr">
        <is>
          <t>GCO</t>
        </is>
      </c>
      <c r="E681" s="5" t="inlineStr">
        <is>
          <t>42847922MDD3003</t>
        </is>
      </c>
      <c r="F681" s="16">
        <f>HYPERLINK("https://vtmf.veevavault.com/ui/#doc_info/31313573/1/0", "42847922MDD3003-USA-S10-US10027-File Note-26 Feb 2026 (v1.0)")</f>
        <v/>
      </c>
      <c r="G681" s="5" t="inlineStr">
        <is>
          <t>Third Parties</t>
        </is>
      </c>
      <c r="H681" s="5" t="inlineStr">
        <is>
          <t>General</t>
        </is>
      </c>
      <c r="I681" s="5" t="inlineStr">
        <is>
          <t>File Note</t>
        </is>
      </c>
      <c r="J681" s="5" t="inlineStr">
        <is>
          <t>CTNI NtF Discrepancy in rating results_US100270012</t>
        </is>
      </c>
      <c r="K681" s="6" t="n">
        <v>33</v>
      </c>
      <c r="L681" s="7" t="n">
        <v>46079</v>
      </c>
      <c r="M681" s="11" t="n">
        <v>46112</v>
      </c>
      <c r="N681" s="5" t="inlineStr">
        <is>
          <t>Approved</t>
        </is>
      </c>
      <c r="O681" s="5" t="inlineStr">
        <is>
          <t>Site</t>
        </is>
      </c>
      <c r="P681" s="5" t="inlineStr">
        <is>
          <t>United States</t>
        </is>
      </c>
      <c r="Q681" s="13" t="inlineStr">
        <is>
          <t>S10-US10027</t>
        </is>
      </c>
      <c r="R681" s="5" t="inlineStr">
        <is>
          <t>Gina Stefanelli</t>
        </is>
      </c>
      <c r="S681" s="8" t="n">
        <v>46112.72128472223</v>
      </c>
    </row>
    <row r="682" hidden="1" ht="29" customHeight="1">
      <c r="A682" s="15">
        <f>HYPERLINK("https://vtmf.veevavault.com/ui/#doc_info/31314922/1/0", "VTMF-25253438")</f>
        <v/>
      </c>
      <c r="B682" s="20" t="inlineStr">
        <is>
          <t>Yes</t>
        </is>
      </c>
      <c r="C682" s="5" t="inlineStr">
        <is>
          <t>1.0</t>
        </is>
      </c>
      <c r="D682" s="5" t="inlineStr">
        <is>
          <t>GCO</t>
        </is>
      </c>
      <c r="E682" s="5" t="inlineStr">
        <is>
          <t>42847922MDD3003</t>
        </is>
      </c>
      <c r="F682" s="16">
        <f>HYPERLINK("https://vtmf.veevavault.com/ui/#doc_info/31314922/1/0", "42847922MDD3003-MEX-S10-MX10005-Relevant Communications-30 Nov 2025 (v1.0)")</f>
        <v/>
      </c>
      <c r="G682" s="5" t="inlineStr">
        <is>
          <t>IRB/IEC and other Approvals</t>
        </is>
      </c>
      <c r="H682" s="5" t="inlineStr">
        <is>
          <t>General</t>
        </is>
      </c>
      <c r="I682" s="5" t="inlineStr">
        <is>
          <t>Relevant Communications</t>
        </is>
      </c>
      <c r="J682" s="5" t="inlineStr">
        <is>
          <t>RC_AoR_Protocol deviation_Subject_MX100050001, 0002_30Nov2025</t>
        </is>
      </c>
      <c r="K682" s="6" t="n">
        <v>134</v>
      </c>
      <c r="L682" s="7" t="n">
        <v>45991</v>
      </c>
      <c r="M682" s="11" t="n">
        <v>46125</v>
      </c>
      <c r="N682" s="5" t="inlineStr">
        <is>
          <t>Approved</t>
        </is>
      </c>
      <c r="O682" s="5" t="inlineStr">
        <is>
          <t>Site</t>
        </is>
      </c>
      <c r="P682" s="5" t="inlineStr">
        <is>
          <t>Mexico</t>
        </is>
      </c>
      <c r="Q682" s="13" t="inlineStr">
        <is>
          <t>S10-MX10005</t>
        </is>
      </c>
      <c r="R682" s="5" t="inlineStr">
        <is>
          <t>Patricia Yessica Rendon (VeevaID)</t>
        </is>
      </c>
      <c r="S682" s="8" t="n">
        <v>46112.89037037037</v>
      </c>
    </row>
    <row r="683" hidden="1" ht="29" customHeight="1">
      <c r="A683" s="15">
        <f>HYPERLINK("https://vtmf.veevavault.com/ui/#doc_info/31314925/1/0", "VTMF-25253519")</f>
        <v/>
      </c>
      <c r="B683" s="20" t="inlineStr">
        <is>
          <t>Yes</t>
        </is>
      </c>
      <c r="C683" s="5" t="inlineStr">
        <is>
          <t>1.0</t>
        </is>
      </c>
      <c r="D683" s="5" t="inlineStr">
        <is>
          <t>GCO</t>
        </is>
      </c>
      <c r="E683" s="5" t="inlineStr">
        <is>
          <t>42847922MDD3003</t>
        </is>
      </c>
      <c r="F683" s="16">
        <f>HYPERLINK("https://vtmf.veevavault.com/ui/#doc_info/31314925/1/0", "42847922MDD3003-MEX-S10-MX10005-Relevant Communications-30 Nov 2025 (v1.0)")</f>
        <v/>
      </c>
      <c r="G683" s="5" t="inlineStr">
        <is>
          <t>IRB/IEC and other Approvals</t>
        </is>
      </c>
      <c r="H683" s="5" t="inlineStr">
        <is>
          <t>General</t>
        </is>
      </c>
      <c r="I683" s="5" t="inlineStr">
        <is>
          <t>Relevant Communications</t>
        </is>
      </c>
      <c r="J683" s="5" t="inlineStr">
        <is>
          <t>EC_AoR_Protocol deviation_Subject_MX100050001, 0002_30Nov2025</t>
        </is>
      </c>
      <c r="K683" s="6" t="n">
        <v>134</v>
      </c>
      <c r="L683" s="7" t="n">
        <v>45991</v>
      </c>
      <c r="M683" s="11" t="n">
        <v>46125</v>
      </c>
      <c r="N683" s="5" t="inlineStr">
        <is>
          <t>Approved</t>
        </is>
      </c>
      <c r="O683" s="5" t="inlineStr">
        <is>
          <t>Site</t>
        </is>
      </c>
      <c r="P683" s="5" t="inlineStr">
        <is>
          <t>Mexico</t>
        </is>
      </c>
      <c r="Q683" s="13" t="inlineStr">
        <is>
          <t>S10-MX10005</t>
        </is>
      </c>
      <c r="R683" s="5" t="inlineStr">
        <is>
          <t>Patricia Yessica Rendon (VeevaID)</t>
        </is>
      </c>
      <c r="S683" s="8" t="n">
        <v>46112.89145833333</v>
      </c>
    </row>
    <row r="684" hidden="1" ht="29" customHeight="1">
      <c r="A684" s="15">
        <f>HYPERLINK("https://vtmf.veevavault.com/ui/#doc_info/31314933/1/0", "VTMF-25253594")</f>
        <v/>
      </c>
      <c r="B684" s="20" t="inlineStr">
        <is>
          <t>Yes</t>
        </is>
      </c>
      <c r="C684" s="5" t="inlineStr">
        <is>
          <t>1.0</t>
        </is>
      </c>
      <c r="D684" s="5" t="inlineStr">
        <is>
          <t>GCO</t>
        </is>
      </c>
      <c r="E684" s="5" t="inlineStr">
        <is>
          <t>42847922MDD3003</t>
        </is>
      </c>
      <c r="F684" s="16">
        <f>HYPERLINK("https://vtmf.veevavault.com/ui/#doc_info/31314933/1/0", "42847922MDD3003-MEX-S10-MX10005-Relevant Communications-09 Feb 2026 (v1.0)")</f>
        <v/>
      </c>
      <c r="G684" s="5" t="inlineStr">
        <is>
          <t>IRB/IEC and other Approvals</t>
        </is>
      </c>
      <c r="H684" s="5" t="inlineStr">
        <is>
          <t>General</t>
        </is>
      </c>
      <c r="I684" s="5" t="inlineStr">
        <is>
          <t>Relevant Communications</t>
        </is>
      </c>
      <c r="J684" s="5" t="inlineStr">
        <is>
          <t>RC_AoR_Protocol deviation _MX100050004_09Feb2026</t>
        </is>
      </c>
      <c r="K684" s="6" t="n">
        <v>63</v>
      </c>
      <c r="L684" s="7" t="n">
        <v>46062</v>
      </c>
      <c r="M684" s="11" t="n">
        <v>46125</v>
      </c>
      <c r="N684" s="5" t="inlineStr">
        <is>
          <t>Approved</t>
        </is>
      </c>
      <c r="O684" s="5" t="inlineStr">
        <is>
          <t>Site</t>
        </is>
      </c>
      <c r="P684" s="5" t="inlineStr">
        <is>
          <t>Mexico</t>
        </is>
      </c>
      <c r="Q684" s="13" t="inlineStr">
        <is>
          <t>S10-MX10005</t>
        </is>
      </c>
      <c r="R684" s="5" t="inlineStr">
        <is>
          <t>Patricia Yessica Rendon (VeevaID)</t>
        </is>
      </c>
      <c r="S684" s="8" t="n">
        <v>46112.89349537037</v>
      </c>
    </row>
    <row r="685" hidden="1" ht="29" customHeight="1">
      <c r="A685" s="15">
        <f>HYPERLINK("https://vtmf.veevavault.com/ui/#doc_info/31316216/1/0", "VTMF-25254567")</f>
        <v/>
      </c>
      <c r="B685" s="20" t="inlineStr">
        <is>
          <t>Yes</t>
        </is>
      </c>
      <c r="C685" s="5" t="inlineStr">
        <is>
          <t>1.0</t>
        </is>
      </c>
      <c r="D685" s="5" t="inlineStr">
        <is>
          <t>GCO</t>
        </is>
      </c>
      <c r="E685" s="5" t="inlineStr">
        <is>
          <t>42847922MDD3003</t>
        </is>
      </c>
      <c r="F685" s="16">
        <f>HYPERLINK("https://vtmf.veevavault.com/ui/#doc_info/31316216/1/0", "42847922MDD3003-MEX-S10-MX10006-IRT User Account Management-14 Oct 2025 (v1.0)")</f>
        <v/>
      </c>
      <c r="G685" s="5" t="inlineStr">
        <is>
          <t>IP and Trial Supplies</t>
        </is>
      </c>
      <c r="H685" s="5" t="inlineStr">
        <is>
          <t>Interactive Response Technology</t>
        </is>
      </c>
      <c r="I685" s="5" t="inlineStr">
        <is>
          <t>IRT User Account Management</t>
        </is>
      </c>
      <c r="J685" s="5" t="inlineStr">
        <is>
          <t>Site Activation Alert for Site S10-MX10006</t>
        </is>
      </c>
      <c r="K685" s="6" t="n">
        <v>168</v>
      </c>
      <c r="L685" s="7" t="n">
        <v>45944</v>
      </c>
      <c r="M685" s="11" t="n">
        <v>46112</v>
      </c>
      <c r="N685" s="5" t="inlineStr">
        <is>
          <t>Approved</t>
        </is>
      </c>
      <c r="O685" s="5" t="inlineStr">
        <is>
          <t>Site</t>
        </is>
      </c>
      <c r="P685" s="5" t="inlineStr">
        <is>
          <t>Mexico</t>
        </is>
      </c>
      <c r="Q685" s="13" t="inlineStr">
        <is>
          <t>S10-MX10006</t>
        </is>
      </c>
      <c r="R685" s="5" t="inlineStr">
        <is>
          <t>Karla Melisa Rodríguez Bautista</t>
        </is>
      </c>
      <c r="S685" s="8" t="n">
        <v>46113.09700231482</v>
      </c>
    </row>
    <row r="686" hidden="1" ht="29" customHeight="1">
      <c r="A686" s="15">
        <f>HYPERLINK("https://vtmf.veevavault.com/ui/#doc_info/31318729/1/0", "VTMF-25256875")</f>
        <v/>
      </c>
      <c r="B686" s="20" t="inlineStr">
        <is>
          <t>Yes</t>
        </is>
      </c>
      <c r="C686" s="5" t="inlineStr">
        <is>
          <t>1.0</t>
        </is>
      </c>
      <c r="D686" s="5" t="inlineStr">
        <is>
          <t>GCO</t>
        </is>
      </c>
      <c r="E686" s="5" t="inlineStr">
        <is>
          <t>42847922MDD3003</t>
        </is>
      </c>
      <c r="F686" s="16">
        <f>HYPERLINK("https://vtmf.veevavault.com/ui/#doc_info/31318729/1/0", "42847922MDD3003-MEX-S10-MX10004-Relevant Communications-13 Jan 2026 (v1.0)")</f>
        <v/>
      </c>
      <c r="G686" s="5" t="inlineStr">
        <is>
          <t>Site Management</t>
        </is>
      </c>
      <c r="H686" s="5" t="inlineStr">
        <is>
          <t>General</t>
        </is>
      </c>
      <c r="I686" s="5" t="inlineStr">
        <is>
          <t>Relevant Communications</t>
        </is>
      </c>
      <c r="J686" s="5" t="inlineStr">
        <is>
          <t>Screening Extension approved</t>
        </is>
      </c>
      <c r="K686" s="6" t="n">
        <v>78</v>
      </c>
      <c r="L686" s="7" t="n">
        <v>46035</v>
      </c>
      <c r="M686" s="11" t="n">
        <v>46113</v>
      </c>
      <c r="N686" s="5" t="inlineStr">
        <is>
          <t>Approved</t>
        </is>
      </c>
      <c r="O686" s="5" t="inlineStr">
        <is>
          <t>Site</t>
        </is>
      </c>
      <c r="P686" s="5" t="inlineStr">
        <is>
          <t>Mexico</t>
        </is>
      </c>
      <c r="Q686" s="13" t="inlineStr">
        <is>
          <t>S10-MX10004</t>
        </is>
      </c>
      <c r="R686" s="5" t="inlineStr">
        <is>
          <t>Aurora Barbera</t>
        </is>
      </c>
      <c r="S686" s="8" t="n">
        <v>46113.3777662037</v>
      </c>
    </row>
    <row r="687" hidden="1" ht="29" customHeight="1">
      <c r="A687" s="15">
        <f>HYPERLINK("https://vtmf.veevavault.com/ui/#doc_info/31318926/1/0", "VTMF-25257029")</f>
        <v/>
      </c>
      <c r="B687" s="20" t="inlineStr">
        <is>
          <t>Yes</t>
        </is>
      </c>
      <c r="C687" s="5" t="inlineStr">
        <is>
          <t>1.0</t>
        </is>
      </c>
      <c r="D687" s="5" t="inlineStr">
        <is>
          <t>GCO</t>
        </is>
      </c>
      <c r="E687" s="5" t="inlineStr">
        <is>
          <t>42847922MDD3003</t>
        </is>
      </c>
      <c r="F687" s="16">
        <f>HYPERLINK("https://vtmf.veevavault.com/ui/#doc_info/31318926/1/0", "42847922MDD3003-USA-S10-US10214-Relevant Communications-12 Jan 2026 (v1.0)")</f>
        <v/>
      </c>
      <c r="G687" s="5" t="inlineStr">
        <is>
          <t>Site Management</t>
        </is>
      </c>
      <c r="H687" s="5" t="inlineStr">
        <is>
          <t>General</t>
        </is>
      </c>
      <c r="I687" s="5" t="inlineStr">
        <is>
          <t>Relevant Communications</t>
        </is>
      </c>
      <c r="J687" s="5" t="inlineStr">
        <is>
          <t>Screening extension approved</t>
        </is>
      </c>
      <c r="K687" s="6" t="n">
        <v>79</v>
      </c>
      <c r="L687" s="7" t="n">
        <v>46034</v>
      </c>
      <c r="M687" s="11" t="n">
        <v>46113</v>
      </c>
      <c r="N687" s="5" t="inlineStr">
        <is>
          <t>Approved</t>
        </is>
      </c>
      <c r="O687" s="5" t="inlineStr">
        <is>
          <t>Site</t>
        </is>
      </c>
      <c r="P687" s="5" t="inlineStr">
        <is>
          <t>United States</t>
        </is>
      </c>
      <c r="Q687" s="13" t="inlineStr">
        <is>
          <t>S10-US10214</t>
        </is>
      </c>
      <c r="R687" s="5" t="inlineStr">
        <is>
          <t>Aurora Barbera</t>
        </is>
      </c>
      <c r="S687" s="8" t="n">
        <v>46113.40420138889</v>
      </c>
    </row>
    <row r="688" hidden="1" ht="29" customHeight="1">
      <c r="A688" s="15">
        <f>HYPERLINK("https://vtmf.veevavault.com/ui/#doc_info/31318947/1/0", "VTMF-25257068")</f>
        <v/>
      </c>
      <c r="B688" s="20" t="inlineStr">
        <is>
          <t>Yes</t>
        </is>
      </c>
      <c r="C688" s="5" t="inlineStr">
        <is>
          <t>1.0</t>
        </is>
      </c>
      <c r="D688" s="5" t="inlineStr">
        <is>
          <t>GCO</t>
        </is>
      </c>
      <c r="E688" s="5" t="inlineStr">
        <is>
          <t>42847922MDD3003</t>
        </is>
      </c>
      <c r="F688" s="16">
        <f>HYPERLINK("https://vtmf.veevavault.com/ui/#doc_info/31318947/1/0", "42847922MDD3003-USA-S10-US10007-Relevant Communications-13 Jan 2026 (v1.0)")</f>
        <v/>
      </c>
      <c r="G688" s="5" t="inlineStr">
        <is>
          <t>Site Management</t>
        </is>
      </c>
      <c r="H688" s="5" t="inlineStr">
        <is>
          <t>General</t>
        </is>
      </c>
      <c r="I688" s="5" t="inlineStr">
        <is>
          <t>Relevant Communications</t>
        </is>
      </c>
      <c r="J688" s="5" t="inlineStr">
        <is>
          <t>Eligibility approved</t>
        </is>
      </c>
      <c r="K688" s="6" t="n">
        <v>78</v>
      </c>
      <c r="L688" s="7" t="n">
        <v>46035</v>
      </c>
      <c r="M688" s="11" t="n">
        <v>46113</v>
      </c>
      <c r="N688" s="5" t="inlineStr">
        <is>
          <t>Approved</t>
        </is>
      </c>
      <c r="O688" s="5" t="inlineStr">
        <is>
          <t>Site</t>
        </is>
      </c>
      <c r="P688" s="5" t="inlineStr">
        <is>
          <t>United States</t>
        </is>
      </c>
      <c r="Q688" s="13" t="inlineStr">
        <is>
          <t>S10-US10007</t>
        </is>
      </c>
      <c r="R688" s="5" t="inlineStr">
        <is>
          <t>Aurora Barbera</t>
        </is>
      </c>
      <c r="S688" s="8" t="n">
        <v>46113.41214120371</v>
      </c>
    </row>
    <row r="689" hidden="1" ht="29" customHeight="1">
      <c r="A689" s="15">
        <f>HYPERLINK("https://vtmf.veevavault.com/ui/#doc_info/31319019/1/0", "VTMF-25257113")</f>
        <v/>
      </c>
      <c r="B689" s="20" t="inlineStr">
        <is>
          <t>Yes</t>
        </is>
      </c>
      <c r="C689" s="5" t="inlineStr">
        <is>
          <t>1.0</t>
        </is>
      </c>
      <c r="D689" s="5" t="inlineStr">
        <is>
          <t>GCO</t>
        </is>
      </c>
      <c r="E689" s="5" t="inlineStr">
        <is>
          <t>42847922MDD3003</t>
        </is>
      </c>
      <c r="F689" s="16">
        <f>HYPERLINK("https://vtmf.veevavault.com/ui/#doc_info/31319019/1/0", "42847922MDD3003-BGR-S10-BG10008-Relevant Communications-12 Jan 2026 (v1.0)")</f>
        <v/>
      </c>
      <c r="G689" s="5" t="inlineStr">
        <is>
          <t>Site Management</t>
        </is>
      </c>
      <c r="H689" s="5" t="inlineStr">
        <is>
          <t>General</t>
        </is>
      </c>
      <c r="I689" s="5" t="inlineStr">
        <is>
          <t>Relevant Communications</t>
        </is>
      </c>
      <c r="J689" s="5" t="inlineStr">
        <is>
          <t>Eligibility approved</t>
        </is>
      </c>
      <c r="K689" s="6" t="n">
        <v>79</v>
      </c>
      <c r="L689" s="7" t="n">
        <v>46034</v>
      </c>
      <c r="M689" s="11" t="n">
        <v>46113</v>
      </c>
      <c r="N689" s="5" t="inlineStr">
        <is>
          <t>Approved</t>
        </is>
      </c>
      <c r="O689" s="5" t="inlineStr">
        <is>
          <t>Site</t>
        </is>
      </c>
      <c r="P689" s="5" t="inlineStr">
        <is>
          <t>Bulgaria</t>
        </is>
      </c>
      <c r="Q689" s="13" t="inlineStr">
        <is>
          <t>S10-BG10008</t>
        </is>
      </c>
      <c r="R689" s="5" t="inlineStr">
        <is>
          <t>Aurora Barbera</t>
        </is>
      </c>
      <c r="S689" s="8" t="n">
        <v>46113.41761574074</v>
      </c>
    </row>
    <row r="690" hidden="1" ht="29" customHeight="1">
      <c r="A690" s="15">
        <f>HYPERLINK("https://vtmf.veevavault.com/ui/#doc_info/31319202/1/0", "VTMF-25257234")</f>
        <v/>
      </c>
      <c r="B690" s="20" t="inlineStr">
        <is>
          <t>Yes</t>
        </is>
      </c>
      <c r="C690" s="5" t="inlineStr">
        <is>
          <t>1.0</t>
        </is>
      </c>
      <c r="D690" s="5" t="inlineStr">
        <is>
          <t>GCO</t>
        </is>
      </c>
      <c r="E690" s="5" t="inlineStr">
        <is>
          <t>42847922MDD3003</t>
        </is>
      </c>
      <c r="F690" s="16">
        <f>HYPERLINK("https://vtmf.veevavault.com/ui/#doc_info/31319202/1/0", "42847922MDD3003-USA-S10-US10040-Relevant Communications-06 Aug 2025 (v1.0)")</f>
        <v/>
      </c>
      <c r="G690" s="5" t="inlineStr">
        <is>
          <t>Site Management</t>
        </is>
      </c>
      <c r="H690" s="5" t="inlineStr">
        <is>
          <t>General</t>
        </is>
      </c>
      <c r="I690" s="5" t="inlineStr">
        <is>
          <t>Relevant Communications</t>
        </is>
      </c>
      <c r="J690" s="5" t="inlineStr">
        <is>
          <t>Eligibility approved</t>
        </is>
      </c>
      <c r="K690" s="6" t="n">
        <v>238</v>
      </c>
      <c r="L690" s="7" t="n">
        <v>45875</v>
      </c>
      <c r="M690" s="11" t="n">
        <v>46113</v>
      </c>
      <c r="N690" s="5" t="inlineStr">
        <is>
          <t>Approved</t>
        </is>
      </c>
      <c r="O690" s="5" t="inlineStr">
        <is>
          <t>Site</t>
        </is>
      </c>
      <c r="P690" s="5" t="inlineStr">
        <is>
          <t>United States</t>
        </is>
      </c>
      <c r="Q690" s="13" t="inlineStr">
        <is>
          <t>S10-US10040</t>
        </is>
      </c>
      <c r="R690" s="5" t="inlineStr">
        <is>
          <t>Aurora Barbera</t>
        </is>
      </c>
      <c r="S690" s="8" t="n">
        <v>46113.42554398148</v>
      </c>
    </row>
    <row r="691" hidden="1" ht="29" customHeight="1">
      <c r="A691" s="15">
        <f>HYPERLINK("https://vtmf.veevavault.com/ui/#doc_info/31319158/1/0", "VTMF-25257373")</f>
        <v/>
      </c>
      <c r="B691" s="20" t="inlineStr">
        <is>
          <t>Yes</t>
        </is>
      </c>
      <c r="C691" s="5" t="inlineStr">
        <is>
          <t>1.0</t>
        </is>
      </c>
      <c r="D691" s="5" t="inlineStr">
        <is>
          <t>GCO</t>
        </is>
      </c>
      <c r="E691" s="5" t="inlineStr">
        <is>
          <t>42847922MDD3003</t>
        </is>
      </c>
      <c r="F691" s="16">
        <f>HYPERLINK("https://vtmf.veevavault.com/ui/#doc_info/31319158/1/0", "42847922MDD3003-BRA-S10-BR10002-Relevant Communications-27 Jan 2025 (v1.0)")</f>
        <v/>
      </c>
      <c r="G691" s="5" t="inlineStr">
        <is>
          <t>Site Management</t>
        </is>
      </c>
      <c r="H691" s="5" t="inlineStr">
        <is>
          <t>General</t>
        </is>
      </c>
      <c r="I691" s="5" t="inlineStr">
        <is>
          <t>Relevant Communications</t>
        </is>
      </c>
      <c r="J691" s="5" t="inlineStr">
        <is>
          <t>Eligibility approved</t>
        </is>
      </c>
      <c r="K691" s="6" t="n">
        <v>429</v>
      </c>
      <c r="L691" s="7" t="n">
        <v>45684</v>
      </c>
      <c r="M691" s="11" t="n">
        <v>46113</v>
      </c>
      <c r="N691" s="5" t="inlineStr">
        <is>
          <t>Approved</t>
        </is>
      </c>
      <c r="O691" s="5" t="inlineStr">
        <is>
          <t>Site</t>
        </is>
      </c>
      <c r="P691" s="5" t="inlineStr">
        <is>
          <t>Brazil</t>
        </is>
      </c>
      <c r="Q691" s="13" t="inlineStr">
        <is>
          <t>S10-BR10002</t>
        </is>
      </c>
      <c r="R691" s="5" t="inlineStr">
        <is>
          <t>Aurora Barbera</t>
        </is>
      </c>
      <c r="S691" s="8" t="n">
        <v>46113.43462962963</v>
      </c>
    </row>
    <row r="692" hidden="1" ht="29" customHeight="1">
      <c r="A692" s="15">
        <f>HYPERLINK("https://vtmf.veevavault.com/ui/#doc_info/31320112/1/0", "VTMF-25258076")</f>
        <v/>
      </c>
      <c r="B692" s="20" t="inlineStr">
        <is>
          <t>Yes</t>
        </is>
      </c>
      <c r="C692" s="5" t="inlineStr">
        <is>
          <t>1.0</t>
        </is>
      </c>
      <c r="D692" s="5" t="inlineStr">
        <is>
          <t>GCO</t>
        </is>
      </c>
      <c r="E692" s="5" t="inlineStr">
        <is>
          <t>42847922MDD3003</t>
        </is>
      </c>
      <c r="F692" s="16">
        <f>HYPERLINK("https://vtmf.veevavault.com/ui/#doc_info/31320112/1/0", "42847922MDD3003-BGR-S10-BG10012-Relevant Communications-04 Jun 2025 (v1.0)")</f>
        <v/>
      </c>
      <c r="G692" s="5" t="inlineStr">
        <is>
          <t>Site Management</t>
        </is>
      </c>
      <c r="H692" s="5" t="inlineStr">
        <is>
          <t>General</t>
        </is>
      </c>
      <c r="I692" s="5" t="inlineStr">
        <is>
          <t>Relevant Communications</t>
        </is>
      </c>
      <c r="J692" s="5" t="inlineStr">
        <is>
          <t>Screening extension request</t>
        </is>
      </c>
      <c r="K692" s="6" t="n">
        <v>301</v>
      </c>
      <c r="L692" s="7" t="n">
        <v>45812</v>
      </c>
      <c r="M692" s="11" t="n">
        <v>46113</v>
      </c>
      <c r="N692" s="5" t="inlineStr">
        <is>
          <t>Approved</t>
        </is>
      </c>
      <c r="O692" s="5" t="inlineStr">
        <is>
          <t>Site</t>
        </is>
      </c>
      <c r="P692" s="5" t="inlineStr">
        <is>
          <t>Bulgaria</t>
        </is>
      </c>
      <c r="Q692" s="13" t="inlineStr">
        <is>
          <t>S10-BG10012</t>
        </is>
      </c>
      <c r="R692" s="5" t="inlineStr">
        <is>
          <t>Aurora Barbera</t>
        </is>
      </c>
      <c r="S692" s="8" t="n">
        <v>46113.52275462963</v>
      </c>
    </row>
    <row r="693" hidden="1" ht="29" customHeight="1">
      <c r="A693" s="15">
        <f>HYPERLINK("https://vtmf.veevavault.com/ui/#doc_info/31321318/1/0", "VTMF-25259036")</f>
        <v/>
      </c>
      <c r="B693" s="19" t="inlineStr">
        <is>
          <t>No</t>
        </is>
      </c>
      <c r="C693" s="5" t="inlineStr">
        <is>
          <t>1.0</t>
        </is>
      </c>
      <c r="D693" s="5" t="inlineStr">
        <is>
          <t>GCO</t>
        </is>
      </c>
      <c r="E693" s="5" t="inlineStr">
        <is>
          <t>42847922MDD3003</t>
        </is>
      </c>
      <c r="F693" s="16">
        <f>HYPERLINK("https://vtmf.veevavault.com/ui/#doc_info/31321318/1/0", "42847922MDD3003-BGR-S10-BG10010-IP Destruction Form-23 Feb 2026 (v1.0)")</f>
        <v/>
      </c>
      <c r="G693" s="5" t="inlineStr">
        <is>
          <t>IP and Trial Supplies</t>
        </is>
      </c>
      <c r="H693" s="5" t="inlineStr">
        <is>
          <t>IP Documentation</t>
        </is>
      </c>
      <c r="I693" s="5" t="inlineStr">
        <is>
          <t>IP Destruction Form</t>
        </is>
      </c>
      <c r="J693" s="5" t="inlineStr">
        <is>
          <t>IP Destruction Form Basket ID 240_23Feb2026</t>
        </is>
      </c>
      <c r="K693" s="6" t="n">
        <v>37</v>
      </c>
      <c r="L693" s="7" t="n">
        <v>46076</v>
      </c>
      <c r="M693" s="11" t="n">
        <v>46113</v>
      </c>
      <c r="N693" s="5" t="inlineStr">
        <is>
          <t>Approved</t>
        </is>
      </c>
      <c r="O693" s="5" t="inlineStr">
        <is>
          <t>Site</t>
        </is>
      </c>
      <c r="P693" s="5" t="inlineStr">
        <is>
          <t>Bulgaria</t>
        </is>
      </c>
      <c r="Q693" s="13" t="inlineStr">
        <is>
          <t>S10-BG10010</t>
        </is>
      </c>
      <c r="R693" s="5" t="inlineStr">
        <is>
          <t>Elizabet Danova</t>
        </is>
      </c>
      <c r="S693" s="8" t="n">
        <v>46113.62951388889</v>
      </c>
    </row>
    <row r="694" hidden="1" ht="29" customHeight="1">
      <c r="A694" s="15">
        <f>HYPERLINK("https://vtmf.veevavault.com/ui/#doc_info/31322123/1/0", "VTMF-25259672")</f>
        <v/>
      </c>
      <c r="B694" s="20" t="inlineStr">
        <is>
          <t>Yes</t>
        </is>
      </c>
      <c r="C694" s="5" t="inlineStr">
        <is>
          <t>1.0</t>
        </is>
      </c>
      <c r="D694" s="5" t="inlineStr">
        <is>
          <t>GCO</t>
        </is>
      </c>
      <c r="E694" s="5" t="inlineStr">
        <is>
          <t>42847922MDD3003</t>
        </is>
      </c>
      <c r="F694" s="16">
        <f>HYPERLINK("https://vtmf.veevavault.com/ui/#doc_info/31322123/1/0", "42847922MDD3003-PRT-S10-PT10001-Relevant Communications-19 Dec 2025 (v1.0)")</f>
        <v/>
      </c>
      <c r="G694" s="5" t="inlineStr">
        <is>
          <t>Site Management</t>
        </is>
      </c>
      <c r="H694" s="5" t="inlineStr">
        <is>
          <t>General</t>
        </is>
      </c>
      <c r="I694" s="5" t="inlineStr">
        <is>
          <t>Relevant Communications</t>
        </is>
      </c>
      <c r="J694" s="5" t="inlineStr">
        <is>
          <t>Email_Rater Training and Certification Site Status Summary V#4</t>
        </is>
      </c>
      <c r="K694" s="6" t="n">
        <v>103</v>
      </c>
      <c r="L694" s="7" t="n">
        <v>46010</v>
      </c>
      <c r="M694" s="11" t="n">
        <v>46113</v>
      </c>
      <c r="N694" s="5" t="inlineStr">
        <is>
          <t>Approved</t>
        </is>
      </c>
      <c r="O694" s="5" t="inlineStr">
        <is>
          <t>Site</t>
        </is>
      </c>
      <c r="P694" s="5" t="inlineStr">
        <is>
          <t>Portugal</t>
        </is>
      </c>
      <c r="Q694" s="13" t="inlineStr">
        <is>
          <t>S10-PT10001</t>
        </is>
      </c>
      <c r="R694" s="5" t="inlineStr">
        <is>
          <t>Jose Luis Alvarez Doval</t>
        </is>
      </c>
      <c r="S694" s="8" t="n">
        <v>46113.6915625</v>
      </c>
    </row>
    <row r="695" hidden="1" ht="29" customHeight="1">
      <c r="A695" s="15">
        <f>HYPERLINK("https://vtmf.veevavault.com/ui/#doc_info/31328334/1/0", "VTMF-25264919")</f>
        <v/>
      </c>
      <c r="B695" s="20" t="inlineStr">
        <is>
          <t>Yes</t>
        </is>
      </c>
      <c r="C695" s="5" t="inlineStr">
        <is>
          <t>1.0</t>
        </is>
      </c>
      <c r="D695" s="5" t="inlineStr">
        <is>
          <t>GCO</t>
        </is>
      </c>
      <c r="E695" s="5" t="inlineStr">
        <is>
          <t>42847922MDD3003</t>
        </is>
      </c>
      <c r="F695" s="16">
        <f>HYPERLINK("https://vtmf.veevavault.com/ui/#doc_info/31328334/1/0", "42847922MDD3003-USA-S10-US10101-Relevant Communications-15 Sep 2025 (v1.0)")</f>
        <v/>
      </c>
      <c r="G695" s="5" t="inlineStr">
        <is>
          <t>Site Management</t>
        </is>
      </c>
      <c r="H695" s="5" t="inlineStr">
        <is>
          <t>General</t>
        </is>
      </c>
      <c r="I695" s="5" t="inlineStr">
        <is>
          <t>Relevant Communications</t>
        </is>
      </c>
      <c r="J695" s="5" t="inlineStr">
        <is>
          <t>Eligibility status</t>
        </is>
      </c>
      <c r="K695" s="6" t="n">
        <v>199</v>
      </c>
      <c r="L695" s="7" t="n">
        <v>45915</v>
      </c>
      <c r="M695" s="11" t="n">
        <v>46114</v>
      </c>
      <c r="N695" s="5" t="inlineStr">
        <is>
          <t>Approved</t>
        </is>
      </c>
      <c r="O695" s="5" t="inlineStr">
        <is>
          <t>Site</t>
        </is>
      </c>
      <c r="P695" s="5" t="inlineStr">
        <is>
          <t>United States</t>
        </is>
      </c>
      <c r="Q695" s="13" t="inlineStr">
        <is>
          <t>S10-US10101</t>
        </is>
      </c>
      <c r="R695" s="5" t="inlineStr">
        <is>
          <t>Aurora Barbera</t>
        </is>
      </c>
      <c r="S695" s="8" t="n">
        <v>46114.45018518518</v>
      </c>
    </row>
    <row r="696" hidden="1" ht="29" customHeight="1">
      <c r="A696" s="15">
        <f>HYPERLINK("https://vtmf.veevavault.com/ui/#doc_info/31329672/1/0", "VTMF-25266052")</f>
        <v/>
      </c>
      <c r="B696" s="20" t="inlineStr">
        <is>
          <t>Yes</t>
        </is>
      </c>
      <c r="C696" s="5" t="inlineStr">
        <is>
          <t>1.0</t>
        </is>
      </c>
      <c r="D696" s="5" t="inlineStr">
        <is>
          <t>GCO</t>
        </is>
      </c>
      <c r="E696" s="5" t="inlineStr">
        <is>
          <t>42847922MDD3003</t>
        </is>
      </c>
      <c r="F696" s="16">
        <f>HYPERLINK("https://vtmf.veevavault.com/ui/#doc_info/31329672/1/0", "42847922MDD3003-USA-S10-US10108-Relevant Communications-25 Nov 2024 (v1.0)")</f>
        <v/>
      </c>
      <c r="G696" s="5" t="inlineStr">
        <is>
          <t>Site Management</t>
        </is>
      </c>
      <c r="H696" s="5" t="inlineStr">
        <is>
          <t>General</t>
        </is>
      </c>
      <c r="I696" s="5" t="inlineStr">
        <is>
          <t>Relevant Communications</t>
        </is>
      </c>
      <c r="J696" s="5" t="inlineStr">
        <is>
          <t>Subject visit</t>
        </is>
      </c>
      <c r="K696" s="6" t="n">
        <v>493</v>
      </c>
      <c r="L696" s="7" t="n">
        <v>45621</v>
      </c>
      <c r="M696" s="11" t="n">
        <v>46114</v>
      </c>
      <c r="N696" s="5" t="inlineStr">
        <is>
          <t>Approved</t>
        </is>
      </c>
      <c r="O696" s="5" t="inlineStr">
        <is>
          <t>Site</t>
        </is>
      </c>
      <c r="P696" s="5" t="inlineStr">
        <is>
          <t>United States</t>
        </is>
      </c>
      <c r="Q696" s="13" t="inlineStr">
        <is>
          <t>S10-US10108</t>
        </is>
      </c>
      <c r="R696" s="5" t="inlineStr">
        <is>
          <t>Aurora Barbera</t>
        </is>
      </c>
      <c r="S696" s="8" t="n">
        <v>46114.60090277778</v>
      </c>
    </row>
    <row r="697" hidden="1" ht="29" customHeight="1">
      <c r="A697" s="15">
        <f>HYPERLINK("https://vtmf.veevavault.com/ui/#doc_info/31374167/1/0", "VTMF-25308937")</f>
        <v/>
      </c>
      <c r="B697" s="20" t="inlineStr">
        <is>
          <t>Yes</t>
        </is>
      </c>
      <c r="C697" s="5" t="inlineStr">
        <is>
          <t>1.0</t>
        </is>
      </c>
      <c r="D697" s="5" t="inlineStr">
        <is>
          <t>GCO</t>
        </is>
      </c>
      <c r="E697" s="5" t="inlineStr">
        <is>
          <t>42847922MDD3003</t>
        </is>
      </c>
      <c r="F697" s="16">
        <f>HYPERLINK("https://vtmf.veevavault.com/ui/#doc_info/31374167/1/0", "42847922MDD3003-BRA-S10-BR10004-IRB/IEC Approval-24 Feb 2026 (v1.0)")</f>
        <v/>
      </c>
      <c r="G697" s="5" t="inlineStr">
        <is>
          <t>IRB/IEC and other Approvals</t>
        </is>
      </c>
      <c r="H697" s="5" t="inlineStr">
        <is>
          <t>IRB/IEC Trial Approval</t>
        </is>
      </c>
      <c r="I697" s="5" t="inlineStr">
        <is>
          <t>IRB/IEC Approval</t>
        </is>
      </c>
      <c r="J697" s="5" t="inlineStr">
        <is>
          <t>IEc_Local_contingency_Letter_Notification_Letter_3rd Partial Report_Submitted on 24Feb2026; 24Feb2026</t>
        </is>
      </c>
      <c r="K697" s="6" t="n">
        <v>41</v>
      </c>
      <c r="L697" s="7" t="n">
        <v>46077</v>
      </c>
      <c r="M697" s="11" t="n">
        <v>46118</v>
      </c>
      <c r="N697" s="5" t="inlineStr">
        <is>
          <t>Approved</t>
        </is>
      </c>
      <c r="O697" s="5" t="inlineStr">
        <is>
          <t>Site</t>
        </is>
      </c>
      <c r="P697" s="5" t="inlineStr">
        <is>
          <t>Brazil</t>
        </is>
      </c>
      <c r="Q697" s="13" t="inlineStr">
        <is>
          <t>S10-BR10004</t>
        </is>
      </c>
      <c r="R697" s="5" t="inlineStr">
        <is>
          <t>Maria Gabriela Mouallem Brandão</t>
        </is>
      </c>
      <c r="S697" s="8" t="n">
        <v>46118.73193287037</v>
      </c>
    </row>
    <row r="698" hidden="1" ht="29" customHeight="1">
      <c r="A698" s="15">
        <f>HYPERLINK("https://vtmf.veevavault.com/ui/#doc_info/31389041/1/0", "VTMF-25323833")</f>
        <v/>
      </c>
      <c r="B698" s="19" t="inlineStr">
        <is>
          <t>No</t>
        </is>
      </c>
      <c r="C698" s="5" t="inlineStr">
        <is>
          <t>1.0</t>
        </is>
      </c>
      <c r="D698" s="5" t="inlineStr">
        <is>
          <t>GCO</t>
        </is>
      </c>
      <c r="E698" s="5" t="inlineStr">
        <is>
          <t>42847922MDD3003</t>
        </is>
      </c>
      <c r="F698" s="16">
        <f>HYPERLINK("https://vtmf.veevavault.com/ui/#doc_info/31389041/1/0", "42847922MDD3003-USA--Certificate of Destruction-20 Nov 2025 (v1.0)")</f>
        <v/>
      </c>
      <c r="G698" s="5" t="inlineStr">
        <is>
          <t>IP and Trial Supplies</t>
        </is>
      </c>
      <c r="H698" s="5" t="inlineStr">
        <is>
          <t>IP Documentation</t>
        </is>
      </c>
      <c r="I698" s="5" t="inlineStr">
        <is>
          <t>Certificate of Destruction</t>
        </is>
      </c>
      <c r="J698" s="5" t="inlineStr">
        <is>
          <t>Destruction Balance</t>
        </is>
      </c>
      <c r="K698" s="6" t="n">
        <v>137</v>
      </c>
      <c r="L698" s="7" t="n">
        <v>45981</v>
      </c>
      <c r="M698" s="11" t="n">
        <v>46118</v>
      </c>
      <c r="N698" s="5" t="inlineStr">
        <is>
          <t>Approved</t>
        </is>
      </c>
      <c r="O698" s="5" t="inlineStr">
        <is>
          <t>Country</t>
        </is>
      </c>
      <c r="P698" s="5" t="inlineStr">
        <is>
          <t>United States</t>
        </is>
      </c>
      <c r="Q698" s="13" t="inlineStr"/>
      <c r="R698" s="5" t="inlineStr">
        <is>
          <t>Juliet Leshner</t>
        </is>
      </c>
      <c r="S698" s="8" t="n">
        <v>46118.85761574074</v>
      </c>
    </row>
    <row r="699" hidden="1" ht="29" customHeight="1">
      <c r="A699" s="15">
        <f>HYPERLINK("https://vtmf.veevavault.com/ui/#doc_info/31395700/1/0", "VTMF-25329634")</f>
        <v/>
      </c>
      <c r="B699" s="19" t="inlineStr">
        <is>
          <t>No</t>
        </is>
      </c>
      <c r="C699" s="5" t="inlineStr">
        <is>
          <t>1.0</t>
        </is>
      </c>
      <c r="D699" s="5" t="inlineStr">
        <is>
          <t>GCO</t>
        </is>
      </c>
      <c r="E699" s="5" t="inlineStr">
        <is>
          <t>42847922MDD3003</t>
        </is>
      </c>
      <c r="F699" s="16">
        <f>HYPERLINK("https://vtmf.veevavault.com/ui/#doc_info/31395700/1/0", "42847922MDD3003-BRA--Insurance (v1.0)")</f>
        <v/>
      </c>
      <c r="G699" s="5" t="inlineStr">
        <is>
          <t>Central Trial Documents</t>
        </is>
      </c>
      <c r="H699" s="5" t="inlineStr">
        <is>
          <t>Trial Documents</t>
        </is>
      </c>
      <c r="I699" s="5" t="inlineStr">
        <is>
          <t>Insurance</t>
        </is>
      </c>
      <c r="J699" s="5" t="inlineStr">
        <is>
          <t>42847922MDD3003-BRA--Renewal Insurance Valid From 01Mar2026 Until 01Mar2027_issued 05Mar2026</t>
        </is>
      </c>
      <c r="K699" s="6" t="n">
        <v>33</v>
      </c>
      <c r="L699" s="7" t="n">
        <v>46086</v>
      </c>
      <c r="M699" s="11" t="n">
        <v>46119</v>
      </c>
      <c r="N699" s="5" t="inlineStr">
        <is>
          <t>Approved</t>
        </is>
      </c>
      <c r="O699" s="5" t="inlineStr">
        <is>
          <t>Country</t>
        </is>
      </c>
      <c r="P699" s="5" t="inlineStr">
        <is>
          <t>Brazil</t>
        </is>
      </c>
      <c r="Q699" s="13" t="inlineStr"/>
      <c r="R699" s="5" t="inlineStr">
        <is>
          <t>PATRICIA CAHALEY</t>
        </is>
      </c>
      <c r="S699" s="8" t="n">
        <v>46119.61920138889</v>
      </c>
    </row>
    <row r="700" hidden="1" ht="29" customHeight="1">
      <c r="A700" s="15">
        <f>HYPERLINK("https://vtmf.veevavault.com/ui/#doc_info/31396214/1/0", "VTMF-25330003")</f>
        <v/>
      </c>
      <c r="B700" s="20" t="inlineStr">
        <is>
          <t>Yes</t>
        </is>
      </c>
      <c r="C700" s="5" t="inlineStr">
        <is>
          <t>1.0</t>
        </is>
      </c>
      <c r="D700" s="5" t="inlineStr">
        <is>
          <t>GCO</t>
        </is>
      </c>
      <c r="E700" s="5" t="inlineStr">
        <is>
          <t>42847922MDD3003</t>
        </is>
      </c>
      <c r="F700" s="16">
        <f>HYPERLINK("https://vtmf.veevavault.com/ui/#doc_info/31396214/1/0", "42847922MDD3003-PRT-S10-PT10012-Relevant Communications-26 Feb 2026 (v1.0)")</f>
        <v/>
      </c>
      <c r="G700" s="5" t="inlineStr">
        <is>
          <t>Site Management</t>
        </is>
      </c>
      <c r="H700" s="5" t="inlineStr">
        <is>
          <t>General</t>
        </is>
      </c>
      <c r="I700" s="5" t="inlineStr">
        <is>
          <t>Relevant Communications</t>
        </is>
      </c>
      <c r="J700" s="5" t="inlineStr">
        <is>
          <t>Email_Site Visit Follow-Up - 06 &amp; 09Feb2026</t>
        </is>
      </c>
      <c r="K700" s="6" t="n">
        <v>40</v>
      </c>
      <c r="L700" s="7" t="n">
        <v>46079</v>
      </c>
      <c r="M700" s="11" t="n">
        <v>46119</v>
      </c>
      <c r="N700" s="5" t="inlineStr">
        <is>
          <t>Approved</t>
        </is>
      </c>
      <c r="O700" s="5" t="inlineStr">
        <is>
          <t>Site</t>
        </is>
      </c>
      <c r="P700" s="5" t="inlineStr">
        <is>
          <t>Portugal</t>
        </is>
      </c>
      <c r="Q700" s="13" t="inlineStr">
        <is>
          <t>S10-PT10012</t>
        </is>
      </c>
      <c r="R700" s="5" t="inlineStr">
        <is>
          <t>Ruben Ayora</t>
        </is>
      </c>
      <c r="S700" s="8" t="n">
        <v>46119.64866898148</v>
      </c>
    </row>
    <row r="701" hidden="1" ht="29" customHeight="1">
      <c r="A701" s="15">
        <f>HYPERLINK("https://vtmf.veevavault.com/ui/#doc_info/31397306/1/0", "VTMF-25330842")</f>
        <v/>
      </c>
      <c r="B701" s="19" t="inlineStr">
        <is>
          <t>No</t>
        </is>
      </c>
      <c r="C701" s="5" t="inlineStr">
        <is>
          <t>1.0</t>
        </is>
      </c>
      <c r="D701" s="5" t="inlineStr">
        <is>
          <t>GCO</t>
        </is>
      </c>
      <c r="E701" s="5" t="inlineStr">
        <is>
          <t>42847922MDD3003</t>
        </is>
      </c>
      <c r="F701" s="16">
        <f>HYPERLINK("https://vtmf.veevavault.com/ui/#doc_info/31397306/1/0", "42847922MDD3003-CZE-S10-CZ10012-Site Signature Sheet-01 Dec 2025 (v1.0)")</f>
        <v/>
      </c>
      <c r="G701" s="5" t="inlineStr">
        <is>
          <t>Site Management</t>
        </is>
      </c>
      <c r="H701" s="5" t="inlineStr">
        <is>
          <t>Site Set-up Documentation</t>
        </is>
      </c>
      <c r="I701" s="5" t="inlineStr">
        <is>
          <t>Site Signature Sheet</t>
        </is>
      </c>
      <c r="J701" s="5" t="inlineStr">
        <is>
          <t>Delegation Log_Urban, A._01Dec2025</t>
        </is>
      </c>
      <c r="K701" s="6" t="n">
        <v>127</v>
      </c>
      <c r="L701" s="7" t="n">
        <v>45992</v>
      </c>
      <c r="M701" s="11" t="n">
        <v>46119</v>
      </c>
      <c r="N701" s="5" t="inlineStr">
        <is>
          <t>Approved</t>
        </is>
      </c>
      <c r="O701" s="5" t="inlineStr">
        <is>
          <t>Site</t>
        </is>
      </c>
      <c r="P701" s="5" t="inlineStr">
        <is>
          <t>Czech Republic</t>
        </is>
      </c>
      <c r="Q701" s="13" t="inlineStr">
        <is>
          <t>S10-CZ10012</t>
        </is>
      </c>
      <c r="R701" s="5" t="inlineStr">
        <is>
          <t>Vera Matousková</t>
        </is>
      </c>
      <c r="S701" s="8" t="n">
        <v>46119.72601851852</v>
      </c>
    </row>
    <row r="702" hidden="1" ht="29" customHeight="1">
      <c r="A702" s="15">
        <f>HYPERLINK("https://vtmf.veevavault.com/ui/#doc_info/31397209/1/0", "VTMF-25331074")</f>
        <v/>
      </c>
      <c r="B702" s="20" t="inlineStr">
        <is>
          <t>Yes</t>
        </is>
      </c>
      <c r="C702" s="5" t="inlineStr">
        <is>
          <t>1.0</t>
        </is>
      </c>
      <c r="D702" s="5" t="inlineStr">
        <is>
          <t>GCO</t>
        </is>
      </c>
      <c r="E702" s="5" t="inlineStr">
        <is>
          <t>42847922MDD3003</t>
        </is>
      </c>
      <c r="F702" s="16">
        <f>HYPERLINK("https://vtmf.veevavault.com/ui/#doc_info/31397209/1/0", "42847922MDD3003-PRT-S10-PT10014-IRT User Account Management-02 Mar 2026 (v1.0)")</f>
        <v/>
      </c>
      <c r="G702" s="5" t="inlineStr">
        <is>
          <t>IP and Trial Supplies</t>
        </is>
      </c>
      <c r="H702" s="5" t="inlineStr">
        <is>
          <t>Interactive Response Technology</t>
        </is>
      </c>
      <c r="I702" s="5" t="inlineStr">
        <is>
          <t>IRT User Account Management</t>
        </is>
      </c>
      <c r="J702" s="5" t="inlineStr">
        <is>
          <t>IRT System User Account Management - Notifications - Site Close Alert</t>
        </is>
      </c>
      <c r="K702" s="6" t="n">
        <v>36</v>
      </c>
      <c r="L702" s="7" t="n">
        <v>46083</v>
      </c>
      <c r="M702" s="11" t="n">
        <v>46119</v>
      </c>
      <c r="N702" s="5" t="inlineStr">
        <is>
          <t>Approved</t>
        </is>
      </c>
      <c r="O702" s="5" t="inlineStr">
        <is>
          <t>Site</t>
        </is>
      </c>
      <c r="P702" s="5" t="inlineStr">
        <is>
          <t>Portugal</t>
        </is>
      </c>
      <c r="Q702" s="13" t="inlineStr">
        <is>
          <t>S10-PT10014</t>
        </is>
      </c>
      <c r="R702" s="5" t="inlineStr">
        <is>
          <t>Ruben Ayora</t>
        </is>
      </c>
      <c r="S702" s="8" t="n">
        <v>46119.72511574074</v>
      </c>
    </row>
    <row r="703" hidden="1" ht="29" customHeight="1">
      <c r="A703" s="15">
        <f>HYPERLINK("https://vtmf.veevavault.com/ui/#doc_info/31397211/1/0", "VTMF-25331206")</f>
        <v/>
      </c>
      <c r="B703" s="20" t="inlineStr">
        <is>
          <t>Yes</t>
        </is>
      </c>
      <c r="C703" s="5" t="inlineStr">
        <is>
          <t>1.0</t>
        </is>
      </c>
      <c r="D703" s="5" t="inlineStr">
        <is>
          <t>GCO</t>
        </is>
      </c>
      <c r="E703" s="5" t="inlineStr">
        <is>
          <t>42847922MDD3003</t>
        </is>
      </c>
      <c r="F703" s="16">
        <f>HYPERLINK("https://vtmf.veevavault.com/ui/#doc_info/31397211/1/0", "42847922MDD3003-PRT-S10-PT10014-Relevant Communications-27 Feb 2026 (v1.0)")</f>
        <v/>
      </c>
      <c r="G703" s="5" t="inlineStr">
        <is>
          <t>Site Management</t>
        </is>
      </c>
      <c r="H703" s="5" t="inlineStr">
        <is>
          <t>General</t>
        </is>
      </c>
      <c r="I703" s="5" t="inlineStr">
        <is>
          <t>Relevant Communications</t>
        </is>
      </c>
      <c r="J703" s="5" t="inlineStr">
        <is>
          <t>Email_Patient PT100140006_Medical Eligibility Approval - Site Informed</t>
        </is>
      </c>
      <c r="K703" s="6" t="n">
        <v>39</v>
      </c>
      <c r="L703" s="7" t="n">
        <v>46080</v>
      </c>
      <c r="M703" s="11" t="n">
        <v>46119</v>
      </c>
      <c r="N703" s="5" t="inlineStr">
        <is>
          <t>Approved</t>
        </is>
      </c>
      <c r="O703" s="5" t="inlineStr">
        <is>
          <t>Site</t>
        </is>
      </c>
      <c r="P703" s="5" t="inlineStr">
        <is>
          <t>Portugal</t>
        </is>
      </c>
      <c r="Q703" s="13" t="inlineStr">
        <is>
          <t>S10-PT10014</t>
        </is>
      </c>
      <c r="R703" s="5" t="inlineStr">
        <is>
          <t>Ruben Ayora</t>
        </is>
      </c>
      <c r="S703" s="8" t="n">
        <v>46119.72512731481</v>
      </c>
    </row>
    <row r="704" hidden="1" ht="29" customHeight="1">
      <c r="A704" s="15">
        <f>HYPERLINK("https://vtmf.veevavault.com/ui/#doc_info/31397212/1/0", "VTMF-25331377")</f>
        <v/>
      </c>
      <c r="B704" s="20" t="inlineStr">
        <is>
          <t>Yes</t>
        </is>
      </c>
      <c r="C704" s="5" t="inlineStr">
        <is>
          <t>1.0</t>
        </is>
      </c>
      <c r="D704" s="5" t="inlineStr">
        <is>
          <t>GCO</t>
        </is>
      </c>
      <c r="E704" s="5" t="inlineStr">
        <is>
          <t>42847922MDD3003</t>
        </is>
      </c>
      <c r="F704" s="16">
        <f>HYPERLINK("https://vtmf.veevavault.com/ui/#doc_info/31397212/1/0", "42847922MDD3003-PRT-S10-PT10014-Relevant Communications-02 Mar 2026 (v1.0)")</f>
        <v/>
      </c>
      <c r="G704" s="5" t="inlineStr">
        <is>
          <t>Site Management</t>
        </is>
      </c>
      <c r="H704" s="5" t="inlineStr">
        <is>
          <t>General</t>
        </is>
      </c>
      <c r="I704" s="5" t="inlineStr">
        <is>
          <t>Relevant Communications</t>
        </is>
      </c>
      <c r="J704" s="5" t="inlineStr">
        <is>
          <t>Email_Communication and Guidance Regarding Switch to Part 2 of the study - Site Not Selected</t>
        </is>
      </c>
      <c r="K704" s="6" t="n">
        <v>36</v>
      </c>
      <c r="L704" s="7" t="n">
        <v>46083</v>
      </c>
      <c r="M704" s="11" t="n">
        <v>46119</v>
      </c>
      <c r="N704" s="5" t="inlineStr">
        <is>
          <t>Approved</t>
        </is>
      </c>
      <c r="O704" s="5" t="inlineStr">
        <is>
          <t>Site</t>
        </is>
      </c>
      <c r="P704" s="5" t="inlineStr">
        <is>
          <t>Portugal</t>
        </is>
      </c>
      <c r="Q704" s="13" t="inlineStr">
        <is>
          <t>S10-PT10014</t>
        </is>
      </c>
      <c r="R704" s="5" t="inlineStr">
        <is>
          <t>Ruben Ayora</t>
        </is>
      </c>
      <c r="S704" s="8" t="n">
        <v>46119.72512731481</v>
      </c>
    </row>
    <row r="705" hidden="1" ht="29" customHeight="1">
      <c r="A705" s="15">
        <f>HYPERLINK("https://vtmf.veevavault.com/ui/#doc_info/30968843/1/0", "VTMF-25334719")</f>
        <v/>
      </c>
      <c r="B705" s="19" t="inlineStr">
        <is>
          <t>No</t>
        </is>
      </c>
      <c r="C705" s="5" t="inlineStr">
        <is>
          <t>1.0</t>
        </is>
      </c>
      <c r="D705" s="5" t="inlineStr">
        <is>
          <t>GCO</t>
        </is>
      </c>
      <c r="E705" s="5" t="inlineStr">
        <is>
          <t>42847922MDD3003</t>
        </is>
      </c>
      <c r="F705" s="16">
        <f>HYPERLINK("https://vtmf.veevavault.com/ui/#doc_info/30968843/1/0", "42847922MDD3003-ARG-S10-AR10012-Non-IP Shipment Documentation-02 Feb 2026 (v1.0)")</f>
        <v/>
      </c>
      <c r="G705" s="5" t="inlineStr">
        <is>
          <t>IP and Trial Supplies</t>
        </is>
      </c>
      <c r="H705" s="5" t="inlineStr">
        <is>
          <t>Non-IP Documentation</t>
        </is>
      </c>
      <c r="I705" s="5" t="inlineStr">
        <is>
          <t>Non-IP Shipment Documentation</t>
        </is>
      </c>
      <c r="J705" s="5" t="inlineStr">
        <is>
          <t>Non IP shipment patient material</t>
        </is>
      </c>
      <c r="K705" s="6" t="n">
        <v>64</v>
      </c>
      <c r="L705" s="7" t="n">
        <v>46055</v>
      </c>
      <c r="M705" s="11" t="n">
        <v>46119</v>
      </c>
      <c r="N705" s="5" t="inlineStr">
        <is>
          <t>Approved</t>
        </is>
      </c>
      <c r="O705" s="5" t="inlineStr">
        <is>
          <t>Site</t>
        </is>
      </c>
      <c r="P705" s="5" t="inlineStr">
        <is>
          <t>Argentina</t>
        </is>
      </c>
      <c r="Q705" s="13" t="inlineStr">
        <is>
          <t>S10-AR10012</t>
        </is>
      </c>
      <c r="R705" s="5" t="inlineStr">
        <is>
          <t>LEANDRO LOPEZ</t>
        </is>
      </c>
      <c r="S705" s="8" t="n">
        <v>46064.69986111111</v>
      </c>
    </row>
    <row r="706" hidden="1" ht="29" customHeight="1">
      <c r="A706" s="15">
        <f>HYPERLINK("https://vtmf.veevavault.com/ui/#doc_info/30968840/1/0", "VTMF-25334727")</f>
        <v/>
      </c>
      <c r="B706" s="19" t="inlineStr">
        <is>
          <t>No</t>
        </is>
      </c>
      <c r="C706" s="5" t="inlineStr">
        <is>
          <t>1.0</t>
        </is>
      </c>
      <c r="D706" s="5" t="inlineStr">
        <is>
          <t>GCO</t>
        </is>
      </c>
      <c r="E706" s="5" t="inlineStr">
        <is>
          <t>42847922MDD3003</t>
        </is>
      </c>
      <c r="F706" s="16">
        <f>HYPERLINK("https://vtmf.veevavault.com/ui/#doc_info/30968840/1/0", "42847922MDD3003-ARG-S10-AR10012-Non-IP Shipment Documentation-15 Jan 2026 (v1.0)")</f>
        <v/>
      </c>
      <c r="G706" s="5" t="inlineStr">
        <is>
          <t>IP and Trial Supplies</t>
        </is>
      </c>
      <c r="H706" s="5" t="inlineStr">
        <is>
          <t>Non-IP Documentation</t>
        </is>
      </c>
      <c r="I706" s="5" t="inlineStr">
        <is>
          <t>Non-IP Shipment Documentation</t>
        </is>
      </c>
      <c r="J706" s="5" t="inlineStr">
        <is>
          <t>non IP patient material</t>
        </is>
      </c>
      <c r="K706" s="6" t="n">
        <v>82</v>
      </c>
      <c r="L706" s="7" t="n">
        <v>46037</v>
      </c>
      <c r="M706" s="11" t="n">
        <v>46119</v>
      </c>
      <c r="N706" s="5" t="inlineStr">
        <is>
          <t>Approved</t>
        </is>
      </c>
      <c r="O706" s="5" t="inlineStr">
        <is>
          <t>Site</t>
        </is>
      </c>
      <c r="P706" s="5" t="inlineStr">
        <is>
          <t>Argentina</t>
        </is>
      </c>
      <c r="Q706" s="13" t="inlineStr">
        <is>
          <t>S10-AR10012</t>
        </is>
      </c>
      <c r="R706" s="5" t="inlineStr">
        <is>
          <t>LEANDRO LOPEZ</t>
        </is>
      </c>
      <c r="S706" s="8" t="n">
        <v>46064.69912037037</v>
      </c>
    </row>
    <row r="707" hidden="1" ht="29" customHeight="1">
      <c r="A707" s="15">
        <f>HYPERLINK("https://vtmf.veevavault.com/ui/#doc_info/30968831/1/0", "VTMF-25336361")</f>
        <v/>
      </c>
      <c r="B707" s="19" t="inlineStr">
        <is>
          <t>No</t>
        </is>
      </c>
      <c r="C707" s="5" t="inlineStr">
        <is>
          <t>1.0</t>
        </is>
      </c>
      <c r="D707" s="5" t="inlineStr">
        <is>
          <t>GCO</t>
        </is>
      </c>
      <c r="E707" s="5" t="inlineStr">
        <is>
          <t>42847922MDD3003</t>
        </is>
      </c>
      <c r="F707" s="16">
        <f>HYPERLINK("https://vtmf.veevavault.com/ui/#doc_info/30968831/1/0", "42847922MDD3003-ARG-S10-AR10012-Non-IP Shipment Documentation-13 Jan 2026 (v1.0)")</f>
        <v/>
      </c>
      <c r="G707" s="5" t="inlineStr">
        <is>
          <t>IP and Trial Supplies</t>
        </is>
      </c>
      <c r="H707" s="5" t="inlineStr">
        <is>
          <t>Non-IP Documentation</t>
        </is>
      </c>
      <c r="I707" s="5" t="inlineStr">
        <is>
          <t>Non-IP Shipment Documentation</t>
        </is>
      </c>
      <c r="J707" s="5" t="inlineStr">
        <is>
          <t>Non ip shipment patient material</t>
        </is>
      </c>
      <c r="K707" s="6" t="n">
        <v>84</v>
      </c>
      <c r="L707" s="7" t="n">
        <v>46035</v>
      </c>
      <c r="M707" s="11" t="n">
        <v>46119</v>
      </c>
      <c r="N707" s="5" t="inlineStr">
        <is>
          <t>Approved</t>
        </is>
      </c>
      <c r="O707" s="5" t="inlineStr">
        <is>
          <t>Site</t>
        </is>
      </c>
      <c r="P707" s="5" t="inlineStr">
        <is>
          <t>Argentina</t>
        </is>
      </c>
      <c r="Q707" s="13" t="inlineStr">
        <is>
          <t>S10-AR10012</t>
        </is>
      </c>
      <c r="R707" s="5" t="inlineStr">
        <is>
          <t>LEANDRO LOPEZ</t>
        </is>
      </c>
      <c r="S707" s="8" t="n">
        <v>46064.6982175926</v>
      </c>
    </row>
    <row r="708" hidden="1" ht="29" customHeight="1">
      <c r="A708" s="15">
        <f>HYPERLINK("https://vtmf.veevavault.com/ui/#doc_info/30858099/1/0", "VTMF-25336910")</f>
        <v/>
      </c>
      <c r="B708" s="19" t="inlineStr">
        <is>
          <t>No</t>
        </is>
      </c>
      <c r="C708" s="5" t="inlineStr">
        <is>
          <t>1.0</t>
        </is>
      </c>
      <c r="D708" s="5" t="inlineStr">
        <is>
          <t>GCO</t>
        </is>
      </c>
      <c r="E708" s="5" t="inlineStr">
        <is>
          <t>42847922MDD3003</t>
        </is>
      </c>
      <c r="F708" s="16">
        <f>HYPERLINK("https://vtmf.veevavault.com/ui/#doc_info/30858099/1/0", "42847922MDD3003-ARG-S10-AR10002-Non-IP Shipment Documentation-17 Nov 2025 (v1.0)")</f>
        <v/>
      </c>
      <c r="G708" s="5" t="inlineStr">
        <is>
          <t>IP and Trial Supplies</t>
        </is>
      </c>
      <c r="H708" s="5" t="inlineStr">
        <is>
          <t>Non-IP Documentation</t>
        </is>
      </c>
      <c r="I708" s="5" t="inlineStr">
        <is>
          <t>Non-IP Shipment Documentation</t>
        </is>
      </c>
      <c r="J708" s="5" t="inlineStr">
        <is>
          <t>Non ip patient material</t>
        </is>
      </c>
      <c r="K708" s="6" t="n">
        <v>141</v>
      </c>
      <c r="L708" s="7" t="n">
        <v>45978</v>
      </c>
      <c r="M708" s="11" t="n">
        <v>46119</v>
      </c>
      <c r="N708" s="5" t="inlineStr">
        <is>
          <t>Approved</t>
        </is>
      </c>
      <c r="O708" s="5" t="inlineStr">
        <is>
          <t>Site</t>
        </is>
      </c>
      <c r="P708" s="5" t="inlineStr">
        <is>
          <t>Argentina</t>
        </is>
      </c>
      <c r="Q708" s="13" t="inlineStr">
        <is>
          <t>S10-AR10002</t>
        </is>
      </c>
      <c r="R708" s="5" t="inlineStr">
        <is>
          <t>LEANDRO LOPEZ</t>
        </is>
      </c>
      <c r="S708" s="8" t="n">
        <v>46049.69527777778</v>
      </c>
    </row>
    <row r="709" hidden="1" ht="43.5" customHeight="1">
      <c r="A709" s="15">
        <f>HYPERLINK("https://vtmf.veevavault.com/ui/#doc_info/31408081/1/0", "VTMF-25341198")</f>
        <v/>
      </c>
      <c r="B709" s="19" t="inlineStr">
        <is>
          <t>No</t>
        </is>
      </c>
      <c r="C709" s="5" t="inlineStr">
        <is>
          <t>1.0</t>
        </is>
      </c>
      <c r="D709" s="5" t="inlineStr">
        <is>
          <t>GCO</t>
        </is>
      </c>
      <c r="E709" s="5" t="inlineStr">
        <is>
          <t>42847922MDD3003</t>
        </is>
      </c>
      <c r="F709" s="16">
        <f>HYPERLINK("https://vtmf.veevavault.com/ui/#doc_info/31408081/1/0", "42847922MDD3003-COL-S10-CO10004-Clinical Trial Agreement-19 Feb 2026 (v1.0)")</f>
        <v/>
      </c>
      <c r="G709" s="5" t="inlineStr">
        <is>
          <t>Site Management</t>
        </is>
      </c>
      <c r="H709" s="5" t="inlineStr">
        <is>
          <t>Site Set-up Documentation</t>
        </is>
      </c>
      <c r="I709" s="5" t="inlineStr">
        <is>
          <t>Clinical Trial Agreement</t>
        </is>
      </c>
      <c r="J709" s="5" t="inlineStr">
        <is>
          <t>Dr. Cordoba_CENTRO DE INVESTIGACIONES DEL SISTEMA NERVIOSO GRUPO CISNE S.A.S_NTF Location of CTA_19Feb2026</t>
        </is>
      </c>
      <c r="K709" s="6" t="n">
        <v>47</v>
      </c>
      <c r="L709" s="7" t="n">
        <v>46072</v>
      </c>
      <c r="M709" s="11" t="n">
        <v>46119</v>
      </c>
      <c r="N709" s="5" t="inlineStr">
        <is>
          <t>Approved</t>
        </is>
      </c>
      <c r="O709" s="5" t="inlineStr">
        <is>
          <t>Site</t>
        </is>
      </c>
      <c r="P709" s="5" t="inlineStr">
        <is>
          <t>Colombia</t>
        </is>
      </c>
      <c r="Q709" s="13" t="inlineStr">
        <is>
          <t>S10-CO10004</t>
        </is>
      </c>
      <c r="R709" s="5" t="inlineStr">
        <is>
          <t>Monica Romero</t>
        </is>
      </c>
      <c r="S709" s="8" t="n">
        <v>46119.98459490741</v>
      </c>
    </row>
    <row r="710" hidden="1" ht="29" customHeight="1">
      <c r="A710" s="15">
        <f>HYPERLINK("https://vtmf.veevavault.com/ui/#doc_info/31408480/1/0", "VTMF-25341505")</f>
        <v/>
      </c>
      <c r="B710" s="20" t="inlineStr">
        <is>
          <t>Yes</t>
        </is>
      </c>
      <c r="C710" s="5" t="inlineStr">
        <is>
          <t>1.0</t>
        </is>
      </c>
      <c r="D710" s="5" t="inlineStr">
        <is>
          <t>GCO</t>
        </is>
      </c>
      <c r="E710" s="5" t="inlineStr">
        <is>
          <t>42847922MDD3003</t>
        </is>
      </c>
      <c r="F710" s="16">
        <f>HYPERLINK("https://vtmf.veevavault.com/ui/#doc_info/31408480/1/0", "42847922MDD3003-MEX-S10-MX10002-IRB/IEC Approval-09 Sep 2025 (v1.0)")</f>
        <v/>
      </c>
      <c r="G710" s="5" t="inlineStr">
        <is>
          <t>IRB/IEC and other Approvals</t>
        </is>
      </c>
      <c r="H710" s="5" t="inlineStr">
        <is>
          <t>IRB/IEC Trial Approval</t>
        </is>
      </c>
      <c r="I710" s="5" t="inlineStr">
        <is>
          <t>IRB/IEC Approval</t>
        </is>
      </c>
      <c r="J710" s="5" t="inlineStr">
        <is>
          <t>EC_Approval_IB ed. 14, ICF part 2 v6.0 MX-1.0_09Sep2025</t>
        </is>
      </c>
      <c r="K710" s="6" t="n">
        <v>210</v>
      </c>
      <c r="L710" s="7" t="n">
        <v>45909</v>
      </c>
      <c r="M710" s="11" t="n">
        <v>46119</v>
      </c>
      <c r="N710" s="5" t="inlineStr">
        <is>
          <t>Approved</t>
        </is>
      </c>
      <c r="O710" s="5" t="inlineStr">
        <is>
          <t>Site</t>
        </is>
      </c>
      <c r="P710" s="5" t="inlineStr">
        <is>
          <t>Mexico</t>
        </is>
      </c>
      <c r="Q710" s="13" t="inlineStr">
        <is>
          <t>S10-MX10002</t>
        </is>
      </c>
      <c r="R710" s="5" t="inlineStr">
        <is>
          <t>Karla Melisa Rodríguez Bautista</t>
        </is>
      </c>
      <c r="S710" s="8" t="n">
        <v>46120.11123842592</v>
      </c>
    </row>
    <row r="711" hidden="1" ht="29" customHeight="1">
      <c r="A711" s="15">
        <f>HYPERLINK("https://vtmf.veevavault.com/ui/#doc_info/31414166/1/0", "VTMF-25346482")</f>
        <v/>
      </c>
      <c r="B711" s="19" t="inlineStr">
        <is>
          <t>No</t>
        </is>
      </c>
      <c r="C711" s="5" t="inlineStr">
        <is>
          <t>1.0</t>
        </is>
      </c>
      <c r="D711" s="5" t="inlineStr">
        <is>
          <t>GCO</t>
        </is>
      </c>
      <c r="E711" s="5" t="inlineStr">
        <is>
          <t>42847922MDD3003</t>
        </is>
      </c>
      <c r="F711" s="16">
        <f>HYPERLINK("https://vtmf.veevavault.com/ui/#doc_info/31414166/1/0", "42847922MDD3003-USA-S10-US10040-Sub-Investigator Curriculum Vitae-21 Oct 2025 (v1.0)")</f>
        <v/>
      </c>
      <c r="G711" s="5" t="inlineStr">
        <is>
          <t>Site Management</t>
        </is>
      </c>
      <c r="H711" s="5" t="inlineStr">
        <is>
          <t>Site Set-up Documentation</t>
        </is>
      </c>
      <c r="I711" s="5" t="inlineStr">
        <is>
          <t>Sub-Investigator Curriculum Vitae</t>
        </is>
      </c>
      <c r="J711" s="5" t="inlineStr">
        <is>
          <t>SI CV_English_Singha, P_Initial</t>
        </is>
      </c>
      <c r="K711" s="6" t="n">
        <v>169</v>
      </c>
      <c r="L711" s="7" t="n">
        <v>45951</v>
      </c>
      <c r="M711" s="11" t="n">
        <v>46120</v>
      </c>
      <c r="N711" s="5" t="inlineStr">
        <is>
          <t>Approved</t>
        </is>
      </c>
      <c r="O711" s="5" t="inlineStr">
        <is>
          <t>Site</t>
        </is>
      </c>
      <c r="P711" s="5" t="inlineStr">
        <is>
          <t>United States</t>
        </is>
      </c>
      <c r="Q711" s="13" t="inlineStr">
        <is>
          <t>S10-US10040</t>
        </is>
      </c>
      <c r="R711" s="5" t="inlineStr">
        <is>
          <t>Daniel Woodland</t>
        </is>
      </c>
      <c r="S711" s="8" t="n">
        <v>46120.85835648148</v>
      </c>
    </row>
    <row r="712" hidden="1" ht="29" customHeight="1">
      <c r="A712" s="15">
        <f>HYPERLINK("https://vtmf.veevavault.com/ui/#doc_info/31414752/1/0", "VTMF-25346856")</f>
        <v/>
      </c>
      <c r="B712" s="19" t="inlineStr">
        <is>
          <t>No</t>
        </is>
      </c>
      <c r="C712" s="5" t="inlineStr">
        <is>
          <t>1.0</t>
        </is>
      </c>
      <c r="D712" s="5" t="inlineStr">
        <is>
          <t>GCO</t>
        </is>
      </c>
      <c r="E712" s="5" t="inlineStr">
        <is>
          <t>42847922MDD3003</t>
        </is>
      </c>
      <c r="F712" s="16">
        <f>HYPERLINK("https://vtmf.veevavault.com/ui/#doc_info/31414752/1/0", "42847922MDD3003-USA-S10-US10286-IP Destruction Form-27 Feb 2026 (v1.0)")</f>
        <v/>
      </c>
      <c r="G712" s="5" t="inlineStr">
        <is>
          <t>IP and Trial Supplies</t>
        </is>
      </c>
      <c r="H712" s="5" t="inlineStr">
        <is>
          <t>IP Documentation</t>
        </is>
      </c>
      <c r="I712" s="5" t="inlineStr">
        <is>
          <t>IP Destruction Form</t>
        </is>
      </c>
      <c r="J712" s="5" t="inlineStr">
        <is>
          <t>IPDF</t>
        </is>
      </c>
      <c r="K712" s="6" t="n">
        <v>45</v>
      </c>
      <c r="L712" s="7" t="n">
        <v>46080</v>
      </c>
      <c r="M712" s="11" t="n">
        <v>46125</v>
      </c>
      <c r="N712" s="5" t="inlineStr">
        <is>
          <t>Approved</t>
        </is>
      </c>
      <c r="O712" s="5" t="inlineStr">
        <is>
          <t>Site</t>
        </is>
      </c>
      <c r="P712" s="5" t="inlineStr">
        <is>
          <t>United States</t>
        </is>
      </c>
      <c r="Q712" s="13" t="inlineStr">
        <is>
          <t>S10-US10286</t>
        </is>
      </c>
      <c r="R712" s="5" t="inlineStr">
        <is>
          <t>Juliet Leshner</t>
        </is>
      </c>
      <c r="S712" s="8" t="n">
        <v>46120.78806712963</v>
      </c>
    </row>
    <row r="713" hidden="1" ht="29" customHeight="1">
      <c r="A713" s="15">
        <f>HYPERLINK("https://vtmf.veevavault.com/ui/#doc_info/31414753/1/0", "VTMF-25346857")</f>
        <v/>
      </c>
      <c r="B713" s="19" t="inlineStr">
        <is>
          <t>No</t>
        </is>
      </c>
      <c r="C713" s="5" t="inlineStr">
        <is>
          <t>1.0</t>
        </is>
      </c>
      <c r="D713" s="5" t="inlineStr">
        <is>
          <t>GCO</t>
        </is>
      </c>
      <c r="E713" s="5" t="inlineStr">
        <is>
          <t>42847922MDD3003</t>
        </is>
      </c>
      <c r="F713" s="16">
        <f>HYPERLINK("https://vtmf.veevavault.com/ui/#doc_info/31414753/1/0", "42847922MDD3003-USA-S10-US10207-IP Destruction Form-27 Feb 2026 (v1.0)")</f>
        <v/>
      </c>
      <c r="G713" s="5" t="inlineStr">
        <is>
          <t>IP and Trial Supplies</t>
        </is>
      </c>
      <c r="H713" s="5" t="inlineStr">
        <is>
          <t>IP Documentation</t>
        </is>
      </c>
      <c r="I713" s="5" t="inlineStr">
        <is>
          <t>IP Destruction Form</t>
        </is>
      </c>
      <c r="J713" s="5" t="inlineStr">
        <is>
          <t>IPDF</t>
        </is>
      </c>
      <c r="K713" s="6" t="n">
        <v>45</v>
      </c>
      <c r="L713" s="7" t="n">
        <v>46080</v>
      </c>
      <c r="M713" s="11" t="n">
        <v>46125</v>
      </c>
      <c r="N713" s="5" t="inlineStr">
        <is>
          <t>Approved</t>
        </is>
      </c>
      <c r="O713" s="5" t="inlineStr">
        <is>
          <t>Site</t>
        </is>
      </c>
      <c r="P713" s="5" t="inlineStr">
        <is>
          <t>United States</t>
        </is>
      </c>
      <c r="Q713" s="13" t="inlineStr">
        <is>
          <t>S10-US10207</t>
        </is>
      </c>
      <c r="R713" s="5" t="inlineStr">
        <is>
          <t>Juliet Leshner</t>
        </is>
      </c>
      <c r="S713" s="8" t="n">
        <v>46120.78806712963</v>
      </c>
    </row>
    <row r="714" hidden="1" ht="29" customHeight="1">
      <c r="A714" s="15">
        <f>HYPERLINK("https://vtmf.veevavault.com/ui/#doc_info/31414754/1/0", "VTMF-25346858")</f>
        <v/>
      </c>
      <c r="B714" s="19" t="inlineStr">
        <is>
          <t>No</t>
        </is>
      </c>
      <c r="C714" s="5" t="inlineStr">
        <is>
          <t>1.0</t>
        </is>
      </c>
      <c r="D714" s="5" t="inlineStr">
        <is>
          <t>GCO</t>
        </is>
      </c>
      <c r="E714" s="5" t="inlineStr">
        <is>
          <t>42847922MDD3003</t>
        </is>
      </c>
      <c r="F714" s="16">
        <f>HYPERLINK("https://vtmf.veevavault.com/ui/#doc_info/31414754/1/0", "42847922MDD3003-USA-S10-US10121-IP Destruction Form-03 Mar 2026 (v1.0)")</f>
        <v/>
      </c>
      <c r="G714" s="5" t="inlineStr">
        <is>
          <t>IP and Trial Supplies</t>
        </is>
      </c>
      <c r="H714" s="5" t="inlineStr">
        <is>
          <t>IP Documentation</t>
        </is>
      </c>
      <c r="I714" s="5" t="inlineStr">
        <is>
          <t>IP Destruction Form</t>
        </is>
      </c>
      <c r="J714" s="5" t="inlineStr">
        <is>
          <t>IPDF</t>
        </is>
      </c>
      <c r="K714" s="6" t="n">
        <v>38</v>
      </c>
      <c r="L714" s="7" t="n">
        <v>46084</v>
      </c>
      <c r="M714" s="11" t="n">
        <v>46122</v>
      </c>
      <c r="N714" s="5" t="inlineStr">
        <is>
          <t>Approved</t>
        </is>
      </c>
      <c r="O714" s="5" t="inlineStr">
        <is>
          <t>Site</t>
        </is>
      </c>
      <c r="P714" s="5" t="inlineStr">
        <is>
          <t>United States</t>
        </is>
      </c>
      <c r="Q714" s="13" t="inlineStr">
        <is>
          <t>S10-US10121</t>
        </is>
      </c>
      <c r="R714" s="5" t="inlineStr">
        <is>
          <t>Juliet Leshner</t>
        </is>
      </c>
      <c r="S714" s="8" t="n">
        <v>46120.78806712963</v>
      </c>
    </row>
    <row r="715" hidden="1" ht="29" customHeight="1">
      <c r="A715" s="15">
        <f>HYPERLINK("https://vtmf.veevavault.com/ui/#doc_info/31414755/1/0", "VTMF-25346859")</f>
        <v/>
      </c>
      <c r="B715" s="19" t="inlineStr">
        <is>
          <t>No</t>
        </is>
      </c>
      <c r="C715" s="5" t="inlineStr">
        <is>
          <t>1.0</t>
        </is>
      </c>
      <c r="D715" s="5" t="inlineStr">
        <is>
          <t>GCO</t>
        </is>
      </c>
      <c r="E715" s="5" t="inlineStr">
        <is>
          <t>42847922MDD3003</t>
        </is>
      </c>
      <c r="F715" s="16">
        <f>HYPERLINK("https://vtmf.veevavault.com/ui/#doc_info/31414755/1/0", "42847922MDD3003-USA-S10-US10155-IP Destruction Form-11 Mar 2026 (v1.0)")</f>
        <v/>
      </c>
      <c r="G715" s="5" t="inlineStr">
        <is>
          <t>IP and Trial Supplies</t>
        </is>
      </c>
      <c r="H715" s="5" t="inlineStr">
        <is>
          <t>IP Documentation</t>
        </is>
      </c>
      <c r="I715" s="5" t="inlineStr">
        <is>
          <t>IP Destruction Form</t>
        </is>
      </c>
      <c r="J715" s="5" t="inlineStr">
        <is>
          <t>IPDF</t>
        </is>
      </c>
      <c r="K715" s="6" t="n">
        <v>33</v>
      </c>
      <c r="L715" s="7" t="n">
        <v>46092</v>
      </c>
      <c r="M715" s="11" t="n">
        <v>46125</v>
      </c>
      <c r="N715" s="5" t="inlineStr">
        <is>
          <t>Approved</t>
        </is>
      </c>
      <c r="O715" s="5" t="inlineStr">
        <is>
          <t>Site</t>
        </is>
      </c>
      <c r="P715" s="5" t="inlineStr">
        <is>
          <t>United States</t>
        </is>
      </c>
      <c r="Q715" s="13" t="inlineStr">
        <is>
          <t>S10-US10155</t>
        </is>
      </c>
      <c r="R715" s="5" t="inlineStr">
        <is>
          <t>Juliet Leshner</t>
        </is>
      </c>
      <c r="S715" s="8" t="n">
        <v>46120.78806712963</v>
      </c>
    </row>
    <row r="716" hidden="1" ht="29" customHeight="1">
      <c r="A716" s="15">
        <f>HYPERLINK("https://vtmf.veevavault.com/ui/#doc_info/31415230/1/0", "VTMF-25347327")</f>
        <v/>
      </c>
      <c r="B716" s="20" t="inlineStr">
        <is>
          <t>Yes</t>
        </is>
      </c>
      <c r="C716" s="5" t="inlineStr">
        <is>
          <t>1.0</t>
        </is>
      </c>
      <c r="D716" s="5" t="inlineStr">
        <is>
          <t>GCO</t>
        </is>
      </c>
      <c r="E716" s="5" t="inlineStr">
        <is>
          <t>42847922MDD3003</t>
        </is>
      </c>
      <c r="F716" s="16">
        <f>HYPERLINK("https://vtmf.veevavault.com/ui/#doc_info/31415230/1/0", "42847922MDD3003-USA-S10-US10040-Financial Disclosure Form-19 Jan 2026 (v1.0)")</f>
        <v/>
      </c>
      <c r="G716" s="5" t="inlineStr">
        <is>
          <t>Site Management</t>
        </is>
      </c>
      <c r="H716" s="5" t="inlineStr">
        <is>
          <t>Site Set-up Documentation</t>
        </is>
      </c>
      <c r="I716" s="5" t="inlineStr">
        <is>
          <t>Financial Disclosure Form</t>
        </is>
      </c>
      <c r="J716" s="5" t="inlineStr">
        <is>
          <t>Sub-I FDF_Singha, P_Initial</t>
        </is>
      </c>
      <c r="K716" s="6" t="n">
        <v>79</v>
      </c>
      <c r="L716" s="7" t="n">
        <v>46041</v>
      </c>
      <c r="M716" s="11" t="n">
        <v>46120</v>
      </c>
      <c r="N716" s="5" t="inlineStr">
        <is>
          <t>Approved</t>
        </is>
      </c>
      <c r="O716" s="5" t="inlineStr">
        <is>
          <t>Site</t>
        </is>
      </c>
      <c r="P716" s="5" t="inlineStr">
        <is>
          <t>United States</t>
        </is>
      </c>
      <c r="Q716" s="13" t="inlineStr">
        <is>
          <t>S10-US10040</t>
        </is>
      </c>
      <c r="R716" s="5" t="inlineStr">
        <is>
          <t>Daniel Woodland</t>
        </is>
      </c>
      <c r="S716" s="8" t="n">
        <v>46120.86192129629</v>
      </c>
    </row>
    <row r="717" hidden="1" ht="29" customHeight="1">
      <c r="A717" s="15">
        <f>HYPERLINK("https://vtmf.veevavault.com/ui/#doc_info/31415268/1/0", "VTMF-25347405")</f>
        <v/>
      </c>
      <c r="B717" s="20" t="inlineStr">
        <is>
          <t>Yes</t>
        </is>
      </c>
      <c r="C717" s="5" t="inlineStr">
        <is>
          <t>1.0</t>
        </is>
      </c>
      <c r="D717" s="5" t="inlineStr">
        <is>
          <t>GCO</t>
        </is>
      </c>
      <c r="E717" s="5" t="inlineStr">
        <is>
          <t>42847922MDD3003</t>
        </is>
      </c>
      <c r="F717" s="16">
        <f>HYPERLINK("https://vtmf.veevavault.com/ui/#doc_info/31415268/1/0", "42847922MDD3003-USA-S10-US10040-Financial Disclosure Form-23 Oct 2025 (v1.0)")</f>
        <v/>
      </c>
      <c r="G717" s="5" t="inlineStr">
        <is>
          <t>Site Management</t>
        </is>
      </c>
      <c r="H717" s="5" t="inlineStr">
        <is>
          <t>Site Set-up Documentation</t>
        </is>
      </c>
      <c r="I717" s="5" t="inlineStr">
        <is>
          <t>Financial Disclosure Form</t>
        </is>
      </c>
      <c r="J717" s="5" t="inlineStr">
        <is>
          <t>Sub-I FDF_McGoldrick, J_Initial</t>
        </is>
      </c>
      <c r="K717" s="6" t="n">
        <v>167</v>
      </c>
      <c r="L717" s="7" t="n">
        <v>45953</v>
      </c>
      <c r="M717" s="11" t="n">
        <v>46120</v>
      </c>
      <c r="N717" s="5" t="inlineStr">
        <is>
          <t>Approved</t>
        </is>
      </c>
      <c r="O717" s="5" t="inlineStr">
        <is>
          <t>Site</t>
        </is>
      </c>
      <c r="P717" s="5" t="inlineStr">
        <is>
          <t>United States</t>
        </is>
      </c>
      <c r="Q717" s="13" t="inlineStr">
        <is>
          <t>S10-US10040</t>
        </is>
      </c>
      <c r="R717" s="5" t="inlineStr">
        <is>
          <t>Daniel Woodland</t>
        </is>
      </c>
      <c r="S717" s="8" t="n">
        <v>46120.87577546296</v>
      </c>
    </row>
    <row r="718" hidden="1" ht="29" customHeight="1">
      <c r="A718" s="15">
        <f>HYPERLINK("https://vtmf.veevavault.com/ui/#doc_info/31415423/1/0", "VTMF-25347517")</f>
        <v/>
      </c>
      <c r="B718" s="19" t="inlineStr">
        <is>
          <t>No</t>
        </is>
      </c>
      <c r="C718" s="5" t="inlineStr">
        <is>
          <t>1.0</t>
        </is>
      </c>
      <c r="D718" s="5" t="inlineStr">
        <is>
          <t>GCO</t>
        </is>
      </c>
      <c r="E718" s="5" t="inlineStr">
        <is>
          <t>42847922MDD3003</t>
        </is>
      </c>
      <c r="F718" s="16">
        <f>HYPERLINK("https://vtmf.veevavault.com/ui/#doc_info/31415423/1/0", "42847922MDD3003-USA-S10-US10040-Sub-Investigator Curriculum Vitae-19 Sep 2025 (v1.0)")</f>
        <v/>
      </c>
      <c r="G718" s="5" t="inlineStr">
        <is>
          <t>Site Management</t>
        </is>
      </c>
      <c r="H718" s="5" t="inlineStr">
        <is>
          <t>Site Set-up Documentation</t>
        </is>
      </c>
      <c r="I718" s="5" t="inlineStr">
        <is>
          <t>Sub-Investigator Curriculum Vitae</t>
        </is>
      </c>
      <c r="J718" s="5" t="inlineStr">
        <is>
          <t>Sub-I CV_English_McGoldrick, J_Initial</t>
        </is>
      </c>
      <c r="K718" s="6" t="n">
        <v>207</v>
      </c>
      <c r="L718" s="7" t="n">
        <v>45919</v>
      </c>
      <c r="M718" s="11" t="n">
        <v>46126</v>
      </c>
      <c r="N718" s="5" t="inlineStr">
        <is>
          <t>Approved</t>
        </is>
      </c>
      <c r="O718" s="5" t="inlineStr">
        <is>
          <t>Site</t>
        </is>
      </c>
      <c r="P718" s="5" t="inlineStr">
        <is>
          <t>United States</t>
        </is>
      </c>
      <c r="Q718" s="13" t="inlineStr">
        <is>
          <t>S10-US10040</t>
        </is>
      </c>
      <c r="R718" s="5" t="inlineStr">
        <is>
          <t>Daniel Woodland</t>
        </is>
      </c>
      <c r="S718" s="8" t="n">
        <v>46120.89040509259</v>
      </c>
    </row>
    <row r="719" hidden="1" ht="29" customHeight="1">
      <c r="A719" s="15">
        <f>HYPERLINK("https://vtmf.veevavault.com/ui/#doc_info/31415445/1/0", "VTMF-25347569")</f>
        <v/>
      </c>
      <c r="B719" s="19" t="inlineStr">
        <is>
          <t>No</t>
        </is>
      </c>
      <c r="C719" s="5" t="inlineStr">
        <is>
          <t>1.0</t>
        </is>
      </c>
      <c r="D719" s="5" t="inlineStr">
        <is>
          <t>GCO</t>
        </is>
      </c>
      <c r="E719" s="5" t="inlineStr">
        <is>
          <t>42847922MDD3003</t>
        </is>
      </c>
      <c r="F719" s="16">
        <f>HYPERLINK("https://vtmf.veevavault.com/ui/#doc_info/31415445/1/0", "42847922MDD3003-USA-S10-US10040-Sub-Investigator Curriculum Vitae-27 May 2025 (v1.0)")</f>
        <v/>
      </c>
      <c r="G719" s="5" t="inlineStr">
        <is>
          <t>Site Management</t>
        </is>
      </c>
      <c r="H719" s="5" t="inlineStr">
        <is>
          <t>Site Set-up Documentation</t>
        </is>
      </c>
      <c r="I719" s="5" t="inlineStr">
        <is>
          <t>Sub-Investigator Curriculum Vitae</t>
        </is>
      </c>
      <c r="J719" s="5" t="inlineStr">
        <is>
          <t>Sub-I CV_English_Starling, S_Initial</t>
        </is>
      </c>
      <c r="K719" s="6" t="n">
        <v>316</v>
      </c>
      <c r="L719" s="7" t="n">
        <v>45804</v>
      </c>
      <c r="M719" s="11" t="n">
        <v>46120</v>
      </c>
      <c r="N719" s="5" t="inlineStr">
        <is>
          <t>Approved</t>
        </is>
      </c>
      <c r="O719" s="5" t="inlineStr">
        <is>
          <t>Site</t>
        </is>
      </c>
      <c r="P719" s="5" t="inlineStr">
        <is>
          <t>United States</t>
        </is>
      </c>
      <c r="Q719" s="13" t="inlineStr">
        <is>
          <t>S10-US10040</t>
        </is>
      </c>
      <c r="R719" s="5" t="inlineStr">
        <is>
          <t>Daniel Woodland</t>
        </is>
      </c>
      <c r="S719" s="8" t="n">
        <v>46120.89751157408</v>
      </c>
    </row>
    <row r="720" hidden="1" ht="29" customHeight="1">
      <c r="A720" s="15">
        <f>HYPERLINK("https://vtmf.veevavault.com/ui/#doc_info/31415473/1/0", "VTMF-25347619")</f>
        <v/>
      </c>
      <c r="B720" s="20" t="inlineStr">
        <is>
          <t>Yes</t>
        </is>
      </c>
      <c r="C720" s="5" t="inlineStr">
        <is>
          <t>1.0</t>
        </is>
      </c>
      <c r="D720" s="5" t="inlineStr">
        <is>
          <t>GCO</t>
        </is>
      </c>
      <c r="E720" s="5" t="inlineStr">
        <is>
          <t>42847922MDD3003</t>
        </is>
      </c>
      <c r="F720" s="16">
        <f>HYPERLINK("https://vtmf.veevavault.com/ui/#doc_info/31415473/1/0", "42847922MDD3003-USA-S10-US10040-Financial Disclosure Form-21 Jan 2026 (v1.0)")</f>
        <v/>
      </c>
      <c r="G720" s="5" t="inlineStr">
        <is>
          <t>Site Management</t>
        </is>
      </c>
      <c r="H720" s="5" t="inlineStr">
        <is>
          <t>Site Set-up Documentation</t>
        </is>
      </c>
      <c r="I720" s="5" t="inlineStr">
        <is>
          <t>Financial Disclosure Form</t>
        </is>
      </c>
      <c r="J720" s="5" t="inlineStr">
        <is>
          <t>Sub-I FDF_Starling, S_Initial</t>
        </is>
      </c>
      <c r="K720" s="6" t="n">
        <v>77</v>
      </c>
      <c r="L720" s="7" t="n">
        <v>46043</v>
      </c>
      <c r="M720" s="11" t="n">
        <v>46120</v>
      </c>
      <c r="N720" s="5" t="inlineStr">
        <is>
          <t>Approved</t>
        </is>
      </c>
      <c r="O720" s="5" t="inlineStr">
        <is>
          <t>Site</t>
        </is>
      </c>
      <c r="P720" s="5" t="inlineStr">
        <is>
          <t>United States</t>
        </is>
      </c>
      <c r="Q720" s="13" t="inlineStr">
        <is>
          <t>S10-US10040</t>
        </is>
      </c>
      <c r="R720" s="5" t="inlineStr">
        <is>
          <t>Daniel Woodland</t>
        </is>
      </c>
      <c r="S720" s="8" t="n">
        <v>46120.90337962963</v>
      </c>
    </row>
    <row r="721" hidden="1" ht="29" customHeight="1">
      <c r="A721" s="15">
        <f>HYPERLINK("https://vtmf.veevavault.com/ui/#doc_info/31415596/1/0", "VTMF-25347661")</f>
        <v/>
      </c>
      <c r="B721" s="20" t="inlineStr">
        <is>
          <t>Yes</t>
        </is>
      </c>
      <c r="C721" s="5" t="inlineStr">
        <is>
          <t>1.0</t>
        </is>
      </c>
      <c r="D721" s="5" t="inlineStr">
        <is>
          <t>GCO</t>
        </is>
      </c>
      <c r="E721" s="5" t="inlineStr">
        <is>
          <t>42847922MDD3003</t>
        </is>
      </c>
      <c r="F721" s="16">
        <f>HYPERLINK("https://vtmf.veevavault.com/ui/#doc_info/31415596/1/0", "42847922MDD3003-USA-S10-US10040-Financial Disclosure Form-19 Nov 2025 (v1.0)")</f>
        <v/>
      </c>
      <c r="G721" s="5" t="inlineStr">
        <is>
          <t>Site Management</t>
        </is>
      </c>
      <c r="H721" s="5" t="inlineStr">
        <is>
          <t>Site Set-up Documentation</t>
        </is>
      </c>
      <c r="I721" s="5" t="inlineStr">
        <is>
          <t>Financial Disclosure Form</t>
        </is>
      </c>
      <c r="J721" s="5" t="inlineStr">
        <is>
          <t>Sub-I FDF_Rivera-Delpin, G_Initial</t>
        </is>
      </c>
      <c r="K721" s="6" t="n">
        <v>140</v>
      </c>
      <c r="L721" s="7" t="n">
        <v>45980</v>
      </c>
      <c r="M721" s="11" t="n">
        <v>46120</v>
      </c>
      <c r="N721" s="5" t="inlineStr">
        <is>
          <t>Approved</t>
        </is>
      </c>
      <c r="O721" s="5" t="inlineStr">
        <is>
          <t>Site</t>
        </is>
      </c>
      <c r="P721" s="5" t="inlineStr">
        <is>
          <t>United States</t>
        </is>
      </c>
      <c r="Q721" s="13" t="inlineStr">
        <is>
          <t>S10-US10040</t>
        </is>
      </c>
      <c r="R721" s="5" t="inlineStr">
        <is>
          <t>Daniel Woodland</t>
        </is>
      </c>
      <c r="S721" s="8" t="n">
        <v>46120.91121527777</v>
      </c>
    </row>
    <row r="722" hidden="1" ht="29" customHeight="1">
      <c r="A722" s="15">
        <f>HYPERLINK("https://vtmf.veevavault.com/ui/#doc_info/31415599/1/0", "VTMF-25347675")</f>
        <v/>
      </c>
      <c r="B722" s="19" t="inlineStr">
        <is>
          <t>No</t>
        </is>
      </c>
      <c r="C722" s="5" t="inlineStr">
        <is>
          <t>1.0</t>
        </is>
      </c>
      <c r="D722" s="5" t="inlineStr">
        <is>
          <t>GCO</t>
        </is>
      </c>
      <c r="E722" s="5" t="inlineStr">
        <is>
          <t>42847922MDD3003</t>
        </is>
      </c>
      <c r="F722" s="16">
        <f>HYPERLINK("https://vtmf.veevavault.com/ui/#doc_info/31415599/1/0", "42847922MDD3003-USA-S10-US10040-Sub-Investigator Curriculum Vitae-10 Nov 2025 (v1.0)")</f>
        <v/>
      </c>
      <c r="G722" s="5" t="inlineStr">
        <is>
          <t>Site Management</t>
        </is>
      </c>
      <c r="H722" s="5" t="inlineStr">
        <is>
          <t>Site Set-up Documentation</t>
        </is>
      </c>
      <c r="I722" s="5" t="inlineStr">
        <is>
          <t>Sub-Investigator Curriculum Vitae</t>
        </is>
      </c>
      <c r="J722" s="5" t="inlineStr">
        <is>
          <t>Sub-I CV_English_Rivera-Delpin, G_Initial</t>
        </is>
      </c>
      <c r="K722" s="6" t="n">
        <v>149</v>
      </c>
      <c r="L722" s="7" t="n">
        <v>45971</v>
      </c>
      <c r="M722" s="11" t="n">
        <v>46120</v>
      </c>
      <c r="N722" s="5" t="inlineStr">
        <is>
          <t>Approved</t>
        </is>
      </c>
      <c r="O722" s="5" t="inlineStr">
        <is>
          <t>Site</t>
        </is>
      </c>
      <c r="P722" s="5" t="inlineStr">
        <is>
          <t>United States</t>
        </is>
      </c>
      <c r="Q722" s="13" t="inlineStr">
        <is>
          <t>S10-US10040</t>
        </is>
      </c>
      <c r="R722" s="5" t="inlineStr">
        <is>
          <t>Daniel Woodland</t>
        </is>
      </c>
      <c r="S722" s="8" t="n">
        <v>46120.91353009259</v>
      </c>
    </row>
    <row r="723" hidden="1" ht="29" customHeight="1">
      <c r="A723" s="15">
        <f>HYPERLINK("https://vtmf.veevavault.com/ui/#doc_info/31415956/1/0", "VTMF-25347923")</f>
        <v/>
      </c>
      <c r="B723" s="20" t="inlineStr">
        <is>
          <t>Yes</t>
        </is>
      </c>
      <c r="C723" s="5" t="inlineStr">
        <is>
          <t>1.0</t>
        </is>
      </c>
      <c r="D723" s="5" t="inlineStr">
        <is>
          <t>GCO</t>
        </is>
      </c>
      <c r="E723" s="5" t="inlineStr">
        <is>
          <t>42847922MDD3003</t>
        </is>
      </c>
      <c r="F723" s="16">
        <f>HYPERLINK("https://vtmf.veevavault.com/ui/#doc_info/31415956/1/0", "42847922MDD3003-USA-S10-US10040-Financial Disclosure Form-19 Jan 2026 (v1.0)")</f>
        <v/>
      </c>
      <c r="G723" s="5" t="inlineStr">
        <is>
          <t>Site Management</t>
        </is>
      </c>
      <c r="H723" s="5" t="inlineStr">
        <is>
          <t>Site Set-up Documentation</t>
        </is>
      </c>
      <c r="I723" s="5" t="inlineStr">
        <is>
          <t>Financial Disclosure Form</t>
        </is>
      </c>
      <c r="J723" s="5" t="inlineStr">
        <is>
          <t>Sub-I FDF_Ross, A_Initial</t>
        </is>
      </c>
      <c r="K723" s="6" t="n">
        <v>79</v>
      </c>
      <c r="L723" s="7" t="n">
        <v>46041</v>
      </c>
      <c r="M723" s="11" t="n">
        <v>46120</v>
      </c>
      <c r="N723" s="5" t="inlineStr">
        <is>
          <t>Approved</t>
        </is>
      </c>
      <c r="O723" s="5" t="inlineStr">
        <is>
          <t>Site</t>
        </is>
      </c>
      <c r="P723" s="5" t="inlineStr">
        <is>
          <t>United States</t>
        </is>
      </c>
      <c r="Q723" s="13" t="inlineStr">
        <is>
          <t>S10-US10040</t>
        </is>
      </c>
      <c r="R723" s="5" t="inlineStr">
        <is>
          <t>Daniel Woodland</t>
        </is>
      </c>
      <c r="S723" s="8" t="n">
        <v>46120.93131944445</v>
      </c>
    </row>
    <row r="724" hidden="1" ht="29" customHeight="1">
      <c r="A724" s="15">
        <f>HYPERLINK("https://vtmf.veevavault.com/ui/#doc_info/31415973/1/0", "VTMF-25347950")</f>
        <v/>
      </c>
      <c r="B724" s="19" t="inlineStr">
        <is>
          <t>No</t>
        </is>
      </c>
      <c r="C724" s="5" t="inlineStr">
        <is>
          <t>1.0</t>
        </is>
      </c>
      <c r="D724" s="5" t="inlineStr">
        <is>
          <t>GCO</t>
        </is>
      </c>
      <c r="E724" s="5" t="inlineStr">
        <is>
          <t>42847922MDD3003</t>
        </is>
      </c>
      <c r="F724" s="16">
        <f>HYPERLINK("https://vtmf.veevavault.com/ui/#doc_info/31415973/1/0", "42847922MDD3003-USA-S10-US10040-Sub-Investigator Curriculum Vitae-16 Dec 2025 (v1.0)")</f>
        <v/>
      </c>
      <c r="G724" s="5" t="inlineStr">
        <is>
          <t>Site Management</t>
        </is>
      </c>
      <c r="H724" s="5" t="inlineStr">
        <is>
          <t>Site Set-up Documentation</t>
        </is>
      </c>
      <c r="I724" s="5" t="inlineStr">
        <is>
          <t>Sub-Investigator Curriculum Vitae</t>
        </is>
      </c>
      <c r="J724" s="5" t="inlineStr">
        <is>
          <t>Sub-I CV_English_Ross, A_Initial</t>
        </is>
      </c>
      <c r="K724" s="6" t="n">
        <v>113</v>
      </c>
      <c r="L724" s="7" t="n">
        <v>46007</v>
      </c>
      <c r="M724" s="11" t="n">
        <v>46120</v>
      </c>
      <c r="N724" s="5" t="inlineStr">
        <is>
          <t>Approved</t>
        </is>
      </c>
      <c r="O724" s="5" t="inlineStr">
        <is>
          <t>Site</t>
        </is>
      </c>
      <c r="P724" s="5" t="inlineStr">
        <is>
          <t>United States</t>
        </is>
      </c>
      <c r="Q724" s="13" t="inlineStr">
        <is>
          <t>S10-US10040</t>
        </is>
      </c>
      <c r="R724" s="5" t="inlineStr">
        <is>
          <t>Daniel Woodland</t>
        </is>
      </c>
      <c r="S724" s="8" t="n">
        <v>46120.93537037037</v>
      </c>
    </row>
    <row r="725" hidden="1" ht="43.5" customHeight="1">
      <c r="A725" s="15">
        <f>HYPERLINK("https://vtmf.veevavault.com/ui/#doc_info/31422393/1/0", "VTMF-25353676")</f>
        <v/>
      </c>
      <c r="B725" s="20" t="inlineStr">
        <is>
          <t>Yes</t>
        </is>
      </c>
      <c r="C725" s="5" t="inlineStr">
        <is>
          <t>1.0</t>
        </is>
      </c>
      <c r="D725" s="5" t="inlineStr">
        <is>
          <t>GCO</t>
        </is>
      </c>
      <c r="E725" s="5" t="inlineStr">
        <is>
          <t>42847922MDD3003</t>
        </is>
      </c>
      <c r="F725" s="16">
        <f>HYPERLINK("https://vtmf.veevavault.com/ui/#doc_info/31422393/1/0", "42847922MDD3003-ARG-S10-AR10012-Relevant Communications-04 Feb 2026 (v1.0)")</f>
        <v/>
      </c>
      <c r="G725" s="5" t="inlineStr">
        <is>
          <t>Site Management</t>
        </is>
      </c>
      <c r="H725" s="5" t="inlineStr">
        <is>
          <t>General</t>
        </is>
      </c>
      <c r="I725" s="5" t="inlineStr">
        <is>
          <t>Relevant Communications</t>
        </is>
      </c>
      <c r="J725" s="5" t="inlineStr">
        <is>
          <t>_PI_ Christian Maria Rosa Lupo_ Site_S10-AR10012 _Subject_ AR100120019_IQVIA Eligibility Review_ Approved.</t>
        </is>
      </c>
      <c r="K725" s="6" t="n">
        <v>64</v>
      </c>
      <c r="L725" s="7" t="n">
        <v>46057</v>
      </c>
      <c r="M725" s="11" t="n">
        <v>46121</v>
      </c>
      <c r="N725" s="5" t="inlineStr">
        <is>
          <t>Approved</t>
        </is>
      </c>
      <c r="O725" s="5" t="inlineStr">
        <is>
          <t>Site</t>
        </is>
      </c>
      <c r="P725" s="5" t="inlineStr">
        <is>
          <t>Argentina</t>
        </is>
      </c>
      <c r="Q725" s="13" t="inlineStr">
        <is>
          <t>S10-AR10012</t>
        </is>
      </c>
      <c r="R725" s="5" t="inlineStr">
        <is>
          <t>Gina Stefanelli</t>
        </is>
      </c>
      <c r="S725" s="8" t="n">
        <v>46121.69972222222</v>
      </c>
    </row>
    <row r="726" hidden="1" ht="43.5" customHeight="1">
      <c r="A726" s="15">
        <f>HYPERLINK("https://vtmf.veevavault.com/ui/#doc_info/31423139/1/0", "VTMF-25354106")</f>
        <v/>
      </c>
      <c r="B726" s="20" t="inlineStr">
        <is>
          <t>Yes</t>
        </is>
      </c>
      <c r="C726" s="5" t="inlineStr">
        <is>
          <t>1.0</t>
        </is>
      </c>
      <c r="D726" s="5" t="inlineStr">
        <is>
          <t>GCO</t>
        </is>
      </c>
      <c r="E726" s="5" t="inlineStr">
        <is>
          <t>42847922MDD3003</t>
        </is>
      </c>
      <c r="F726" s="16">
        <f>HYPERLINK("https://vtmf.veevavault.com/ui/#doc_info/31423139/1/0", "42847922MDD3003-USA-S10-US10064-Relevant Communications-26 Aug 2025 (v1.0)")</f>
        <v/>
      </c>
      <c r="G726" s="5" t="inlineStr">
        <is>
          <t>Site Management</t>
        </is>
      </c>
      <c r="H726" s="5" t="inlineStr">
        <is>
          <t>General</t>
        </is>
      </c>
      <c r="I726" s="5" t="inlineStr">
        <is>
          <t>Relevant Communications</t>
        </is>
      </c>
      <c r="J726" s="5" t="inlineStr">
        <is>
          <t>PI_Jorge Venereo_Site_S10-US10064_Subject_US100640035_IQVIA Eligibility Review_NOT Approved</t>
        </is>
      </c>
      <c r="K726" s="6" t="n">
        <v>226</v>
      </c>
      <c r="L726" s="7" t="n">
        <v>45895</v>
      </c>
      <c r="M726" s="11" t="n">
        <v>46121</v>
      </c>
      <c r="N726" s="5" t="inlineStr">
        <is>
          <t>Approved</t>
        </is>
      </c>
      <c r="O726" s="5" t="inlineStr">
        <is>
          <t>Site</t>
        </is>
      </c>
      <c r="P726" s="5" t="inlineStr">
        <is>
          <t>United States</t>
        </is>
      </c>
      <c r="Q726" s="13" t="inlineStr">
        <is>
          <t>S10-US10064</t>
        </is>
      </c>
      <c r="R726" s="5" t="inlineStr">
        <is>
          <t>Debhora Garcia</t>
        </is>
      </c>
      <c r="S726" s="8" t="n">
        <v>46121.74789351852</v>
      </c>
    </row>
    <row r="727" hidden="1" ht="29" customHeight="1">
      <c r="A727" s="15">
        <f>HYPERLINK("https://vtmf.veevavault.com/ui/#doc_info/31423086/1/0", "VTMF-25354149")</f>
        <v/>
      </c>
      <c r="B727" s="20" t="inlineStr">
        <is>
          <t>Yes</t>
        </is>
      </c>
      <c r="C727" s="5" t="inlineStr">
        <is>
          <t>1.0</t>
        </is>
      </c>
      <c r="D727" s="5" t="inlineStr">
        <is>
          <t>GCO</t>
        </is>
      </c>
      <c r="E727" s="5" t="inlineStr">
        <is>
          <t>42847922MDD3003</t>
        </is>
      </c>
      <c r="F727" s="16">
        <f>HYPERLINK("https://vtmf.veevavault.com/ui/#doc_info/31423086/1/0", "42847922MDD3003-SVK-S10-SK10005-Relevant Communications-27 Aug 2025 (v1.0)")</f>
        <v/>
      </c>
      <c r="G727" s="5" t="inlineStr">
        <is>
          <t>Site Management</t>
        </is>
      </c>
      <c r="H727" s="5" t="inlineStr">
        <is>
          <t>General</t>
        </is>
      </c>
      <c r="I727" s="5" t="inlineStr">
        <is>
          <t>Relevant Communications</t>
        </is>
      </c>
      <c r="J727" s="5" t="inlineStr">
        <is>
          <t>Site S10-SK10005_ PI_ Dr Rastislav Korba _ Subject SK100050001_IQVIA Eligibility Review_ Screen failed</t>
        </is>
      </c>
      <c r="K727" s="6" t="n">
        <v>225</v>
      </c>
      <c r="L727" s="7" t="n">
        <v>45896</v>
      </c>
      <c r="M727" s="11" t="n">
        <v>46121</v>
      </c>
      <c r="N727" s="5" t="inlineStr">
        <is>
          <t>Approved</t>
        </is>
      </c>
      <c r="O727" s="5" t="inlineStr">
        <is>
          <t>Site</t>
        </is>
      </c>
      <c r="P727" s="5" t="inlineStr">
        <is>
          <t>Slovakia</t>
        </is>
      </c>
      <c r="Q727" s="13" t="inlineStr">
        <is>
          <t>S10-SK10005</t>
        </is>
      </c>
      <c r="R727" s="5" t="inlineStr">
        <is>
          <t>Debhora Garcia</t>
        </is>
      </c>
      <c r="S727" s="8" t="n">
        <v>46121.75582175926</v>
      </c>
    </row>
    <row r="728" hidden="1" ht="29" customHeight="1">
      <c r="A728" s="15">
        <f>HYPERLINK("https://vtmf.veevavault.com/ui/#doc_info/31423090/1/0", "VTMF-25354158")</f>
        <v/>
      </c>
      <c r="B728" s="20" t="inlineStr">
        <is>
          <t>Yes</t>
        </is>
      </c>
      <c r="C728" s="5" t="inlineStr">
        <is>
          <t>1.0</t>
        </is>
      </c>
      <c r="D728" s="5" t="inlineStr">
        <is>
          <t>GCO</t>
        </is>
      </c>
      <c r="E728" s="5" t="inlineStr">
        <is>
          <t>42847922MDD3003</t>
        </is>
      </c>
      <c r="F728" s="16">
        <f>HYPERLINK("https://vtmf.veevavault.com/ui/#doc_info/31423090/1/0", "42847922MDD3003-MEX-S10-MX10011-Relevant Communications-19 Sep 2025 (v1.0)")</f>
        <v/>
      </c>
      <c r="G728" s="5" t="inlineStr">
        <is>
          <t>Site Management</t>
        </is>
      </c>
      <c r="H728" s="5" t="inlineStr">
        <is>
          <t>General</t>
        </is>
      </c>
      <c r="I728" s="5" t="inlineStr">
        <is>
          <t>Relevant Communications</t>
        </is>
      </c>
      <c r="J728" s="5" t="inlineStr">
        <is>
          <t>PI_ Jose Arellano_Site ID_ S10-MX10011 _Subject MX100110002_IQVIA Eligibility Review_Approved</t>
        </is>
      </c>
      <c r="K728" s="6" t="n">
        <v>202</v>
      </c>
      <c r="L728" s="7" t="n">
        <v>45919</v>
      </c>
      <c r="M728" s="11" t="n">
        <v>46121</v>
      </c>
      <c r="N728" s="5" t="inlineStr">
        <is>
          <t>Approved</t>
        </is>
      </c>
      <c r="O728" s="5" t="inlineStr">
        <is>
          <t>Site</t>
        </is>
      </c>
      <c r="P728" s="5" t="inlineStr">
        <is>
          <t>Mexico</t>
        </is>
      </c>
      <c r="Q728" s="13" t="inlineStr">
        <is>
          <t>S10-MX10011</t>
        </is>
      </c>
      <c r="R728" s="5" t="inlineStr">
        <is>
          <t>Debhora Garcia</t>
        </is>
      </c>
      <c r="S728" s="8" t="n">
        <v>46121.75748842592</v>
      </c>
    </row>
    <row r="729" hidden="1" ht="29" customHeight="1">
      <c r="A729" s="15">
        <f>HYPERLINK("https://vtmf.veevavault.com/ui/#doc_info/31423181/1/0", "VTMF-25354175")</f>
        <v/>
      </c>
      <c r="B729" s="20" t="inlineStr">
        <is>
          <t>Yes</t>
        </is>
      </c>
      <c r="C729" s="5" t="inlineStr">
        <is>
          <t>1.0</t>
        </is>
      </c>
      <c r="D729" s="5" t="inlineStr">
        <is>
          <t>GCO</t>
        </is>
      </c>
      <c r="E729" s="5" t="inlineStr">
        <is>
          <t>42847922MDD3003</t>
        </is>
      </c>
      <c r="F729" s="16">
        <f>HYPERLINK("https://vtmf.veevavault.com/ui/#doc_info/31423181/1/0", "42847922MDD3003-USA-S10-US10256-Relevant Communications-22 Sep 2025 (v1.0)")</f>
        <v/>
      </c>
      <c r="G729" s="5" t="inlineStr">
        <is>
          <t>Site Management</t>
        </is>
      </c>
      <c r="H729" s="5" t="inlineStr">
        <is>
          <t>General</t>
        </is>
      </c>
      <c r="I729" s="5" t="inlineStr">
        <is>
          <t>Relevant Communications</t>
        </is>
      </c>
      <c r="J729" s="5" t="inlineStr">
        <is>
          <t>PI_ Dr Vasundhara Cheekati_ Site-US10256_ Subject -US102560015 _IQVIA Eligibility Review_Approved</t>
        </is>
      </c>
      <c r="K729" s="6" t="n">
        <v>199</v>
      </c>
      <c r="L729" s="7" t="n">
        <v>45922</v>
      </c>
      <c r="M729" s="11" t="n">
        <v>46121</v>
      </c>
      <c r="N729" s="5" t="inlineStr">
        <is>
          <t>Approved</t>
        </is>
      </c>
      <c r="O729" s="5" t="inlineStr">
        <is>
          <t>Site</t>
        </is>
      </c>
      <c r="P729" s="5" t="inlineStr">
        <is>
          <t>United States</t>
        </is>
      </c>
      <c r="Q729" s="13" t="inlineStr">
        <is>
          <t>S10-US10256</t>
        </is>
      </c>
      <c r="R729" s="5" t="inlineStr">
        <is>
          <t>Debhora Garcia</t>
        </is>
      </c>
      <c r="S729" s="8" t="n">
        <v>46121.76101851852</v>
      </c>
    </row>
    <row r="730" hidden="1" ht="43.5" customHeight="1">
      <c r="A730" s="15">
        <f>HYPERLINK("https://vtmf.veevavault.com/ui/#doc_info/31423190/1/0", "VTMF-25354179")</f>
        <v/>
      </c>
      <c r="B730" s="20" t="inlineStr">
        <is>
          <t>Yes</t>
        </is>
      </c>
      <c r="C730" s="5" t="inlineStr">
        <is>
          <t>1.0</t>
        </is>
      </c>
      <c r="D730" s="5" t="inlineStr">
        <is>
          <t>GCO</t>
        </is>
      </c>
      <c r="E730" s="5" t="inlineStr">
        <is>
          <t>42847922MDD3003</t>
        </is>
      </c>
      <c r="F730" s="16">
        <f>HYPERLINK("https://vtmf.veevavault.com/ui/#doc_info/31423190/1/0", "42847922MDD3003-USA-S10-US10041-Relevant Communications-25 Sep 2025 (v1.0)")</f>
        <v/>
      </c>
      <c r="G730" s="5" t="inlineStr">
        <is>
          <t>Site Management</t>
        </is>
      </c>
      <c r="H730" s="5" t="inlineStr">
        <is>
          <t>General</t>
        </is>
      </c>
      <c r="I730" s="5" t="inlineStr">
        <is>
          <t>Relevant Communications</t>
        </is>
      </c>
      <c r="J730" s="5" t="inlineStr">
        <is>
          <t>PI_Inna Yuryev Golger_ Site_S10-US10041_Subject_US100410017_subject moved to DAY1_BASELINE without MDR Outcome</t>
        </is>
      </c>
      <c r="K730" s="6" t="n">
        <v>196</v>
      </c>
      <c r="L730" s="7" t="n">
        <v>45925</v>
      </c>
      <c r="M730" s="11" t="n">
        <v>46121</v>
      </c>
      <c r="N730" s="5" t="inlineStr">
        <is>
          <t>Approved</t>
        </is>
      </c>
      <c r="O730" s="5" t="inlineStr">
        <is>
          <t>Site</t>
        </is>
      </c>
      <c r="P730" s="5" t="inlineStr">
        <is>
          <t>United States</t>
        </is>
      </c>
      <c r="Q730" s="13" t="inlineStr">
        <is>
          <t>S10-US10041</t>
        </is>
      </c>
      <c r="R730" s="5" t="inlineStr">
        <is>
          <t>Debhora Garcia</t>
        </is>
      </c>
      <c r="S730" s="8" t="n">
        <v>46121.76238425926</v>
      </c>
    </row>
    <row r="731" hidden="1" ht="29" customHeight="1">
      <c r="A731" s="15">
        <f>HYPERLINK("https://vtmf.veevavault.com/ui/#doc_info/31423213/1/0", "VTMF-25354224")</f>
        <v/>
      </c>
      <c r="B731" s="20" t="inlineStr">
        <is>
          <t>Yes</t>
        </is>
      </c>
      <c r="C731" s="5" t="inlineStr">
        <is>
          <t>1.0</t>
        </is>
      </c>
      <c r="D731" s="5" t="inlineStr">
        <is>
          <t>GCO</t>
        </is>
      </c>
      <c r="E731" s="5" t="inlineStr">
        <is>
          <t>42847922MDD3003</t>
        </is>
      </c>
      <c r="F731" s="16">
        <f>HYPERLINK("https://vtmf.veevavault.com/ui/#doc_info/31423213/1/0", "42847922MDD3003-USA-S10-US10041-Relevant Communications-24 Nov 2025 (v1.0)")</f>
        <v/>
      </c>
      <c r="G731" s="5" t="inlineStr">
        <is>
          <t>Site Management</t>
        </is>
      </c>
      <c r="H731" s="5" t="inlineStr">
        <is>
          <t>General</t>
        </is>
      </c>
      <c r="I731" s="5" t="inlineStr">
        <is>
          <t>Relevant Communications</t>
        </is>
      </c>
      <c r="J731" s="5" t="inlineStr">
        <is>
          <t>PI_Inna Yuryev Golger_ Site_S10-US10041_Subject_ US100410024 _IQVIA Eligibility Review_Approved</t>
        </is>
      </c>
      <c r="K731" s="6" t="n">
        <v>136</v>
      </c>
      <c r="L731" s="7" t="n">
        <v>45985</v>
      </c>
      <c r="M731" s="11" t="n">
        <v>46121</v>
      </c>
      <c r="N731" s="5" t="inlineStr">
        <is>
          <t>Approved</t>
        </is>
      </c>
      <c r="O731" s="5" t="inlineStr">
        <is>
          <t>Site</t>
        </is>
      </c>
      <c r="P731" s="5" t="inlineStr">
        <is>
          <t>United States</t>
        </is>
      </c>
      <c r="Q731" s="13" t="inlineStr">
        <is>
          <t>S10-US10041</t>
        </is>
      </c>
      <c r="R731" s="5" t="inlineStr">
        <is>
          <t>Debhora Garcia</t>
        </is>
      </c>
      <c r="S731" s="8" t="n">
        <v>46121.76976851852</v>
      </c>
    </row>
    <row r="732" hidden="1" ht="29" customHeight="1">
      <c r="A732" s="15">
        <f>HYPERLINK("https://vtmf.veevavault.com/ui/#doc_info/31423329/1/0", "VTMF-25354245")</f>
        <v/>
      </c>
      <c r="B732" s="20" t="inlineStr">
        <is>
          <t>Yes</t>
        </is>
      </c>
      <c r="C732" s="5" t="inlineStr">
        <is>
          <t>1.0</t>
        </is>
      </c>
      <c r="D732" s="5" t="inlineStr">
        <is>
          <t>GCO</t>
        </is>
      </c>
      <c r="E732" s="5" t="inlineStr">
        <is>
          <t>42847922MDD3003</t>
        </is>
      </c>
      <c r="F732" s="16">
        <f>HYPERLINK("https://vtmf.veevavault.com/ui/#doc_info/31423329/1/0", "42847922MDD3003-PRT-S10-PT10001-Relevant Communications-26 Nov 2025 (v1.0)")</f>
        <v/>
      </c>
      <c r="G732" s="5" t="inlineStr">
        <is>
          <t>Site Management</t>
        </is>
      </c>
      <c r="H732" s="5" t="inlineStr">
        <is>
          <t>General</t>
        </is>
      </c>
      <c r="I732" s="5" t="inlineStr">
        <is>
          <t>Relevant Communications</t>
        </is>
      </c>
      <c r="J732" s="5" t="inlineStr">
        <is>
          <t>PI_Albino Maia_ Site_S10-PT10001_Subject_ PT100010003 _IQVIA Eligibility Review_Approved</t>
        </is>
      </c>
      <c r="K732" s="6" t="n">
        <v>134</v>
      </c>
      <c r="L732" s="7" t="n">
        <v>45987</v>
      </c>
      <c r="M732" s="11" t="n">
        <v>46121</v>
      </c>
      <c r="N732" s="5" t="inlineStr">
        <is>
          <t>Approved</t>
        </is>
      </c>
      <c r="O732" s="5" t="inlineStr">
        <is>
          <t>Site</t>
        </is>
      </c>
      <c r="P732" s="5" t="inlineStr">
        <is>
          <t>Portugal</t>
        </is>
      </c>
      <c r="Q732" s="13" t="inlineStr">
        <is>
          <t>S10-PT10001</t>
        </is>
      </c>
      <c r="R732" s="5" t="inlineStr">
        <is>
          <t>Debhora Garcia</t>
        </is>
      </c>
      <c r="S732" s="8" t="n">
        <v>46121.77173611111</v>
      </c>
    </row>
    <row r="733" hidden="1" ht="29" customHeight="1">
      <c r="A733" s="15">
        <f>HYPERLINK("https://vtmf.veevavault.com/ui/#doc_info/31423512/1/0", "VTMF-25354453")</f>
        <v/>
      </c>
      <c r="B733" s="20" t="inlineStr">
        <is>
          <t>Yes</t>
        </is>
      </c>
      <c r="C733" s="5" t="inlineStr">
        <is>
          <t>1.0</t>
        </is>
      </c>
      <c r="D733" s="5" t="inlineStr">
        <is>
          <t>GCO</t>
        </is>
      </c>
      <c r="E733" s="5" t="inlineStr">
        <is>
          <t>42847922MDD3003</t>
        </is>
      </c>
      <c r="F733" s="16">
        <f>HYPERLINK("https://vtmf.veevavault.com/ui/#doc_info/31423512/1/0", "42847922MDD3003-USA-S10-US10257-Relevant Communications-26 Nov 2025 (v1.0)")</f>
        <v/>
      </c>
      <c r="G733" s="5" t="inlineStr">
        <is>
          <t>Site Management</t>
        </is>
      </c>
      <c r="H733" s="5" t="inlineStr">
        <is>
          <t>General</t>
        </is>
      </c>
      <c r="I733" s="5" t="inlineStr">
        <is>
          <t>Relevant Communications</t>
        </is>
      </c>
      <c r="J733" s="5" t="inlineStr">
        <is>
          <t>PI -Thomas Lester _Site ID_ S10-US10257_ Subject ID- US102570010____IQVIA Eligibility Review_ Approved</t>
        </is>
      </c>
      <c r="K733" s="6" t="n">
        <v>134</v>
      </c>
      <c r="L733" s="7" t="n">
        <v>45987</v>
      </c>
      <c r="M733" s="11" t="n">
        <v>46121</v>
      </c>
      <c r="N733" s="5" t="inlineStr">
        <is>
          <t>Approved</t>
        </is>
      </c>
      <c r="O733" s="5" t="inlineStr">
        <is>
          <t>Site</t>
        </is>
      </c>
      <c r="P733" s="5" t="inlineStr">
        <is>
          <t>United States</t>
        </is>
      </c>
      <c r="Q733" s="13" t="inlineStr">
        <is>
          <t>S10-US10257</t>
        </is>
      </c>
      <c r="R733" s="5" t="inlineStr">
        <is>
          <t>Debhora Garcia</t>
        </is>
      </c>
      <c r="S733" s="8" t="n">
        <v>46121.80193287037</v>
      </c>
    </row>
    <row r="734" hidden="1" ht="43.5" customHeight="1">
      <c r="A734" s="15">
        <f>HYPERLINK("https://vtmf.veevavault.com/ui/#doc_info/31423485/1/0", "VTMF-25354481")</f>
        <v/>
      </c>
      <c r="B734" s="20" t="inlineStr">
        <is>
          <t>Yes</t>
        </is>
      </c>
      <c r="C734" s="5" t="inlineStr">
        <is>
          <t>1.0</t>
        </is>
      </c>
      <c r="D734" s="5" t="inlineStr">
        <is>
          <t>GCO</t>
        </is>
      </c>
      <c r="E734" s="5" t="inlineStr">
        <is>
          <t>42847922MDD3003</t>
        </is>
      </c>
      <c r="F734" s="16">
        <f>HYPERLINK("https://vtmf.veevavault.com/ui/#doc_info/31423485/1/0", "42847922MDD3003-ARG-S10-AR10012-Relevant Communications-11 Aug 2025 (v1.0)")</f>
        <v/>
      </c>
      <c r="G734" s="5" t="inlineStr">
        <is>
          <t>Site Management</t>
        </is>
      </c>
      <c r="H734" s="5" t="inlineStr">
        <is>
          <t>General</t>
        </is>
      </c>
      <c r="I734" s="5" t="inlineStr">
        <is>
          <t>Relevant Communications</t>
        </is>
      </c>
      <c r="J734" s="5" t="inlineStr">
        <is>
          <t>PI_Dr Christian Maria Rosa Lupo _ Site_S10- AR10012_Subject_AR100120012 _IQVIA Eligibility Review_Approved</t>
        </is>
      </c>
      <c r="K734" s="6" t="n">
        <v>241</v>
      </c>
      <c r="L734" s="7" t="n">
        <v>45880</v>
      </c>
      <c r="M734" s="11" t="n">
        <v>46121</v>
      </c>
      <c r="N734" s="5" t="inlineStr">
        <is>
          <t>Approved</t>
        </is>
      </c>
      <c r="O734" s="5" t="inlineStr">
        <is>
          <t>Site</t>
        </is>
      </c>
      <c r="P734" s="5" t="inlineStr">
        <is>
          <t>Argentina</t>
        </is>
      </c>
      <c r="Q734" s="13" t="inlineStr">
        <is>
          <t>S10-AR10012</t>
        </is>
      </c>
      <c r="R734" s="5" t="inlineStr">
        <is>
          <t>Debhora Garcia</t>
        </is>
      </c>
      <c r="S734" s="8" t="n">
        <v>46121.80798611111</v>
      </c>
    </row>
    <row r="735" hidden="1" ht="43.5" customHeight="1">
      <c r="A735" s="15">
        <f>HYPERLINK("https://vtmf.veevavault.com/ui/#doc_info/31423977/1/0", "VTMF-25354921")</f>
        <v/>
      </c>
      <c r="B735" s="20" t="inlineStr">
        <is>
          <t>Yes</t>
        </is>
      </c>
      <c r="C735" s="5" t="inlineStr">
        <is>
          <t>1.0</t>
        </is>
      </c>
      <c r="D735" s="5" t="inlineStr">
        <is>
          <t>GCO</t>
        </is>
      </c>
      <c r="E735" s="5" t="inlineStr">
        <is>
          <t>42847922MDD3003</t>
        </is>
      </c>
      <c r="F735" s="16">
        <f>HYPERLINK("https://vtmf.veevavault.com/ui/#doc_info/31423977/1/0", "42847922MDD3003-USA-S10-US10041-Relevant Communications-11 Aug 2025 (v1.0)")</f>
        <v/>
      </c>
      <c r="G735" s="5" t="inlineStr">
        <is>
          <t>Site Management</t>
        </is>
      </c>
      <c r="H735" s="5" t="inlineStr">
        <is>
          <t>General</t>
        </is>
      </c>
      <c r="I735" s="5" t="inlineStr">
        <is>
          <t>Relevant Communications</t>
        </is>
      </c>
      <c r="J735" s="5" t="inlineStr">
        <is>
          <t>PI_Dr Dr Inna Yuryev Golger _ Site_S10-US10041_Subject_US100410009 _IQVIA Eligibility Review_Approved</t>
        </is>
      </c>
      <c r="K735" s="6" t="n">
        <v>241</v>
      </c>
      <c r="L735" s="7" t="n">
        <v>45880</v>
      </c>
      <c r="M735" s="11" t="n">
        <v>46121</v>
      </c>
      <c r="N735" s="5" t="inlineStr">
        <is>
          <t>Approved</t>
        </is>
      </c>
      <c r="O735" s="5" t="inlineStr">
        <is>
          <t>Site</t>
        </is>
      </c>
      <c r="P735" s="5" t="inlineStr">
        <is>
          <t>United States</t>
        </is>
      </c>
      <c r="Q735" s="13" t="inlineStr">
        <is>
          <t>S10-US10041</t>
        </is>
      </c>
      <c r="R735" s="5" t="inlineStr">
        <is>
          <t>Debhora Garcia</t>
        </is>
      </c>
      <c r="S735" s="8" t="n">
        <v>46121.87240740741</v>
      </c>
    </row>
    <row r="736" hidden="1" ht="43.5" customHeight="1">
      <c r="A736" s="15">
        <f>HYPERLINK("https://vtmf.veevavault.com/ui/#doc_info/31424073/1/0", "VTMF-25355001")</f>
        <v/>
      </c>
      <c r="B736" s="20" t="inlineStr">
        <is>
          <t>Yes</t>
        </is>
      </c>
      <c r="C736" s="5" t="inlineStr">
        <is>
          <t>1.0</t>
        </is>
      </c>
      <c r="D736" s="5" t="inlineStr">
        <is>
          <t>GCO</t>
        </is>
      </c>
      <c r="E736" s="5" t="inlineStr">
        <is>
          <t>42847922MDD3003</t>
        </is>
      </c>
      <c r="F736" s="16">
        <f>HYPERLINK("https://vtmf.veevavault.com/ui/#doc_info/31424073/1/0", "42847922MDD3003-TUR-S10-TR10009-Relevant Communications-12 Aug 2025 (v1.0)")</f>
        <v/>
      </c>
      <c r="G736" s="5" t="inlineStr">
        <is>
          <t>Site Management</t>
        </is>
      </c>
      <c r="H736" s="5" t="inlineStr">
        <is>
          <t>General</t>
        </is>
      </c>
      <c r="I736" s="5" t="inlineStr">
        <is>
          <t>Relevant Communications</t>
        </is>
      </c>
      <c r="J736" s="5" t="inlineStr">
        <is>
          <t>PI_Aslihan Polat_ Site_S10-TR10009_Subject_TR100090003_IQVIA Eligibility Review_Approved</t>
        </is>
      </c>
      <c r="K736" s="6" t="n">
        <v>240</v>
      </c>
      <c r="L736" s="7" t="n">
        <v>45881</v>
      </c>
      <c r="M736" s="11" t="n">
        <v>46121</v>
      </c>
      <c r="N736" s="5" t="inlineStr">
        <is>
          <t>Approved</t>
        </is>
      </c>
      <c r="O736" s="5" t="inlineStr">
        <is>
          <t>Site</t>
        </is>
      </c>
      <c r="P736" s="5" t="inlineStr">
        <is>
          <t>Türkiye</t>
        </is>
      </c>
      <c r="Q736" s="13" t="inlineStr">
        <is>
          <t>S10-TR10009</t>
        </is>
      </c>
      <c r="R736" s="5" t="inlineStr">
        <is>
          <t>Debhora Garcia</t>
        </is>
      </c>
      <c r="S736" s="8" t="n">
        <v>46121.88472222222</v>
      </c>
    </row>
    <row r="737" hidden="1" ht="43.5" customHeight="1">
      <c r="A737" s="15">
        <f>HYPERLINK("https://vtmf.veevavault.com/ui/#doc_info/31424085/1/0", "VTMF-25355012")</f>
        <v/>
      </c>
      <c r="B737" s="20" t="inlineStr">
        <is>
          <t>Yes</t>
        </is>
      </c>
      <c r="C737" s="5" t="inlineStr">
        <is>
          <t>1.0</t>
        </is>
      </c>
      <c r="D737" s="5" t="inlineStr">
        <is>
          <t>GCO</t>
        </is>
      </c>
      <c r="E737" s="5" t="inlineStr">
        <is>
          <t>42847922MDD3003</t>
        </is>
      </c>
      <c r="F737" s="16">
        <f>HYPERLINK("https://vtmf.veevavault.com/ui/#doc_info/31424085/1/0", "42847922MDD3003-SWE-S10-SE10002-Relevant Communications-12 Aug 2025 (v1.0)")</f>
        <v/>
      </c>
      <c r="G737" s="5" t="inlineStr">
        <is>
          <t>Site Management</t>
        </is>
      </c>
      <c r="H737" s="5" t="inlineStr">
        <is>
          <t>General</t>
        </is>
      </c>
      <c r="I737" s="5" t="inlineStr">
        <is>
          <t>Relevant Communications</t>
        </is>
      </c>
      <c r="J737" s="5" t="inlineStr">
        <is>
          <t>PI_Dr Peter Bosson _ Site__S10-SE10002_Subject_SE100020014 _IQVIA Eligibility Review_Approved</t>
        </is>
      </c>
      <c r="K737" s="6" t="n">
        <v>240</v>
      </c>
      <c r="L737" s="7" t="n">
        <v>45881</v>
      </c>
      <c r="M737" s="11" t="n">
        <v>46121</v>
      </c>
      <c r="N737" s="5" t="inlineStr">
        <is>
          <t>Approved</t>
        </is>
      </c>
      <c r="O737" s="5" t="inlineStr">
        <is>
          <t>Site</t>
        </is>
      </c>
      <c r="P737" s="5" t="inlineStr">
        <is>
          <t>Sweden</t>
        </is>
      </c>
      <c r="Q737" s="13" t="inlineStr">
        <is>
          <t>S10-SE10002</t>
        </is>
      </c>
      <c r="R737" s="5" t="inlineStr">
        <is>
          <t>Debhora Garcia</t>
        </is>
      </c>
      <c r="S737" s="8" t="n">
        <v>46121.88674768519</v>
      </c>
    </row>
    <row r="738" hidden="1" ht="43.5" customHeight="1">
      <c r="A738" s="15">
        <f>HYPERLINK("https://vtmf.veevavault.com/ui/#doc_info/31424239/1/0", "VTMF-25355095")</f>
        <v/>
      </c>
      <c r="B738" s="20" t="inlineStr">
        <is>
          <t>Yes</t>
        </is>
      </c>
      <c r="C738" s="5" t="inlineStr">
        <is>
          <t>1.0</t>
        </is>
      </c>
      <c r="D738" s="5" t="inlineStr">
        <is>
          <t>GCO</t>
        </is>
      </c>
      <c r="E738" s="5" t="inlineStr">
        <is>
          <t>42847922MDD3003</t>
        </is>
      </c>
      <c r="F738" s="16">
        <f>HYPERLINK("https://vtmf.veevavault.com/ui/#doc_info/31424239/1/0", "42847922MDD3003-POL-S10-PL10019-Relevant Communications-12 Aug 2025 (v1.0)")</f>
        <v/>
      </c>
      <c r="G738" s="5" t="inlineStr">
        <is>
          <t>Site Management</t>
        </is>
      </c>
      <c r="H738" s="5" t="inlineStr">
        <is>
          <t>General</t>
        </is>
      </c>
      <c r="I738" s="5" t="inlineStr">
        <is>
          <t>Relevant Communications</t>
        </is>
      </c>
      <c r="J738" s="5" t="inlineStr">
        <is>
          <t>PI_Barbara Janczewska_ Site_S10-PL10019_Subject_PL100190004_IQVIA Eligibility Review_Approved</t>
        </is>
      </c>
      <c r="K738" s="6" t="n">
        <v>240</v>
      </c>
      <c r="L738" s="7" t="n">
        <v>45881</v>
      </c>
      <c r="M738" s="11" t="n">
        <v>46121</v>
      </c>
      <c r="N738" s="5" t="inlineStr">
        <is>
          <t>Approved</t>
        </is>
      </c>
      <c r="O738" s="5" t="inlineStr">
        <is>
          <t>Site</t>
        </is>
      </c>
      <c r="P738" s="5" t="inlineStr">
        <is>
          <t>Poland</t>
        </is>
      </c>
      <c r="Q738" s="13" t="inlineStr">
        <is>
          <t>S10-PL10019</t>
        </is>
      </c>
      <c r="R738" s="5" t="inlineStr">
        <is>
          <t>Debhora Garcia</t>
        </is>
      </c>
      <c r="S738" s="8" t="n">
        <v>46121.90020833333</v>
      </c>
    </row>
    <row r="739" hidden="1" ht="43.5" customHeight="1">
      <c r="A739" s="15">
        <f>HYPERLINK("https://vtmf.veevavault.com/ui/#doc_info/31424652/1/0", "VTMF-25355468")</f>
        <v/>
      </c>
      <c r="B739" s="20" t="inlineStr">
        <is>
          <t>Yes</t>
        </is>
      </c>
      <c r="C739" s="5" t="inlineStr">
        <is>
          <t>1.0</t>
        </is>
      </c>
      <c r="D739" s="5" t="inlineStr">
        <is>
          <t>GCO</t>
        </is>
      </c>
      <c r="E739" s="5" t="inlineStr">
        <is>
          <t>42847922MDD3003</t>
        </is>
      </c>
      <c r="F739" s="16">
        <f>HYPERLINK("https://vtmf.veevavault.com/ui/#doc_info/31424652/1/0", "42847922MDD3003-SRB-S10-RS10004-Relevant Communications-19 Aug 2025 (v1.0)")</f>
        <v/>
      </c>
      <c r="G739" s="5" t="inlineStr">
        <is>
          <t>Site Management</t>
        </is>
      </c>
      <c r="H739" s="5" t="inlineStr">
        <is>
          <t>General</t>
        </is>
      </c>
      <c r="I739" s="5" t="inlineStr">
        <is>
          <t>Relevant Communications</t>
        </is>
      </c>
      <c r="J739" s="5" t="inlineStr">
        <is>
          <t>PI_ Dr Emil Tomas _ Site_S10-RS10004_Subject_RS100040001_IQVIA Eligibility Review_ Approved</t>
        </is>
      </c>
      <c r="K739" s="6" t="n">
        <v>233</v>
      </c>
      <c r="L739" s="7" t="n">
        <v>45888</v>
      </c>
      <c r="M739" s="11" t="n">
        <v>46121</v>
      </c>
      <c r="N739" s="5" t="inlineStr">
        <is>
          <t>Approved</t>
        </is>
      </c>
      <c r="O739" s="5" t="inlineStr">
        <is>
          <t>Site</t>
        </is>
      </c>
      <c r="P739" s="5" t="inlineStr">
        <is>
          <t>Serbia</t>
        </is>
      </c>
      <c r="Q739" s="13" t="inlineStr">
        <is>
          <t>S10-RS10004</t>
        </is>
      </c>
      <c r="R739" s="5" t="inlineStr">
        <is>
          <t>Debhora Garcia</t>
        </is>
      </c>
      <c r="S739" s="8" t="n">
        <v>46121.97414351852</v>
      </c>
    </row>
    <row r="740" hidden="1" ht="43.5" customHeight="1">
      <c r="A740" s="15">
        <f>HYPERLINK("https://vtmf.veevavault.com/ui/#doc_info/31424658/1/0", "VTMF-25355478")</f>
        <v/>
      </c>
      <c r="B740" s="20" t="inlineStr">
        <is>
          <t>Yes</t>
        </is>
      </c>
      <c r="C740" s="5" t="inlineStr">
        <is>
          <t>1.0</t>
        </is>
      </c>
      <c r="D740" s="5" t="inlineStr">
        <is>
          <t>GCO</t>
        </is>
      </c>
      <c r="E740" s="5" t="inlineStr">
        <is>
          <t>42847922MDD3003</t>
        </is>
      </c>
      <c r="F740" s="16">
        <f>HYPERLINK("https://vtmf.veevavault.com/ui/#doc_info/31424658/1/0", "42847922MDD3003-CZE-S10-CZ10004-Relevant Communications-27 Aug 2025 (v1.0)")</f>
        <v/>
      </c>
      <c r="G740" s="5" t="inlineStr">
        <is>
          <t>Site Management</t>
        </is>
      </c>
      <c r="H740" s="5" t="inlineStr">
        <is>
          <t>General</t>
        </is>
      </c>
      <c r="I740" s="5" t="inlineStr">
        <is>
          <t>Relevant Communications</t>
        </is>
      </c>
      <c r="J740" s="5" t="inlineStr">
        <is>
          <t>PI_Erik Herman_ Site_S10-CZ10004_Subject_CZ100040001_IQVIA Eligibility Review_Approved</t>
        </is>
      </c>
      <c r="K740" s="6" t="n">
        <v>225</v>
      </c>
      <c r="L740" s="7" t="n">
        <v>45896</v>
      </c>
      <c r="M740" s="11" t="n">
        <v>46121</v>
      </c>
      <c r="N740" s="5" t="inlineStr">
        <is>
          <t>Approved</t>
        </is>
      </c>
      <c r="O740" s="5" t="inlineStr">
        <is>
          <t>Site</t>
        </is>
      </c>
      <c r="P740" s="5" t="inlineStr">
        <is>
          <t>Czech Republic</t>
        </is>
      </c>
      <c r="Q740" s="13" t="inlineStr">
        <is>
          <t>S10-CZ10004</t>
        </is>
      </c>
      <c r="R740" s="5" t="inlineStr">
        <is>
          <t>Debhora Garcia</t>
        </is>
      </c>
      <c r="S740" s="8" t="n">
        <v>46121.97585648148</v>
      </c>
    </row>
    <row r="741" hidden="1" ht="43.5" customHeight="1">
      <c r="A741" s="15">
        <f>HYPERLINK("https://vtmf.veevavault.com/ui/#doc_info/31424661/1/0", "VTMF-25355488")</f>
        <v/>
      </c>
      <c r="B741" s="20" t="inlineStr">
        <is>
          <t>Yes</t>
        </is>
      </c>
      <c r="C741" s="5" t="inlineStr">
        <is>
          <t>1.0</t>
        </is>
      </c>
      <c r="D741" s="5" t="inlineStr">
        <is>
          <t>GCO</t>
        </is>
      </c>
      <c r="E741" s="5" t="inlineStr">
        <is>
          <t>42847922MDD3003</t>
        </is>
      </c>
      <c r="F741" s="16">
        <f>HYPERLINK("https://vtmf.veevavault.com/ui/#doc_info/31424661/1/0", "42847922MDD3003-BGR-S10-BG10008-Relevant Communications-01 Sep 2025 (v1.0)")</f>
        <v/>
      </c>
      <c r="G741" s="5" t="inlineStr">
        <is>
          <t>Site Management</t>
        </is>
      </c>
      <c r="H741" s="5" t="inlineStr">
        <is>
          <t>General</t>
        </is>
      </c>
      <c r="I741" s="5" t="inlineStr">
        <is>
          <t>Relevant Communications</t>
        </is>
      </c>
      <c r="J741" s="5" t="inlineStr">
        <is>
          <t>PI_Assen Karadaliev_ Site_S10-BG10008_Subject_BG100080007_IQVIA Eligibility Review_Approved</t>
        </is>
      </c>
      <c r="K741" s="6" t="n">
        <v>220</v>
      </c>
      <c r="L741" s="7" t="n">
        <v>45901</v>
      </c>
      <c r="M741" s="11" t="n">
        <v>46121</v>
      </c>
      <c r="N741" s="5" t="inlineStr">
        <is>
          <t>Approved</t>
        </is>
      </c>
      <c r="O741" s="5" t="inlineStr">
        <is>
          <t>Site</t>
        </is>
      </c>
      <c r="P741" s="5" t="inlineStr">
        <is>
          <t>Bulgaria</t>
        </is>
      </c>
      <c r="Q741" s="13" t="inlineStr">
        <is>
          <t>S10-BG10008</t>
        </is>
      </c>
      <c r="R741" s="5" t="inlineStr">
        <is>
          <t>Debhora Garcia</t>
        </is>
      </c>
      <c r="S741" s="8" t="n">
        <v>46121.9775</v>
      </c>
    </row>
    <row r="742" hidden="1" ht="43.5" customHeight="1">
      <c r="A742" s="15">
        <f>HYPERLINK("https://vtmf.veevavault.com/ui/#doc_info/31424568/1/0", "VTMF-25355504")</f>
        <v/>
      </c>
      <c r="B742" s="20" t="inlineStr">
        <is>
          <t>Yes</t>
        </is>
      </c>
      <c r="C742" s="5" t="inlineStr">
        <is>
          <t>1.0</t>
        </is>
      </c>
      <c r="D742" s="5" t="inlineStr">
        <is>
          <t>GCO</t>
        </is>
      </c>
      <c r="E742" s="5" t="inlineStr">
        <is>
          <t>42847922MDD3003</t>
        </is>
      </c>
      <c r="F742" s="16">
        <f>HYPERLINK("https://vtmf.veevavault.com/ui/#doc_info/31424568/1/0", "42847922MDD3003-SVK-S10-SK10004-Relevant Communications-01 Sep 2025 (v1.0)")</f>
        <v/>
      </c>
      <c r="G742" s="5" t="inlineStr">
        <is>
          <t>Site Management</t>
        </is>
      </c>
      <c r="H742" s="5" t="inlineStr">
        <is>
          <t>General</t>
        </is>
      </c>
      <c r="I742" s="5" t="inlineStr">
        <is>
          <t>Relevant Communications</t>
        </is>
      </c>
      <c r="J742" s="5" t="inlineStr">
        <is>
          <t>PI_Zuzana Janikova_ Site_S10-SK10004_Subject_SK100040002_IQVIA Eligibility Review_Approved</t>
        </is>
      </c>
      <c r="K742" s="6" t="n">
        <v>220</v>
      </c>
      <c r="L742" s="7" t="n">
        <v>45901</v>
      </c>
      <c r="M742" s="11" t="n">
        <v>46121</v>
      </c>
      <c r="N742" s="5" t="inlineStr">
        <is>
          <t>Approved</t>
        </is>
      </c>
      <c r="O742" s="5" t="inlineStr">
        <is>
          <t>Site</t>
        </is>
      </c>
      <c r="P742" s="5" t="inlineStr">
        <is>
          <t>Slovakia</t>
        </is>
      </c>
      <c r="Q742" s="13" t="inlineStr">
        <is>
          <t>S10-SK10004</t>
        </is>
      </c>
      <c r="R742" s="5" t="inlineStr">
        <is>
          <t>Debhora Garcia</t>
        </is>
      </c>
      <c r="S742" s="8" t="n">
        <v>46121.97944444444</v>
      </c>
    </row>
    <row r="743" hidden="1" ht="43.5" customHeight="1">
      <c r="A743" s="15">
        <f>HYPERLINK("https://vtmf.veevavault.com/ui/#doc_info/31424573/1/0", "VTMF-25355517")</f>
        <v/>
      </c>
      <c r="B743" s="20" t="inlineStr">
        <is>
          <t>Yes</t>
        </is>
      </c>
      <c r="C743" s="5" t="inlineStr">
        <is>
          <t>1.0</t>
        </is>
      </c>
      <c r="D743" s="5" t="inlineStr">
        <is>
          <t>GCO</t>
        </is>
      </c>
      <c r="E743" s="5" t="inlineStr">
        <is>
          <t>42847922MDD3003</t>
        </is>
      </c>
      <c r="F743" s="16">
        <f>HYPERLINK("https://vtmf.veevavault.com/ui/#doc_info/31424573/1/0", "42847922MDD3003-USA-S10-US10041-Relevant Communications-01 Sep 2025 (v1.0)")</f>
        <v/>
      </c>
      <c r="G743" s="5" t="inlineStr">
        <is>
          <t>Site Management</t>
        </is>
      </c>
      <c r="H743" s="5" t="inlineStr">
        <is>
          <t>General</t>
        </is>
      </c>
      <c r="I743" s="5" t="inlineStr">
        <is>
          <t>Relevant Communications</t>
        </is>
      </c>
      <c r="J743" s="5" t="inlineStr">
        <is>
          <t>PI_Inna Yuryev Golger_ Site_S10-US10041_Subject_US100410012_IQVIA Eligibility Review_Approved</t>
        </is>
      </c>
      <c r="K743" s="6" t="n">
        <v>220</v>
      </c>
      <c r="L743" s="7" t="n">
        <v>45901</v>
      </c>
      <c r="M743" s="11" t="n">
        <v>46121</v>
      </c>
      <c r="N743" s="5" t="inlineStr">
        <is>
          <t>Approved</t>
        </is>
      </c>
      <c r="O743" s="5" t="inlineStr">
        <is>
          <t>Site</t>
        </is>
      </c>
      <c r="P743" s="5" t="inlineStr">
        <is>
          <t>United States</t>
        </is>
      </c>
      <c r="Q743" s="13" t="inlineStr">
        <is>
          <t>S10-US10041</t>
        </is>
      </c>
      <c r="R743" s="5" t="inlineStr">
        <is>
          <t>Debhora Garcia</t>
        </is>
      </c>
      <c r="S743" s="8" t="n">
        <v>46121.98094907407</v>
      </c>
    </row>
    <row r="744" hidden="1" ht="43.5" customHeight="1">
      <c r="A744" s="15">
        <f>HYPERLINK("https://vtmf.veevavault.com/ui/#doc_info/31424578/1/0", "VTMF-25355524")</f>
        <v/>
      </c>
      <c r="B744" s="20" t="inlineStr">
        <is>
          <t>Yes</t>
        </is>
      </c>
      <c r="C744" s="5" t="inlineStr">
        <is>
          <t>1.0</t>
        </is>
      </c>
      <c r="D744" s="5" t="inlineStr">
        <is>
          <t>GCO</t>
        </is>
      </c>
      <c r="E744" s="5" t="inlineStr">
        <is>
          <t>42847922MDD3003</t>
        </is>
      </c>
      <c r="F744" s="16">
        <f>HYPERLINK("https://vtmf.veevavault.com/ui/#doc_info/31424578/1/0", "42847922MDD3003-BRA-S10-BR10021-Relevant Communications-01 Sep 2025 (v1.0)")</f>
        <v/>
      </c>
      <c r="G744" s="5" t="inlineStr">
        <is>
          <t>Site Management</t>
        </is>
      </c>
      <c r="H744" s="5" t="inlineStr">
        <is>
          <t>General</t>
        </is>
      </c>
      <c r="I744" s="5" t="inlineStr">
        <is>
          <t>Relevant Communications</t>
        </is>
      </c>
      <c r="J744" s="5" t="inlineStr">
        <is>
          <t>PI_Dr Kelen Recco _ Site__S10-BR10021_Subject_BR100210004 _IQVIA Eligibility Review_Approved</t>
        </is>
      </c>
      <c r="K744" s="6" t="n">
        <v>220</v>
      </c>
      <c r="L744" s="7" t="n">
        <v>45901</v>
      </c>
      <c r="M744" s="11" t="n">
        <v>46121</v>
      </c>
      <c r="N744" s="5" t="inlineStr">
        <is>
          <t>Approved</t>
        </is>
      </c>
      <c r="O744" s="5" t="inlineStr">
        <is>
          <t>Site</t>
        </is>
      </c>
      <c r="P744" s="5" t="inlineStr">
        <is>
          <t>Brazil</t>
        </is>
      </c>
      <c r="Q744" s="13" t="inlineStr">
        <is>
          <t>S10-BR10021</t>
        </is>
      </c>
      <c r="R744" s="5" t="inlineStr">
        <is>
          <t>Debhora Garcia</t>
        </is>
      </c>
      <c r="S744" s="8" t="n">
        <v>46121.9821875</v>
      </c>
    </row>
    <row r="745" hidden="1" ht="43.5" customHeight="1">
      <c r="A745" s="15">
        <f>HYPERLINK("https://vtmf.veevavault.com/ui/#doc_info/31424582/1/0", "VTMF-25355532")</f>
        <v/>
      </c>
      <c r="B745" s="20" t="inlineStr">
        <is>
          <t>Yes</t>
        </is>
      </c>
      <c r="C745" s="5" t="inlineStr">
        <is>
          <t>1.0</t>
        </is>
      </c>
      <c r="D745" s="5" t="inlineStr">
        <is>
          <t>GCO</t>
        </is>
      </c>
      <c r="E745" s="5" t="inlineStr">
        <is>
          <t>42847922MDD3003</t>
        </is>
      </c>
      <c r="F745" s="16">
        <f>HYPERLINK("https://vtmf.veevavault.com/ui/#doc_info/31424582/1/0", "42847922MDD3003-SRB-S10-RS10004-Relevant Communications-12 Oct 2025 (v1.0)")</f>
        <v/>
      </c>
      <c r="G745" s="5" t="inlineStr">
        <is>
          <t>Site Management</t>
        </is>
      </c>
      <c r="H745" s="5" t="inlineStr">
        <is>
          <t>General</t>
        </is>
      </c>
      <c r="I745" s="5" t="inlineStr">
        <is>
          <t>Relevant Communications</t>
        </is>
      </c>
      <c r="J745" s="5" t="inlineStr">
        <is>
          <t>PI_Emil Tomas_Site ID_S10-RS10004_Subject_RS100040002_IQVIA Eligibility Review_Approved</t>
        </is>
      </c>
      <c r="K745" s="6" t="n">
        <v>179</v>
      </c>
      <c r="L745" s="7" t="n">
        <v>45942</v>
      </c>
      <c r="M745" s="11" t="n">
        <v>46121</v>
      </c>
      <c r="N745" s="5" t="inlineStr">
        <is>
          <t>Approved</t>
        </is>
      </c>
      <c r="O745" s="5" t="inlineStr">
        <is>
          <t>Site</t>
        </is>
      </c>
      <c r="P745" s="5" t="inlineStr">
        <is>
          <t>Serbia</t>
        </is>
      </c>
      <c r="Q745" s="13" t="inlineStr">
        <is>
          <t>S10-RS10004</t>
        </is>
      </c>
      <c r="R745" s="5" t="inlineStr">
        <is>
          <t>Debhora Garcia</t>
        </is>
      </c>
      <c r="S745" s="8" t="n">
        <v>46121.98332175926</v>
      </c>
    </row>
    <row r="746" hidden="1" ht="43.5" customHeight="1">
      <c r="A746" s="15">
        <f>HYPERLINK("https://vtmf.veevavault.com/ui/#doc_info/31424590/1/0", "VTMF-25355540")</f>
        <v/>
      </c>
      <c r="B746" s="20" t="inlineStr">
        <is>
          <t>Yes</t>
        </is>
      </c>
      <c r="C746" s="5" t="inlineStr">
        <is>
          <t>1.0</t>
        </is>
      </c>
      <c r="D746" s="5" t="inlineStr">
        <is>
          <t>GCO</t>
        </is>
      </c>
      <c r="E746" s="5" t="inlineStr">
        <is>
          <t>42847922MDD3003</t>
        </is>
      </c>
      <c r="F746" s="16">
        <f>HYPERLINK("https://vtmf.veevavault.com/ui/#doc_info/31424590/1/0", "42847922MDD3003-SRB-S10-RS10006-Relevant Communications-12 Oct 2025 (v1.0)")</f>
        <v/>
      </c>
      <c r="G746" s="5" t="inlineStr">
        <is>
          <t>Site Management</t>
        </is>
      </c>
      <c r="H746" s="5" t="inlineStr">
        <is>
          <t>General</t>
        </is>
      </c>
      <c r="I746" s="5" t="inlineStr">
        <is>
          <t>Relevant Communications</t>
        </is>
      </c>
      <c r="J746" s="5" t="inlineStr">
        <is>
          <t>PI_Milan Stanojkovic_ Site_S10-RS10006_Subject_RS100060002_IQVIA Eligibility Review_Approved</t>
        </is>
      </c>
      <c r="K746" s="6" t="n">
        <v>179</v>
      </c>
      <c r="L746" s="7" t="n">
        <v>45942</v>
      </c>
      <c r="M746" s="11" t="n">
        <v>46121</v>
      </c>
      <c r="N746" s="5" t="inlineStr">
        <is>
          <t>Approved</t>
        </is>
      </c>
      <c r="O746" s="5" t="inlineStr">
        <is>
          <t>Site</t>
        </is>
      </c>
      <c r="P746" s="5" t="inlineStr">
        <is>
          <t>Serbia</t>
        </is>
      </c>
      <c r="Q746" s="13" t="inlineStr">
        <is>
          <t>S10-RS10006</t>
        </is>
      </c>
      <c r="R746" s="5" t="inlineStr">
        <is>
          <t>Debhora Garcia</t>
        </is>
      </c>
      <c r="S746" s="8" t="n">
        <v>46121.98554398148</v>
      </c>
    </row>
    <row r="747" hidden="1" ht="43.5" customHeight="1">
      <c r="A747" s="15">
        <f>HYPERLINK("https://vtmf.veevavault.com/ui/#doc_info/31424596/1/0", "VTMF-25355543")</f>
        <v/>
      </c>
      <c r="B747" s="20" t="inlineStr">
        <is>
          <t>Yes</t>
        </is>
      </c>
      <c r="C747" s="5" t="inlineStr">
        <is>
          <t>1.0</t>
        </is>
      </c>
      <c r="D747" s="5" t="inlineStr">
        <is>
          <t>GCO</t>
        </is>
      </c>
      <c r="E747" s="5" t="inlineStr">
        <is>
          <t>42847922MDD3003</t>
        </is>
      </c>
      <c r="F747" s="16">
        <f>HYPERLINK("https://vtmf.veevavault.com/ui/#doc_info/31424596/1/0", "42847922MDD3003-ARG-S10-AR10001-Relevant Communications-26 Nov 2025 (v1.0)")</f>
        <v/>
      </c>
      <c r="G747" s="5" t="inlineStr">
        <is>
          <t>Site Management</t>
        </is>
      </c>
      <c r="H747" s="5" t="inlineStr">
        <is>
          <t>General</t>
        </is>
      </c>
      <c r="I747" s="5" t="inlineStr">
        <is>
          <t>Relevant Communications</t>
        </is>
      </c>
      <c r="J747" s="5" t="inlineStr">
        <is>
          <t>Site_S10-AR10001_ PI_Hector Fabian Lamaison_ Subject_ AR100010021 _IQVIA Eligibility Review_Approved</t>
        </is>
      </c>
      <c r="K747" s="6" t="n">
        <v>134</v>
      </c>
      <c r="L747" s="7" t="n">
        <v>45987</v>
      </c>
      <c r="M747" s="11" t="n">
        <v>46121</v>
      </c>
      <c r="N747" s="5" t="inlineStr">
        <is>
          <t>Approved</t>
        </is>
      </c>
      <c r="O747" s="5" t="inlineStr">
        <is>
          <t>Site</t>
        </is>
      </c>
      <c r="P747" s="5" t="inlineStr">
        <is>
          <t>Argentina</t>
        </is>
      </c>
      <c r="Q747" s="13" t="inlineStr">
        <is>
          <t>S10-AR10001</t>
        </is>
      </c>
      <c r="R747" s="5" t="inlineStr">
        <is>
          <t>Debhora Garcia</t>
        </is>
      </c>
      <c r="S747" s="8" t="n">
        <v>46121.98686342593</v>
      </c>
    </row>
    <row r="748" hidden="1" ht="43.5" customHeight="1">
      <c r="A748" s="15">
        <f>HYPERLINK("https://vtmf.veevavault.com/ui/#doc_info/31424598/1/0", "VTMF-25355548")</f>
        <v/>
      </c>
      <c r="B748" s="20" t="inlineStr">
        <is>
          <t>Yes</t>
        </is>
      </c>
      <c r="C748" s="5" t="inlineStr">
        <is>
          <t>1.0</t>
        </is>
      </c>
      <c r="D748" s="5" t="inlineStr">
        <is>
          <t>GCO</t>
        </is>
      </c>
      <c r="E748" s="5" t="inlineStr">
        <is>
          <t>42847922MDD3003</t>
        </is>
      </c>
      <c r="F748" s="16">
        <f>HYPERLINK("https://vtmf.veevavault.com/ui/#doc_info/31424598/1/0", "42847922MDD3003-CZE-S10-CZ10011-Relevant Communications-23 Jan 2026 (v1.0)")</f>
        <v/>
      </c>
      <c r="G748" s="5" t="inlineStr">
        <is>
          <t>Site Management</t>
        </is>
      </c>
      <c r="H748" s="5" t="inlineStr">
        <is>
          <t>General</t>
        </is>
      </c>
      <c r="I748" s="5" t="inlineStr">
        <is>
          <t>Relevant Communications</t>
        </is>
      </c>
      <c r="J748" s="5" t="inlineStr">
        <is>
          <t>PI_ Marta Lendlova_ Site_S10-CZ10011_Subject_CZ100110008_ IQVIA Eligibility Review_ Approved</t>
        </is>
      </c>
      <c r="K748" s="6" t="n">
        <v>76</v>
      </c>
      <c r="L748" s="7" t="n">
        <v>46045</v>
      </c>
      <c r="M748" s="11" t="n">
        <v>46121</v>
      </c>
      <c r="N748" s="5" t="inlineStr">
        <is>
          <t>Approved</t>
        </is>
      </c>
      <c r="O748" s="5" t="inlineStr">
        <is>
          <t>Site</t>
        </is>
      </c>
      <c r="P748" s="5" t="inlineStr">
        <is>
          <t>Czech Republic</t>
        </is>
      </c>
      <c r="Q748" s="13" t="inlineStr">
        <is>
          <t>S10-CZ10011</t>
        </is>
      </c>
      <c r="R748" s="5" t="inlineStr">
        <is>
          <t>Debhora Garcia</t>
        </is>
      </c>
      <c r="S748" s="8" t="n">
        <v>46121.98802083333</v>
      </c>
    </row>
    <row r="749" hidden="1" ht="29" customHeight="1">
      <c r="A749" s="15">
        <f>HYPERLINK("https://vtmf.veevavault.com/ui/#doc_info/31424701/1/0", "VTMF-25355553")</f>
        <v/>
      </c>
      <c r="B749" s="20" t="inlineStr">
        <is>
          <t>Yes</t>
        </is>
      </c>
      <c r="C749" s="5" t="inlineStr">
        <is>
          <t>1.0</t>
        </is>
      </c>
      <c r="D749" s="5" t="inlineStr">
        <is>
          <t>GCO</t>
        </is>
      </c>
      <c r="E749" s="5" t="inlineStr">
        <is>
          <t>42847922MDD3003</t>
        </is>
      </c>
      <c r="F749" s="16">
        <f>HYPERLINK("https://vtmf.veevavault.com/ui/#doc_info/31424701/1/0", "42847922MDD3003-TUR-S10-TR10009-Relevant Communications-27 Jan 2026 (v1.0)")</f>
        <v/>
      </c>
      <c r="G749" s="5" t="inlineStr">
        <is>
          <t>Site Management</t>
        </is>
      </c>
      <c r="H749" s="5" t="inlineStr">
        <is>
          <t>General</t>
        </is>
      </c>
      <c r="I749" s="5" t="inlineStr">
        <is>
          <t>Relevant Communications</t>
        </is>
      </c>
      <c r="J749" s="5" t="inlineStr">
        <is>
          <t>Site ID_ S10-TR10009_ PI_Aslihan Polat_ Subject TR100090011_IQVIA Eligibility Review_Approved</t>
        </is>
      </c>
      <c r="K749" s="6" t="n">
        <v>72</v>
      </c>
      <c r="L749" s="7" t="n">
        <v>46049</v>
      </c>
      <c r="M749" s="11" t="n">
        <v>46121</v>
      </c>
      <c r="N749" s="5" t="inlineStr">
        <is>
          <t>Approved</t>
        </is>
      </c>
      <c r="O749" s="5" t="inlineStr">
        <is>
          <t>Site</t>
        </is>
      </c>
      <c r="P749" s="5" t="inlineStr">
        <is>
          <t>Türkiye</t>
        </is>
      </c>
      <c r="Q749" s="13" t="inlineStr">
        <is>
          <t>S10-TR10009</t>
        </is>
      </c>
      <c r="R749" s="5" t="inlineStr">
        <is>
          <t>Debhora Garcia</t>
        </is>
      </c>
      <c r="S749" s="8" t="n">
        <v>46121.98905092593</v>
      </c>
    </row>
    <row r="750" hidden="1" ht="43.5" customHeight="1">
      <c r="A750" s="15">
        <f>HYPERLINK("https://vtmf.veevavault.com/ui/#doc_info/31424703/1/0", "VTMF-25355556")</f>
        <v/>
      </c>
      <c r="B750" s="20" t="inlineStr">
        <is>
          <t>Yes</t>
        </is>
      </c>
      <c r="C750" s="5" t="inlineStr">
        <is>
          <t>1.0</t>
        </is>
      </c>
      <c r="D750" s="5" t="inlineStr">
        <is>
          <t>GCO</t>
        </is>
      </c>
      <c r="E750" s="5" t="inlineStr">
        <is>
          <t>42847922MDD3003</t>
        </is>
      </c>
      <c r="F750" s="16">
        <f>HYPERLINK("https://vtmf.veevavault.com/ui/#doc_info/31424703/1/0", "42847922MDD3003-USA-S10-US10256-Relevant Communications-27 Jan 2026 (v1.0)")</f>
        <v/>
      </c>
      <c r="G750" s="5" t="inlineStr">
        <is>
          <t>Site Management</t>
        </is>
      </c>
      <c r="H750" s="5" t="inlineStr">
        <is>
          <t>General</t>
        </is>
      </c>
      <c r="I750" s="5" t="inlineStr">
        <is>
          <t>Relevant Communications</t>
        </is>
      </c>
      <c r="J750" s="5" t="inlineStr">
        <is>
          <t>PI_ Vasundhara Cheekati_ Site_S10-US10256_Subject_US102560022_ IQVIA Eligibility Review_ Approved</t>
        </is>
      </c>
      <c r="K750" s="6" t="n">
        <v>72</v>
      </c>
      <c r="L750" s="7" t="n">
        <v>46049</v>
      </c>
      <c r="M750" s="11" t="n">
        <v>46121</v>
      </c>
      <c r="N750" s="5" t="inlineStr">
        <is>
          <t>Approved</t>
        </is>
      </c>
      <c r="O750" s="5" t="inlineStr">
        <is>
          <t>Site</t>
        </is>
      </c>
      <c r="P750" s="5" t="inlineStr">
        <is>
          <t>United States</t>
        </is>
      </c>
      <c r="Q750" s="13" t="inlineStr">
        <is>
          <t>S10-US10256</t>
        </is>
      </c>
      <c r="R750" s="5" t="inlineStr">
        <is>
          <t>Debhora Garcia</t>
        </is>
      </c>
      <c r="S750" s="8" t="n">
        <v>46121.99021990741</v>
      </c>
    </row>
    <row r="751" hidden="1" ht="29" customHeight="1">
      <c r="A751" s="15">
        <f>HYPERLINK("https://vtmf.veevavault.com/ui/#doc_info/31424708/1/0", "VTMF-25355562")</f>
        <v/>
      </c>
      <c r="B751" s="20" t="inlineStr">
        <is>
          <t>Yes</t>
        </is>
      </c>
      <c r="C751" s="5" t="inlineStr">
        <is>
          <t>1.0</t>
        </is>
      </c>
      <c r="D751" s="5" t="inlineStr">
        <is>
          <t>GCO</t>
        </is>
      </c>
      <c r="E751" s="5" t="inlineStr">
        <is>
          <t>42847922MDD3003</t>
        </is>
      </c>
      <c r="F751" s="16">
        <f>HYPERLINK("https://vtmf.veevavault.com/ui/#doc_info/31424708/1/0", "42847922MDD3003-BGR-S10-BG10013-Relevant Communications-28 Jan 2026 (v1.0)")</f>
        <v/>
      </c>
      <c r="G751" s="5" t="inlineStr">
        <is>
          <t>Site Management</t>
        </is>
      </c>
      <c r="H751" s="5" t="inlineStr">
        <is>
          <t>General</t>
        </is>
      </c>
      <c r="I751" s="5" t="inlineStr">
        <is>
          <t>Relevant Communications</t>
        </is>
      </c>
      <c r="J751" s="5" t="inlineStr">
        <is>
          <t>Site ID_ S10-BG10013_ PI_Veselin Palazov_ Subject BG100130005_IQVIA Eligibility Review_Approved</t>
        </is>
      </c>
      <c r="K751" s="6" t="n">
        <v>71</v>
      </c>
      <c r="L751" s="7" t="n">
        <v>46050</v>
      </c>
      <c r="M751" s="11" t="n">
        <v>46121</v>
      </c>
      <c r="N751" s="5" t="inlineStr">
        <is>
          <t>Approved</t>
        </is>
      </c>
      <c r="O751" s="5" t="inlineStr">
        <is>
          <t>Site</t>
        </is>
      </c>
      <c r="P751" s="5" t="inlineStr">
        <is>
          <t>Bulgaria</t>
        </is>
      </c>
      <c r="Q751" s="13" t="inlineStr">
        <is>
          <t>S10-BG10013</t>
        </is>
      </c>
      <c r="R751" s="5" t="inlineStr">
        <is>
          <t>Debhora Garcia</t>
        </is>
      </c>
      <c r="S751" s="8" t="n">
        <v>46121.99134259259</v>
      </c>
    </row>
    <row r="752" hidden="1" ht="43.5" customHeight="1">
      <c r="A752" s="15">
        <f>HYPERLINK("https://vtmf.veevavault.com/ui/#doc_info/31424712/1/0", "VTMF-25355568")</f>
        <v/>
      </c>
      <c r="B752" s="20" t="inlineStr">
        <is>
          <t>Yes</t>
        </is>
      </c>
      <c r="C752" s="5" t="inlineStr">
        <is>
          <t>1.0</t>
        </is>
      </c>
      <c r="D752" s="5" t="inlineStr">
        <is>
          <t>GCO</t>
        </is>
      </c>
      <c r="E752" s="5" t="inlineStr">
        <is>
          <t>42847922MDD3003</t>
        </is>
      </c>
      <c r="F752" s="16">
        <f>HYPERLINK("https://vtmf.veevavault.com/ui/#doc_info/31424712/1/0", "42847922MDD3003-USA-S10-US10049-Relevant Communications-28 Jan 2026 (v1.0)")</f>
        <v/>
      </c>
      <c r="G752" s="5" t="inlineStr">
        <is>
          <t>Site Management</t>
        </is>
      </c>
      <c r="H752" s="5" t="inlineStr">
        <is>
          <t>General</t>
        </is>
      </c>
      <c r="I752" s="5" t="inlineStr">
        <is>
          <t>Relevant Communications</t>
        </is>
      </c>
      <c r="J752" s="5" t="inlineStr">
        <is>
          <t>PI_ David Krakow _Site_ S10-US10049(United States of America)_Subject ID_ US100490004_IQVIA Eligibility Revi</t>
        </is>
      </c>
      <c r="K752" s="6" t="n">
        <v>71</v>
      </c>
      <c r="L752" s="7" t="n">
        <v>46050</v>
      </c>
      <c r="M752" s="11" t="n">
        <v>46121</v>
      </c>
      <c r="N752" s="5" t="inlineStr">
        <is>
          <t>Approved</t>
        </is>
      </c>
      <c r="O752" s="5" t="inlineStr">
        <is>
          <t>Site</t>
        </is>
      </c>
      <c r="P752" s="5" t="inlineStr">
        <is>
          <t>United States</t>
        </is>
      </c>
      <c r="Q752" s="13" t="inlineStr">
        <is>
          <t>S10-US10049</t>
        </is>
      </c>
      <c r="R752" s="5" t="inlineStr">
        <is>
          <t>Debhora Garcia</t>
        </is>
      </c>
      <c r="S752" s="8" t="n">
        <v>46121.99271990741</v>
      </c>
    </row>
    <row r="753" hidden="1" ht="29" customHeight="1">
      <c r="A753" s="15">
        <f>HYPERLINK("https://vtmf.veevavault.com/ui/#doc_info/31424713/1/0", "VTMF-25355571")</f>
        <v/>
      </c>
      <c r="B753" s="20" t="inlineStr">
        <is>
          <t>Yes</t>
        </is>
      </c>
      <c r="C753" s="5" t="inlineStr">
        <is>
          <t>1.0</t>
        </is>
      </c>
      <c r="D753" s="5" t="inlineStr">
        <is>
          <t>GCO</t>
        </is>
      </c>
      <c r="E753" s="5" t="inlineStr">
        <is>
          <t>42847922MDD3003</t>
        </is>
      </c>
      <c r="F753" s="16">
        <f>HYPERLINK("https://vtmf.veevavault.com/ui/#doc_info/31424713/1/0", "42847922MDD3003-ITA-S10-IT10014-Relevant Communications-29 Jan 2026 (v1.0)")</f>
        <v/>
      </c>
      <c r="G753" s="5" t="inlineStr">
        <is>
          <t>Site Management</t>
        </is>
      </c>
      <c r="H753" s="5" t="inlineStr">
        <is>
          <t>General</t>
        </is>
      </c>
      <c r="I753" s="5" t="inlineStr">
        <is>
          <t>Relevant Communications</t>
        </is>
      </c>
      <c r="J753" s="5" t="inlineStr">
        <is>
          <t>Site ID-S10-IT10014_ PI - Maurizio Pompili _Subject _IT100140002_ IQVIA Eligibility Review_ Approved</t>
        </is>
      </c>
      <c r="K753" s="6" t="n">
        <v>70</v>
      </c>
      <c r="L753" s="7" t="n">
        <v>46051</v>
      </c>
      <c r="M753" s="11" t="n">
        <v>46121</v>
      </c>
      <c r="N753" s="5" t="inlineStr">
        <is>
          <t>Approved</t>
        </is>
      </c>
      <c r="O753" s="5" t="inlineStr">
        <is>
          <t>Site</t>
        </is>
      </c>
      <c r="P753" s="5" t="inlineStr">
        <is>
          <t>Italy</t>
        </is>
      </c>
      <c r="Q753" s="13" t="inlineStr">
        <is>
          <t>S10-IT10014</t>
        </is>
      </c>
      <c r="R753" s="5" t="inlineStr">
        <is>
          <t>Debhora Garcia</t>
        </is>
      </c>
      <c r="S753" s="8" t="n">
        <v>46121.99407407407</v>
      </c>
    </row>
    <row r="754" hidden="1" ht="43.5" customHeight="1">
      <c r="A754" s="15">
        <f>HYPERLINK("https://vtmf.veevavault.com/ui/#doc_info/31424717/1/0", "VTMF-25355576")</f>
        <v/>
      </c>
      <c r="B754" s="20" t="inlineStr">
        <is>
          <t>Yes</t>
        </is>
      </c>
      <c r="C754" s="5" t="inlineStr">
        <is>
          <t>1.0</t>
        </is>
      </c>
      <c r="D754" s="5" t="inlineStr">
        <is>
          <t>GCO</t>
        </is>
      </c>
      <c r="E754" s="5" t="inlineStr">
        <is>
          <t>42847922MDD3003</t>
        </is>
      </c>
      <c r="F754" s="16">
        <f>HYPERLINK("https://vtmf.veevavault.com/ui/#doc_info/31424717/1/0", "42847922MDD3003-PRT-S10-PT10001-Relevant Communications-30 Jan 2026 (v1.0)")</f>
        <v/>
      </c>
      <c r="G754" s="5" t="inlineStr">
        <is>
          <t>Site Management</t>
        </is>
      </c>
      <c r="H754" s="5" t="inlineStr">
        <is>
          <t>General</t>
        </is>
      </c>
      <c r="I754" s="5" t="inlineStr">
        <is>
          <t>Relevant Communications</t>
        </is>
      </c>
      <c r="J754" s="5" t="inlineStr">
        <is>
          <t>PI_ Albino Maia_ Site_S10-PT10001_Subject_PT100010006_IQVIA Eligibility Review_ Approved</t>
        </is>
      </c>
      <c r="K754" s="6" t="n">
        <v>69</v>
      </c>
      <c r="L754" s="7" t="n">
        <v>46052</v>
      </c>
      <c r="M754" s="11" t="n">
        <v>46121</v>
      </c>
      <c r="N754" s="5" t="inlineStr">
        <is>
          <t>Approved</t>
        </is>
      </c>
      <c r="O754" s="5" t="inlineStr">
        <is>
          <t>Site</t>
        </is>
      </c>
      <c r="P754" s="5" t="inlineStr">
        <is>
          <t>Portugal</t>
        </is>
      </c>
      <c r="Q754" s="13" t="inlineStr">
        <is>
          <t>S10-PT10001</t>
        </is>
      </c>
      <c r="R754" s="5" t="inlineStr">
        <is>
          <t>Debhora Garcia</t>
        </is>
      </c>
      <c r="S754" s="8" t="n">
        <v>46121.99515046296</v>
      </c>
    </row>
    <row r="755" hidden="1" ht="43.5" customHeight="1">
      <c r="A755" s="15">
        <f>HYPERLINK("https://vtmf.veevavault.com/ui/#doc_info/31424718/1/0", "VTMF-25355577")</f>
        <v/>
      </c>
      <c r="B755" s="20" t="inlineStr">
        <is>
          <t>Yes</t>
        </is>
      </c>
      <c r="C755" s="5" t="inlineStr">
        <is>
          <t>1.0</t>
        </is>
      </c>
      <c r="D755" s="5" t="inlineStr">
        <is>
          <t>GCO</t>
        </is>
      </c>
      <c r="E755" s="5" t="inlineStr">
        <is>
          <t>42847922MDD3003</t>
        </is>
      </c>
      <c r="F755" s="16">
        <f>HYPERLINK("https://vtmf.veevavault.com/ui/#doc_info/31424718/1/0", "42847922MDD3003-USA-S10-US10091-Relevant Communications-01 Feb 2026 (v1.0)")</f>
        <v/>
      </c>
      <c r="G755" s="5" t="inlineStr">
        <is>
          <t>Site Management</t>
        </is>
      </c>
      <c r="H755" s="5" t="inlineStr">
        <is>
          <t>General</t>
        </is>
      </c>
      <c r="I755" s="5" t="inlineStr">
        <is>
          <t>Relevant Communications</t>
        </is>
      </c>
      <c r="J755" s="5" t="inlineStr">
        <is>
          <t>PI_ Asim Shah_ Site_ S10-US10091_Subject_US100910009_IQVIA Eligibility Review_Approved</t>
        </is>
      </c>
      <c r="K755" s="6" t="n">
        <v>67</v>
      </c>
      <c r="L755" s="7" t="n">
        <v>46054</v>
      </c>
      <c r="M755" s="11" t="n">
        <v>46121</v>
      </c>
      <c r="N755" s="5" t="inlineStr">
        <is>
          <t>Approved</t>
        </is>
      </c>
      <c r="O755" s="5" t="inlineStr">
        <is>
          <t>Site</t>
        </is>
      </c>
      <c r="P755" s="5" t="inlineStr">
        <is>
          <t>United States</t>
        </is>
      </c>
      <c r="Q755" s="13" t="inlineStr">
        <is>
          <t>S10-US10091</t>
        </is>
      </c>
      <c r="R755" s="5" t="inlineStr">
        <is>
          <t>Debhora Garcia</t>
        </is>
      </c>
      <c r="S755" s="8" t="n">
        <v>46121.99626157407</v>
      </c>
    </row>
    <row r="756" hidden="1" ht="43.5" customHeight="1">
      <c r="A756" s="15">
        <f>HYPERLINK("https://vtmf.veevavault.com/ui/#doc_info/31424720/1/0", "VTMF-25355580")</f>
        <v/>
      </c>
      <c r="B756" s="20" t="inlineStr">
        <is>
          <t>Yes</t>
        </is>
      </c>
      <c r="C756" s="5" t="inlineStr">
        <is>
          <t>1.0</t>
        </is>
      </c>
      <c r="D756" s="5" t="inlineStr">
        <is>
          <t>GCO</t>
        </is>
      </c>
      <c r="E756" s="5" t="inlineStr">
        <is>
          <t>42847922MDD3003</t>
        </is>
      </c>
      <c r="F756" s="16">
        <f>HYPERLINK("https://vtmf.veevavault.com/ui/#doc_info/31424720/1/0", "42847922MDD3003-POL-S10-PL10004-Relevant Communications-03 Feb 2026 (v1.0)")</f>
        <v/>
      </c>
      <c r="G756" s="5" t="inlineStr">
        <is>
          <t>Site Management</t>
        </is>
      </c>
      <c r="H756" s="5" t="inlineStr">
        <is>
          <t>General</t>
        </is>
      </c>
      <c r="I756" s="5" t="inlineStr">
        <is>
          <t>Relevant Communications</t>
        </is>
      </c>
      <c r="J756" s="5" t="inlineStr">
        <is>
          <t>Site_S10-PL10004_PI_ Anna Zofia Antosik-Wojcinska_ Subject_PL100040011_IQVIA Eligibility Review_ Approved</t>
        </is>
      </c>
      <c r="K756" s="6" t="n">
        <v>65</v>
      </c>
      <c r="L756" s="7" t="n">
        <v>46056</v>
      </c>
      <c r="M756" s="11" t="n">
        <v>46121</v>
      </c>
      <c r="N756" s="5" t="inlineStr">
        <is>
          <t>Approved</t>
        </is>
      </c>
      <c r="O756" s="5" t="inlineStr">
        <is>
          <t>Site</t>
        </is>
      </c>
      <c r="P756" s="5" t="inlineStr">
        <is>
          <t>Poland</t>
        </is>
      </c>
      <c r="Q756" s="13" t="inlineStr">
        <is>
          <t>S10-PL10004</t>
        </is>
      </c>
      <c r="R756" s="5" t="inlineStr">
        <is>
          <t>Debhora Garcia</t>
        </is>
      </c>
      <c r="S756" s="8" t="n">
        <v>46121.99737268518</v>
      </c>
    </row>
    <row r="757" hidden="1" ht="43.5" customHeight="1">
      <c r="A757" s="15">
        <f>HYPERLINK("https://vtmf.veevavault.com/ui/#doc_info/31424722/1/0", "VTMF-25355583")</f>
        <v/>
      </c>
      <c r="B757" s="20" t="inlineStr">
        <is>
          <t>Yes</t>
        </is>
      </c>
      <c r="C757" s="5" t="inlineStr">
        <is>
          <t>1.0</t>
        </is>
      </c>
      <c r="D757" s="5" t="inlineStr">
        <is>
          <t>GCO</t>
        </is>
      </c>
      <c r="E757" s="5" t="inlineStr">
        <is>
          <t>42847922MDD3003</t>
        </is>
      </c>
      <c r="F757" s="16">
        <f>HYPERLINK("https://vtmf.veevavault.com/ui/#doc_info/31424722/1/0", "42847922MDD3003-SVK-S10-SK10003-Relevant Communications-03 Feb 2026 (v1.0)")</f>
        <v/>
      </c>
      <c r="G757" s="5" t="inlineStr">
        <is>
          <t>Site Management</t>
        </is>
      </c>
      <c r="H757" s="5" t="inlineStr">
        <is>
          <t>General</t>
        </is>
      </c>
      <c r="I757" s="5" t="inlineStr">
        <is>
          <t>Relevant Communications</t>
        </is>
      </c>
      <c r="J757" s="5" t="inlineStr">
        <is>
          <t>Site ID_S10-SK10003_PI_Abdul Shinwari_Subject_SK100030004_IQVIA Eligibility Review_Approved</t>
        </is>
      </c>
      <c r="K757" s="6" t="n">
        <v>65</v>
      </c>
      <c r="L757" s="7" t="n">
        <v>46056</v>
      </c>
      <c r="M757" s="11" t="n">
        <v>46121</v>
      </c>
      <c r="N757" s="5" t="inlineStr">
        <is>
          <t>Approved</t>
        </is>
      </c>
      <c r="O757" s="5" t="inlineStr">
        <is>
          <t>Site</t>
        </is>
      </c>
      <c r="P757" s="5" t="inlineStr">
        <is>
          <t>Slovakia</t>
        </is>
      </c>
      <c r="Q757" s="13" t="inlineStr">
        <is>
          <t>S10-SK10003</t>
        </is>
      </c>
      <c r="R757" s="5" t="inlineStr">
        <is>
          <t>Debhora Garcia</t>
        </is>
      </c>
      <c r="S757" s="8" t="n">
        <v>46121.9984375</v>
      </c>
    </row>
    <row r="758" hidden="1" ht="43.5" customHeight="1">
      <c r="A758" s="15">
        <f>HYPERLINK("https://vtmf.veevavault.com/ui/#doc_info/31424727/1/0", "VTMF-25355591")</f>
        <v/>
      </c>
      <c r="B758" s="20" t="inlineStr">
        <is>
          <t>Yes</t>
        </is>
      </c>
      <c r="C758" s="5" t="inlineStr">
        <is>
          <t>1.0</t>
        </is>
      </c>
      <c r="D758" s="5" t="inlineStr">
        <is>
          <t>GCO</t>
        </is>
      </c>
      <c r="E758" s="5" t="inlineStr">
        <is>
          <t>42847922MDD3003</t>
        </is>
      </c>
      <c r="F758" s="16">
        <f>HYPERLINK("https://vtmf.veevavault.com/ui/#doc_info/31424727/1/0", "42847922MDD3003-BGR-S10-BG10012-Relevant Communications-04 Feb 2026 (v1.0)")</f>
        <v/>
      </c>
      <c r="G758" s="5" t="inlineStr">
        <is>
          <t>Site Management</t>
        </is>
      </c>
      <c r="H758" s="5" t="inlineStr">
        <is>
          <t>General</t>
        </is>
      </c>
      <c r="I758" s="5" t="inlineStr">
        <is>
          <t>Relevant Communications</t>
        </is>
      </c>
      <c r="J758" s="5" t="inlineStr">
        <is>
          <t>PI_ Petya Dimitrova_ Site_S10-BG10012_Subject_BG100120009_IQVIA Eligibility Review_ Approved</t>
        </is>
      </c>
      <c r="K758" s="6" t="n">
        <v>64</v>
      </c>
      <c r="L758" s="7" t="n">
        <v>46057</v>
      </c>
      <c r="M758" s="11" t="n">
        <v>46121</v>
      </c>
      <c r="N758" s="5" t="inlineStr">
        <is>
          <t>Approved</t>
        </is>
      </c>
      <c r="O758" s="5" t="inlineStr">
        <is>
          <t>Site</t>
        </is>
      </c>
      <c r="P758" s="5" t="inlineStr">
        <is>
          <t>Bulgaria</t>
        </is>
      </c>
      <c r="Q758" s="13" t="inlineStr">
        <is>
          <t>S10-BG10012</t>
        </is>
      </c>
      <c r="R758" s="5" t="inlineStr">
        <is>
          <t>Debhora Garcia</t>
        </is>
      </c>
      <c r="S758" s="8" t="n">
        <v>46122.00009259259</v>
      </c>
    </row>
    <row r="759" hidden="1" ht="43.5" customHeight="1">
      <c r="A759" s="15">
        <f>HYPERLINK("https://vtmf.veevavault.com/ui/#doc_info/31424728/1/0", "VTMF-25355593")</f>
        <v/>
      </c>
      <c r="B759" s="20" t="inlineStr">
        <is>
          <t>Yes</t>
        </is>
      </c>
      <c r="C759" s="5" t="inlineStr">
        <is>
          <t>1.0</t>
        </is>
      </c>
      <c r="D759" s="5" t="inlineStr">
        <is>
          <t>GCO</t>
        </is>
      </c>
      <c r="E759" s="5" t="inlineStr">
        <is>
          <t>42847922MDD3003</t>
        </is>
      </c>
      <c r="F759" s="16">
        <f>HYPERLINK("https://vtmf.veevavault.com/ui/#doc_info/31424728/1/0", "42847922MDD3003-BGR-S10-BG10010-Relevant Communications-04 Feb 2026 (v1.0)")</f>
        <v/>
      </c>
      <c r="G759" s="5" t="inlineStr">
        <is>
          <t>Site Management</t>
        </is>
      </c>
      <c r="H759" s="5" t="inlineStr">
        <is>
          <t>General</t>
        </is>
      </c>
      <c r="I759" s="5" t="inlineStr">
        <is>
          <t>Relevant Communications</t>
        </is>
      </c>
      <c r="J759" s="5" t="inlineStr">
        <is>
          <t>PI_ Andriana Kakanakova_ Site_S10-BG10010_Subject_BG100100007_IQVIA Eligibility Review_ Approved</t>
        </is>
      </c>
      <c r="K759" s="6" t="n">
        <v>64</v>
      </c>
      <c r="L759" s="7" t="n">
        <v>46057</v>
      </c>
      <c r="M759" s="11" t="n">
        <v>46121</v>
      </c>
      <c r="N759" s="5" t="inlineStr">
        <is>
          <t>Approved</t>
        </is>
      </c>
      <c r="O759" s="5" t="inlineStr">
        <is>
          <t>Site</t>
        </is>
      </c>
      <c r="P759" s="5" t="inlineStr">
        <is>
          <t>Bulgaria</t>
        </is>
      </c>
      <c r="Q759" s="13" t="inlineStr">
        <is>
          <t>S10-BG10010</t>
        </is>
      </c>
      <c r="R759" s="5" t="inlineStr">
        <is>
          <t>Debhora Garcia</t>
        </is>
      </c>
      <c r="S759" s="8" t="n">
        <v>46122.00135416666</v>
      </c>
    </row>
    <row r="760" hidden="1" ht="29" customHeight="1">
      <c r="A760" s="15">
        <f>HYPERLINK("https://vtmf.veevavault.com/ui/#doc_info/31424731/1/0", "VTMF-25355600")</f>
        <v/>
      </c>
      <c r="B760" s="20" t="inlineStr">
        <is>
          <t>Yes</t>
        </is>
      </c>
      <c r="C760" s="5" t="inlineStr">
        <is>
          <t>1.0</t>
        </is>
      </c>
      <c r="D760" s="5" t="inlineStr">
        <is>
          <t>GCO</t>
        </is>
      </c>
      <c r="E760" s="5" t="inlineStr">
        <is>
          <t>42847922MDD3003</t>
        </is>
      </c>
      <c r="F760" s="16">
        <f>HYPERLINK("https://vtmf.veevavault.com/ui/#doc_info/31424731/1/0", "42847922MDD3003-USA-S10-US10172-Relevant Communications-09 Feb 2026 (v1.0)")</f>
        <v/>
      </c>
      <c r="G760" s="5" t="inlineStr">
        <is>
          <t>Site Management</t>
        </is>
      </c>
      <c r="H760" s="5" t="inlineStr">
        <is>
          <t>General</t>
        </is>
      </c>
      <c r="I760" s="5" t="inlineStr">
        <is>
          <t>Relevant Communications</t>
        </is>
      </c>
      <c r="J760" s="5" t="inlineStr">
        <is>
          <t>Site-S10-US10172_ PI- German Alvarez_ Subject ID- US101720024- IQVIA Eligibility Review_ Approved</t>
        </is>
      </c>
      <c r="K760" s="6" t="n">
        <v>59</v>
      </c>
      <c r="L760" s="7" t="n">
        <v>46062</v>
      </c>
      <c r="M760" s="11" t="n">
        <v>46121</v>
      </c>
      <c r="N760" s="5" t="inlineStr">
        <is>
          <t>Approved</t>
        </is>
      </c>
      <c r="O760" s="5" t="inlineStr">
        <is>
          <t>Site</t>
        </is>
      </c>
      <c r="P760" s="5" t="inlineStr">
        <is>
          <t>United States</t>
        </is>
      </c>
      <c r="Q760" s="13" t="inlineStr">
        <is>
          <t>S10-US10172</t>
        </is>
      </c>
      <c r="R760" s="5" t="inlineStr">
        <is>
          <t>Debhora Garcia</t>
        </is>
      </c>
      <c r="S760" s="8" t="n">
        <v>46122.00337962963</v>
      </c>
    </row>
    <row r="761" hidden="1" ht="29" customHeight="1">
      <c r="A761" s="15">
        <f>HYPERLINK("https://vtmf.veevavault.com/ui/#doc_info/31424740/1/0", "VTMF-25355610")</f>
        <v/>
      </c>
      <c r="B761" s="20" t="inlineStr">
        <is>
          <t>Yes</t>
        </is>
      </c>
      <c r="C761" s="5" t="inlineStr">
        <is>
          <t>1.0</t>
        </is>
      </c>
      <c r="D761" s="5" t="inlineStr">
        <is>
          <t>GCO</t>
        </is>
      </c>
      <c r="E761" s="5" t="inlineStr">
        <is>
          <t>42847922MDD3003</t>
        </is>
      </c>
      <c r="F761" s="16">
        <f>HYPERLINK("https://vtmf.veevavault.com/ui/#doc_info/31424740/1/0", "42847922MDD3003-POL-S10-PL10017-Relevant Communications-10 Feb 2026 (v1.0)")</f>
        <v/>
      </c>
      <c r="G761" s="5" t="inlineStr">
        <is>
          <t>Site Management</t>
        </is>
      </c>
      <c r="H761" s="5" t="inlineStr">
        <is>
          <t>General</t>
        </is>
      </c>
      <c r="I761" s="5" t="inlineStr">
        <is>
          <t>Relevant Communications</t>
        </is>
      </c>
      <c r="J761" s="5" t="inlineStr">
        <is>
          <t>Site PL10017_PI- Katarzyna Lachut- _ Subject PL100170006- IQVIA Eligibility Review_ Approved</t>
        </is>
      </c>
      <c r="K761" s="6" t="n">
        <v>58</v>
      </c>
      <c r="L761" s="7" t="n">
        <v>46063</v>
      </c>
      <c r="M761" s="11" t="n">
        <v>46121</v>
      </c>
      <c r="N761" s="5" t="inlineStr">
        <is>
          <t>Approved</t>
        </is>
      </c>
      <c r="O761" s="5" t="inlineStr">
        <is>
          <t>Site</t>
        </is>
      </c>
      <c r="P761" s="5" t="inlineStr">
        <is>
          <t>Poland</t>
        </is>
      </c>
      <c r="Q761" s="13" t="inlineStr">
        <is>
          <t>S10-PL10017</t>
        </is>
      </c>
      <c r="R761" s="5" t="inlineStr">
        <is>
          <t>Debhora Garcia</t>
        </is>
      </c>
      <c r="S761" s="8" t="n">
        <v>46122.00482638889</v>
      </c>
    </row>
    <row r="762" hidden="1" ht="43.5" customHeight="1">
      <c r="A762" s="15">
        <f>HYPERLINK("https://vtmf.veevavault.com/ui/#doc_info/31424742/1/0", "VTMF-25355613")</f>
        <v/>
      </c>
      <c r="B762" s="20" t="inlineStr">
        <is>
          <t>Yes</t>
        </is>
      </c>
      <c r="C762" s="5" t="inlineStr">
        <is>
          <t>1.0</t>
        </is>
      </c>
      <c r="D762" s="5" t="inlineStr">
        <is>
          <t>GCO</t>
        </is>
      </c>
      <c r="E762" s="5" t="inlineStr">
        <is>
          <t>42847922MDD3003</t>
        </is>
      </c>
      <c r="F762" s="16">
        <f>HYPERLINK("https://vtmf.veevavault.com/ui/#doc_info/31424742/1/0", "42847922MDD3003-USA-S10-US10064-Relevant Communications-11 Feb 2026 (v1.0)")</f>
        <v/>
      </c>
      <c r="G762" s="5" t="inlineStr">
        <is>
          <t>Site Management</t>
        </is>
      </c>
      <c r="H762" s="5" t="inlineStr">
        <is>
          <t>General</t>
        </is>
      </c>
      <c r="I762" s="5" t="inlineStr">
        <is>
          <t>Relevant Communications</t>
        </is>
      </c>
      <c r="J762" s="5" t="inlineStr">
        <is>
          <t>PI_ Jorge Venereo_ Site_S10-US10064_Subject_US100640051_IQVIA Eligibility Review_ Approved</t>
        </is>
      </c>
      <c r="K762" s="6" t="n">
        <v>57</v>
      </c>
      <c r="L762" s="7" t="n">
        <v>46064</v>
      </c>
      <c r="M762" s="11" t="n">
        <v>46121</v>
      </c>
      <c r="N762" s="5" t="inlineStr">
        <is>
          <t>Approved</t>
        </is>
      </c>
      <c r="O762" s="5" t="inlineStr">
        <is>
          <t>Site</t>
        </is>
      </c>
      <c r="P762" s="5" t="inlineStr">
        <is>
          <t>United States</t>
        </is>
      </c>
      <c r="Q762" s="13" t="inlineStr">
        <is>
          <t>S10-US10064</t>
        </is>
      </c>
      <c r="R762" s="5" t="inlineStr">
        <is>
          <t>Debhora Garcia</t>
        </is>
      </c>
      <c r="S762" s="8" t="n">
        <v>46122.0059837963</v>
      </c>
    </row>
    <row r="763" hidden="1" ht="29" customHeight="1">
      <c r="A763" s="15">
        <f>HYPERLINK("https://vtmf.veevavault.com/ui/#doc_info/31424746/1/0", "VTMF-25355620")</f>
        <v/>
      </c>
      <c r="B763" s="20" t="inlineStr">
        <is>
          <t>Yes</t>
        </is>
      </c>
      <c r="C763" s="5" t="inlineStr">
        <is>
          <t>1.0</t>
        </is>
      </c>
      <c r="D763" s="5" t="inlineStr">
        <is>
          <t>GCO</t>
        </is>
      </c>
      <c r="E763" s="5" t="inlineStr">
        <is>
          <t>42847922MDD3003</t>
        </is>
      </c>
      <c r="F763" s="16">
        <f>HYPERLINK("https://vtmf.veevavault.com/ui/#doc_info/31424746/1/0", "42847922MDD3003-SWE-S10-SE10012-Relevant Communications-20 Feb 2026 (v1.0)")</f>
        <v/>
      </c>
      <c r="G763" s="5" t="inlineStr">
        <is>
          <t>Site Management</t>
        </is>
      </c>
      <c r="H763" s="5" t="inlineStr">
        <is>
          <t>General</t>
        </is>
      </c>
      <c r="I763" s="5" t="inlineStr">
        <is>
          <t>Relevant Communications</t>
        </is>
      </c>
      <c r="J763" s="5" t="inlineStr">
        <is>
          <t>Site SE10012_PI-Kaj Stenlof_Subject SE100120014- IQVIA Eligibility Review_ Approved</t>
        </is>
      </c>
      <c r="K763" s="6" t="n">
        <v>48</v>
      </c>
      <c r="L763" s="7" t="n">
        <v>46073</v>
      </c>
      <c r="M763" s="11" t="n">
        <v>46121</v>
      </c>
      <c r="N763" s="5" t="inlineStr">
        <is>
          <t>Approved</t>
        </is>
      </c>
      <c r="O763" s="5" t="inlineStr">
        <is>
          <t>Site</t>
        </is>
      </c>
      <c r="P763" s="5" t="inlineStr">
        <is>
          <t>Sweden</t>
        </is>
      </c>
      <c r="Q763" s="13" t="inlineStr">
        <is>
          <t>S10-SE10012</t>
        </is>
      </c>
      <c r="R763" s="5" t="inlineStr">
        <is>
          <t>Debhora Garcia</t>
        </is>
      </c>
      <c r="S763" s="8" t="n">
        <v>46122.00784722222</v>
      </c>
    </row>
    <row r="764" hidden="1" ht="29" customHeight="1">
      <c r="A764" s="15">
        <f>HYPERLINK("https://vtmf.veevavault.com/ui/#doc_info/31424748/1/0", "VTMF-25355624")</f>
        <v/>
      </c>
      <c r="B764" s="20" t="inlineStr">
        <is>
          <t>Yes</t>
        </is>
      </c>
      <c r="C764" s="5" t="inlineStr">
        <is>
          <t>1.0</t>
        </is>
      </c>
      <c r="D764" s="5" t="inlineStr">
        <is>
          <t>GCO</t>
        </is>
      </c>
      <c r="E764" s="5" t="inlineStr">
        <is>
          <t>42847922MDD3003</t>
        </is>
      </c>
      <c r="F764" s="16">
        <f>HYPERLINK("https://vtmf.veevavault.com/ui/#doc_info/31424748/1/0", "42847922MDD3003-BGR-S10-BG10012-Relevant Communications-25 Feb 2026 (v1.0)")</f>
        <v/>
      </c>
      <c r="G764" s="5" t="inlineStr">
        <is>
          <t>Site Management</t>
        </is>
      </c>
      <c r="H764" s="5" t="inlineStr">
        <is>
          <t>General</t>
        </is>
      </c>
      <c r="I764" s="5" t="inlineStr">
        <is>
          <t>Relevant Communications</t>
        </is>
      </c>
      <c r="J764" s="5" t="inlineStr">
        <is>
          <t>Site ID_ S10-BG10012_ PI_Petya Dimitrova _ Subject BG100120010_IQVIA Eligibility Review_Approved</t>
        </is>
      </c>
      <c r="K764" s="6" t="n">
        <v>43</v>
      </c>
      <c r="L764" s="7" t="n">
        <v>46078</v>
      </c>
      <c r="M764" s="11" t="n">
        <v>46121</v>
      </c>
      <c r="N764" s="5" t="inlineStr">
        <is>
          <t>Approved</t>
        </is>
      </c>
      <c r="O764" s="5" t="inlineStr">
        <is>
          <t>Site</t>
        </is>
      </c>
      <c r="P764" s="5" t="inlineStr">
        <is>
          <t>Bulgaria</t>
        </is>
      </c>
      <c r="Q764" s="13" t="inlineStr">
        <is>
          <t>S10-BG10012</t>
        </is>
      </c>
      <c r="R764" s="5" t="inlineStr">
        <is>
          <t>Debhora Garcia</t>
        </is>
      </c>
      <c r="S764" s="8" t="n">
        <v>46122.00924768519</v>
      </c>
    </row>
    <row r="765" hidden="1" ht="29" customHeight="1">
      <c r="A765" s="15">
        <f>HYPERLINK("https://vtmf.veevavault.com/ui/#doc_info/31427953/1/0", "VTMF-25358603")</f>
        <v/>
      </c>
      <c r="B765" s="19" t="inlineStr">
        <is>
          <t>No</t>
        </is>
      </c>
      <c r="C765" s="5" t="inlineStr">
        <is>
          <t>1.0</t>
        </is>
      </c>
      <c r="D765" s="5" t="inlineStr">
        <is>
          <t>GCO</t>
        </is>
      </c>
      <c r="E765" s="5" t="inlineStr">
        <is>
          <t>42847922MDD3003</t>
        </is>
      </c>
      <c r="F765" s="16">
        <f>HYPERLINK("https://vtmf.veevavault.com/ui/#doc_info/31427953/1/0", "42847922MDD3003-SWE-S10-SE10002-IP Destruction Form-10 Feb 2026 (v1.0)")</f>
        <v/>
      </c>
      <c r="G765" s="5" t="inlineStr">
        <is>
          <t>IP and Trial Supplies</t>
        </is>
      </c>
      <c r="H765" s="5" t="inlineStr">
        <is>
          <t>IP Documentation</t>
        </is>
      </c>
      <c r="I765" s="5" t="inlineStr">
        <is>
          <t>IP Destruction Form</t>
        </is>
      </c>
      <c r="J765" s="5" t="inlineStr">
        <is>
          <t>IP Destruction form_06-NOV-2025_basket ID 228</t>
        </is>
      </c>
      <c r="K765" s="6" t="n">
        <v>59</v>
      </c>
      <c r="L765" s="7" t="n">
        <v>46063</v>
      </c>
      <c r="M765" s="11" t="n">
        <v>46122</v>
      </c>
      <c r="N765" s="5" t="inlineStr">
        <is>
          <t>Approved</t>
        </is>
      </c>
      <c r="O765" s="5" t="inlineStr">
        <is>
          <t>Site</t>
        </is>
      </c>
      <c r="P765" s="5" t="inlineStr">
        <is>
          <t>Sweden</t>
        </is>
      </c>
      <c r="Q765" s="13" t="inlineStr">
        <is>
          <t>S10-SE10002</t>
        </is>
      </c>
      <c r="R765" s="5" t="inlineStr">
        <is>
          <t>Victoria Rye</t>
        </is>
      </c>
      <c r="S765" s="8" t="n">
        <v>46122.4390162037</v>
      </c>
    </row>
    <row r="766" hidden="1" ht="29" customHeight="1">
      <c r="A766" s="15">
        <f>HYPERLINK("https://vtmf.veevavault.com/ui/#doc_info/31428077/1/0", "VTMF-25358615")</f>
        <v/>
      </c>
      <c r="B766" s="20" t="inlineStr">
        <is>
          <t>Yes</t>
        </is>
      </c>
      <c r="C766" s="5" t="inlineStr">
        <is>
          <t>1.0</t>
        </is>
      </c>
      <c r="D766" s="5" t="inlineStr">
        <is>
          <t>GCO</t>
        </is>
      </c>
      <c r="E766" s="5" t="inlineStr">
        <is>
          <t>42847922MDD3003</t>
        </is>
      </c>
      <c r="F766" s="16">
        <f>HYPERLINK("https://vtmf.veevavault.com/ui/#doc_info/31428077/1/0", "42847922MDD3003-USA-S10-US10212-Relevant Communications-18 Jul 2025 (v1.0)")</f>
        <v/>
      </c>
      <c r="G766" s="5" t="inlineStr">
        <is>
          <t>Site Management</t>
        </is>
      </c>
      <c r="H766" s="5" t="inlineStr">
        <is>
          <t>General</t>
        </is>
      </c>
      <c r="I766" s="5" t="inlineStr">
        <is>
          <t>Relevant Communications</t>
        </is>
      </c>
      <c r="J766" s="5" t="inlineStr">
        <is>
          <t>Eligibility approved_S10-US10212 Dr Zaidi</t>
        </is>
      </c>
      <c r="K766" s="6" t="n">
        <v>266</v>
      </c>
      <c r="L766" s="7" t="n">
        <v>45856</v>
      </c>
      <c r="M766" s="11" t="n">
        <v>46122</v>
      </c>
      <c r="N766" s="5" t="inlineStr">
        <is>
          <t>Approved</t>
        </is>
      </c>
      <c r="O766" s="5" t="inlineStr">
        <is>
          <t>Site</t>
        </is>
      </c>
      <c r="P766" s="5" t="inlineStr">
        <is>
          <t>United States</t>
        </is>
      </c>
      <c r="Q766" s="13" t="inlineStr">
        <is>
          <t>S10-US10212</t>
        </is>
      </c>
      <c r="R766" s="5" t="inlineStr">
        <is>
          <t>Aurora Barbera</t>
        </is>
      </c>
      <c r="S766" s="8" t="n">
        <v>46122.43945601852</v>
      </c>
    </row>
    <row r="767" hidden="1" ht="29" customHeight="1">
      <c r="A767" s="15">
        <f>HYPERLINK("https://vtmf.veevavault.com/ui/#doc_info/31428087/1/0", "VTMF-25358636")</f>
        <v/>
      </c>
      <c r="B767" s="20" t="inlineStr">
        <is>
          <t>Yes</t>
        </is>
      </c>
      <c r="C767" s="5" t="inlineStr">
        <is>
          <t>1.0</t>
        </is>
      </c>
      <c r="D767" s="5" t="inlineStr">
        <is>
          <t>GCO</t>
        </is>
      </c>
      <c r="E767" s="5" t="inlineStr">
        <is>
          <t>42847922MDD3003</t>
        </is>
      </c>
      <c r="F767" s="16">
        <f>HYPERLINK("https://vtmf.veevavault.com/ui/#doc_info/31428087/1/0", "42847922MDD3003-USA-S10-US10214-Relevant Communications-14 Aug 2025 (v1.0)")</f>
        <v/>
      </c>
      <c r="G767" s="5" t="inlineStr">
        <is>
          <t>Site Management</t>
        </is>
      </c>
      <c r="H767" s="5" t="inlineStr">
        <is>
          <t>General</t>
        </is>
      </c>
      <c r="I767" s="5" t="inlineStr">
        <is>
          <t>Relevant Communications</t>
        </is>
      </c>
      <c r="J767" s="5" t="inlineStr">
        <is>
          <t>Eligibility approved_S10-US10214 Dr Eder</t>
        </is>
      </c>
      <c r="K767" s="6" t="n">
        <v>239</v>
      </c>
      <c r="L767" s="7" t="n">
        <v>45883</v>
      </c>
      <c r="M767" s="11" t="n">
        <v>46122</v>
      </c>
      <c r="N767" s="5" t="inlineStr">
        <is>
          <t>Approved</t>
        </is>
      </c>
      <c r="O767" s="5" t="inlineStr">
        <is>
          <t>Site</t>
        </is>
      </c>
      <c r="P767" s="5" t="inlineStr">
        <is>
          <t>United States</t>
        </is>
      </c>
      <c r="Q767" s="13" t="inlineStr">
        <is>
          <t>S10-US10214</t>
        </is>
      </c>
      <c r="R767" s="5" t="inlineStr">
        <is>
          <t>Aurora Barbera</t>
        </is>
      </c>
      <c r="S767" s="8" t="n">
        <v>46122.44099537037</v>
      </c>
    </row>
    <row r="768" hidden="1" ht="29" customHeight="1">
      <c r="A768" s="15">
        <f>HYPERLINK("https://vtmf.veevavault.com/ui/#doc_info/31428101/1/0", "VTMF-25358656")</f>
        <v/>
      </c>
      <c r="B768" s="20" t="inlineStr">
        <is>
          <t>Yes</t>
        </is>
      </c>
      <c r="C768" s="5" t="inlineStr">
        <is>
          <t>1.0</t>
        </is>
      </c>
      <c r="D768" s="5" t="inlineStr">
        <is>
          <t>GCO</t>
        </is>
      </c>
      <c r="E768" s="5" t="inlineStr">
        <is>
          <t>42847922MDD3003</t>
        </is>
      </c>
      <c r="F768" s="16">
        <f>HYPERLINK("https://vtmf.veevavault.com/ui/#doc_info/31428101/1/0", "42847922MDD3003-POL-S10-PL10021-Relevant Communications-14 Aug 2025 (v1.0)")</f>
        <v/>
      </c>
      <c r="G768" s="5" t="inlineStr">
        <is>
          <t>Site Management</t>
        </is>
      </c>
      <c r="H768" s="5" t="inlineStr">
        <is>
          <t>General</t>
        </is>
      </c>
      <c r="I768" s="5" t="inlineStr">
        <is>
          <t>Relevant Communications</t>
        </is>
      </c>
      <c r="J768" s="5" t="inlineStr">
        <is>
          <t>Eligibility approved_S10-PL10021 Dr Grabowski</t>
        </is>
      </c>
      <c r="K768" s="6" t="n">
        <v>239</v>
      </c>
      <c r="L768" s="7" t="n">
        <v>45883</v>
      </c>
      <c r="M768" s="11" t="n">
        <v>46122</v>
      </c>
      <c r="N768" s="5" t="inlineStr">
        <is>
          <t>Approved</t>
        </is>
      </c>
      <c r="O768" s="5" t="inlineStr">
        <is>
          <t>Site</t>
        </is>
      </c>
      <c r="P768" s="5" t="inlineStr">
        <is>
          <t>Poland</t>
        </is>
      </c>
      <c r="Q768" s="13" t="inlineStr">
        <is>
          <t>S10-PL10021</t>
        </is>
      </c>
      <c r="R768" s="5" t="inlineStr">
        <is>
          <t>Aurora Barbera</t>
        </is>
      </c>
      <c r="S768" s="8" t="n">
        <v>46122.4424074074</v>
      </c>
    </row>
    <row r="769" hidden="1" ht="29" customHeight="1">
      <c r="A769" s="15">
        <f>HYPERLINK("https://vtmf.veevavault.com/ui/#doc_info/31428106/1/0", "VTMF-25358665")</f>
        <v/>
      </c>
      <c r="B769" s="20" t="inlineStr">
        <is>
          <t>Yes</t>
        </is>
      </c>
      <c r="C769" s="5" t="inlineStr">
        <is>
          <t>1.0</t>
        </is>
      </c>
      <c r="D769" s="5" t="inlineStr">
        <is>
          <t>GCO</t>
        </is>
      </c>
      <c r="E769" s="5" t="inlineStr">
        <is>
          <t>42847922MDD3003</t>
        </is>
      </c>
      <c r="F769" s="16">
        <f>HYPERLINK("https://vtmf.veevavault.com/ui/#doc_info/31428106/1/0", "42847922MDD3003-POL-S10-PL10012-Relevant Communications-14 Aug 2025 (v1.0)")</f>
        <v/>
      </c>
      <c r="G769" s="5" t="inlineStr">
        <is>
          <t>Site Management</t>
        </is>
      </c>
      <c r="H769" s="5" t="inlineStr">
        <is>
          <t>General</t>
        </is>
      </c>
      <c r="I769" s="5" t="inlineStr">
        <is>
          <t>Relevant Communications</t>
        </is>
      </c>
      <c r="J769" s="5" t="inlineStr">
        <is>
          <t>Eligibility approved_S10-PL10012 Dr Szymkowiak</t>
        </is>
      </c>
      <c r="K769" s="6" t="n">
        <v>239</v>
      </c>
      <c r="L769" s="7" t="n">
        <v>45883</v>
      </c>
      <c r="M769" s="11" t="n">
        <v>46122</v>
      </c>
      <c r="N769" s="5" t="inlineStr">
        <is>
          <t>Approved</t>
        </is>
      </c>
      <c r="O769" s="5" t="inlineStr">
        <is>
          <t>Site</t>
        </is>
      </c>
      <c r="P769" s="5" t="inlineStr">
        <is>
          <t>Poland</t>
        </is>
      </c>
      <c r="Q769" s="13" t="inlineStr">
        <is>
          <t>S10-PL10012</t>
        </is>
      </c>
      <c r="R769" s="5" t="inlineStr">
        <is>
          <t>Aurora Barbera</t>
        </is>
      </c>
      <c r="S769" s="8" t="n">
        <v>46122.44396990741</v>
      </c>
    </row>
    <row r="770" hidden="1" ht="29" customHeight="1">
      <c r="A770" s="15">
        <f>HYPERLINK("https://vtmf.veevavault.com/ui/#doc_info/31428116/1/0", "VTMF-25358680")</f>
        <v/>
      </c>
      <c r="B770" s="20" t="inlineStr">
        <is>
          <t>Yes</t>
        </is>
      </c>
      <c r="C770" s="5" t="inlineStr">
        <is>
          <t>1.0</t>
        </is>
      </c>
      <c r="D770" s="5" t="inlineStr">
        <is>
          <t>GCO</t>
        </is>
      </c>
      <c r="E770" s="5" t="inlineStr">
        <is>
          <t>42847922MDD3003</t>
        </is>
      </c>
      <c r="F770" s="16">
        <f>HYPERLINK("https://vtmf.veevavault.com/ui/#doc_info/31428116/1/0", "42847922MDD3003-POL-S10-PL10012-Relevant Communications-14 Aug 2025 (v1.0)")</f>
        <v/>
      </c>
      <c r="G770" s="5" t="inlineStr">
        <is>
          <t>Site Management</t>
        </is>
      </c>
      <c r="H770" s="5" t="inlineStr">
        <is>
          <t>General</t>
        </is>
      </c>
      <c r="I770" s="5" t="inlineStr">
        <is>
          <t>Relevant Communications</t>
        </is>
      </c>
      <c r="J770" s="5" t="inlineStr">
        <is>
          <t>Eligibility approved_S10-PL10012 Dr Szymkowiak</t>
        </is>
      </c>
      <c r="K770" s="6" t="n">
        <v>239</v>
      </c>
      <c r="L770" s="7" t="n">
        <v>45883</v>
      </c>
      <c r="M770" s="11" t="n">
        <v>46122</v>
      </c>
      <c r="N770" s="5" t="inlineStr">
        <is>
          <t>Approved</t>
        </is>
      </c>
      <c r="O770" s="5" t="inlineStr">
        <is>
          <t>Site</t>
        </is>
      </c>
      <c r="P770" s="5" t="inlineStr">
        <is>
          <t>Poland</t>
        </is>
      </c>
      <c r="Q770" s="13" t="inlineStr">
        <is>
          <t>S10-PL10012</t>
        </is>
      </c>
      <c r="R770" s="5" t="inlineStr">
        <is>
          <t>Aurora Barbera</t>
        </is>
      </c>
      <c r="S770" s="8" t="n">
        <v>46122.44541666667</v>
      </c>
    </row>
    <row r="771" hidden="1" ht="29" customHeight="1">
      <c r="A771" s="15">
        <f>HYPERLINK("https://vtmf.veevavault.com/ui/#doc_info/31427993/1/0", "VTMF-25358694")</f>
        <v/>
      </c>
      <c r="B771" s="20" t="inlineStr">
        <is>
          <t>Yes</t>
        </is>
      </c>
      <c r="C771" s="5" t="inlineStr">
        <is>
          <t>1.0</t>
        </is>
      </c>
      <c r="D771" s="5" t="inlineStr">
        <is>
          <t>GCO</t>
        </is>
      </c>
      <c r="E771" s="5" t="inlineStr">
        <is>
          <t>42847922MDD3003</t>
        </is>
      </c>
      <c r="F771" s="16">
        <f>HYPERLINK("https://vtmf.veevavault.com/ui/#doc_info/31427993/1/0", "42847922MDD3003-USA-S10-US10040-Relevant Communications-14 Aug 2025 (v1.0)")</f>
        <v/>
      </c>
      <c r="G771" s="5" t="inlineStr">
        <is>
          <t>Site Management</t>
        </is>
      </c>
      <c r="H771" s="5" t="inlineStr">
        <is>
          <t>General</t>
        </is>
      </c>
      <c r="I771" s="5" t="inlineStr">
        <is>
          <t>Relevant Communications</t>
        </is>
      </c>
      <c r="J771" s="5" t="inlineStr">
        <is>
          <t>Eligibility approved_S10-US10040 Dr Rutrick</t>
        </is>
      </c>
      <c r="K771" s="6" t="n">
        <v>239</v>
      </c>
      <c r="L771" s="7" t="n">
        <v>45883</v>
      </c>
      <c r="M771" s="11" t="n">
        <v>46122</v>
      </c>
      <c r="N771" s="5" t="inlineStr">
        <is>
          <t>Approved</t>
        </is>
      </c>
      <c r="O771" s="5" t="inlineStr">
        <is>
          <t>Site</t>
        </is>
      </c>
      <c r="P771" s="5" t="inlineStr">
        <is>
          <t>United States</t>
        </is>
      </c>
      <c r="Q771" s="13" t="inlineStr">
        <is>
          <t>S10-US10040</t>
        </is>
      </c>
      <c r="R771" s="5" t="inlineStr">
        <is>
          <t>Aurora Barbera</t>
        </is>
      </c>
      <c r="S771" s="8" t="n">
        <v>46122.44685185186</v>
      </c>
    </row>
    <row r="772" hidden="1" ht="29" customHeight="1">
      <c r="A772" s="15">
        <f>HYPERLINK("https://vtmf.veevavault.com/ui/#doc_info/31428208/1/0", "VTMF-25358716")</f>
        <v/>
      </c>
      <c r="B772" s="20" t="inlineStr">
        <is>
          <t>Yes</t>
        </is>
      </c>
      <c r="C772" s="5" t="inlineStr">
        <is>
          <t>1.0</t>
        </is>
      </c>
      <c r="D772" s="5" t="inlineStr">
        <is>
          <t>GCO</t>
        </is>
      </c>
      <c r="E772" s="5" t="inlineStr">
        <is>
          <t>42847922MDD3003</t>
        </is>
      </c>
      <c r="F772" s="16">
        <f>HYPERLINK("https://vtmf.veevavault.com/ui/#doc_info/31428208/1/0", "42847922MDD3003-CZE-S10-CZ10008-Relevant Communications-14 Aug 2025 (v1.0)")</f>
        <v/>
      </c>
      <c r="G772" s="5" t="inlineStr">
        <is>
          <t>Site Management</t>
        </is>
      </c>
      <c r="H772" s="5" t="inlineStr">
        <is>
          <t>General</t>
        </is>
      </c>
      <c r="I772" s="5" t="inlineStr">
        <is>
          <t>Relevant Communications</t>
        </is>
      </c>
      <c r="J772" s="5" t="inlineStr">
        <is>
          <t>Eligibility approved_S10-CZ10008 Dr Solle</t>
        </is>
      </c>
      <c r="K772" s="6" t="n">
        <v>239</v>
      </c>
      <c r="L772" s="7" t="n">
        <v>45883</v>
      </c>
      <c r="M772" s="11" t="n">
        <v>46122</v>
      </c>
      <c r="N772" s="5" t="inlineStr">
        <is>
          <t>Approved</t>
        </is>
      </c>
      <c r="O772" s="5" t="inlineStr">
        <is>
          <t>Site</t>
        </is>
      </c>
      <c r="P772" s="5" t="inlineStr">
        <is>
          <t>Czech Republic</t>
        </is>
      </c>
      <c r="Q772" s="13" t="inlineStr">
        <is>
          <t>S10-CZ10008</t>
        </is>
      </c>
      <c r="R772" s="5" t="inlineStr">
        <is>
          <t>Aurora Barbera</t>
        </is>
      </c>
      <c r="S772" s="8" t="n">
        <v>46122.44847222222</v>
      </c>
    </row>
    <row r="773" hidden="1" ht="29" customHeight="1">
      <c r="A773" s="15">
        <f>HYPERLINK("https://vtmf.veevavault.com/ui/#doc_info/31428213/1/0", "VTMF-25358726")</f>
        <v/>
      </c>
      <c r="B773" s="20" t="inlineStr">
        <is>
          <t>Yes</t>
        </is>
      </c>
      <c r="C773" s="5" t="inlineStr">
        <is>
          <t>1.0</t>
        </is>
      </c>
      <c r="D773" s="5" t="inlineStr">
        <is>
          <t>GCO</t>
        </is>
      </c>
      <c r="E773" s="5" t="inlineStr">
        <is>
          <t>42847922MDD3003</t>
        </is>
      </c>
      <c r="F773" s="16">
        <f>HYPERLINK("https://vtmf.veevavault.com/ui/#doc_info/31428213/1/0", "42847922MDD3003-USA-S10-US10234-Relevant Communications-14 Aug 2025 (v1.0)")</f>
        <v/>
      </c>
      <c r="G773" s="5" t="inlineStr">
        <is>
          <t>Site Management</t>
        </is>
      </c>
      <c r="H773" s="5" t="inlineStr">
        <is>
          <t>General</t>
        </is>
      </c>
      <c r="I773" s="5" t="inlineStr">
        <is>
          <t>Relevant Communications</t>
        </is>
      </c>
      <c r="J773" s="5" t="inlineStr">
        <is>
          <t>Eligibility approved_S10-US10234 Dr Murray</t>
        </is>
      </c>
      <c r="K773" s="6" t="n">
        <v>239</v>
      </c>
      <c r="L773" s="7" t="n">
        <v>45883</v>
      </c>
      <c r="M773" s="11" t="n">
        <v>46122</v>
      </c>
      <c r="N773" s="5" t="inlineStr">
        <is>
          <t>Approved</t>
        </is>
      </c>
      <c r="O773" s="5" t="inlineStr">
        <is>
          <t>Site</t>
        </is>
      </c>
      <c r="P773" s="5" t="inlineStr">
        <is>
          <t>United States</t>
        </is>
      </c>
      <c r="Q773" s="13" t="inlineStr">
        <is>
          <t>S10-US10234</t>
        </is>
      </c>
      <c r="R773" s="5" t="inlineStr">
        <is>
          <t>Aurora Barbera</t>
        </is>
      </c>
      <c r="S773" s="8" t="n">
        <v>46122.45006944444</v>
      </c>
    </row>
    <row r="774" hidden="1" ht="29" customHeight="1">
      <c r="A774" s="15">
        <f>HYPERLINK("https://vtmf.veevavault.com/ui/#doc_info/31428217/1/0", "VTMF-25358736")</f>
        <v/>
      </c>
      <c r="B774" s="20" t="inlineStr">
        <is>
          <t>Yes</t>
        </is>
      </c>
      <c r="C774" s="5" t="inlineStr">
        <is>
          <t>1.0</t>
        </is>
      </c>
      <c r="D774" s="5" t="inlineStr">
        <is>
          <t>GCO</t>
        </is>
      </c>
      <c r="E774" s="5" t="inlineStr">
        <is>
          <t>42847922MDD3003</t>
        </is>
      </c>
      <c r="F774" s="16">
        <f>HYPERLINK("https://vtmf.veevavault.com/ui/#doc_info/31428217/1/0", "42847922MDD3003-USA-S10-US10041-Relevant Communications-21 Aug 2025 (v1.0)")</f>
        <v/>
      </c>
      <c r="G774" s="5" t="inlineStr">
        <is>
          <t>Site Management</t>
        </is>
      </c>
      <c r="H774" s="5" t="inlineStr">
        <is>
          <t>General</t>
        </is>
      </c>
      <c r="I774" s="5" t="inlineStr">
        <is>
          <t>Relevant Communications</t>
        </is>
      </c>
      <c r="J774" s="5" t="inlineStr">
        <is>
          <t>Eligibility approved_S10-US10041 Dr Yuryev Golger</t>
        </is>
      </c>
      <c r="K774" s="6" t="n">
        <v>232</v>
      </c>
      <c r="L774" s="7" t="n">
        <v>45890</v>
      </c>
      <c r="M774" s="11" t="n">
        <v>46122</v>
      </c>
      <c r="N774" s="5" t="inlineStr">
        <is>
          <t>Approved</t>
        </is>
      </c>
      <c r="O774" s="5" t="inlineStr">
        <is>
          <t>Site</t>
        </is>
      </c>
      <c r="P774" s="5" t="inlineStr">
        <is>
          <t>United States</t>
        </is>
      </c>
      <c r="Q774" s="13" t="inlineStr">
        <is>
          <t>S10-US10041</t>
        </is>
      </c>
      <c r="R774" s="5" t="inlineStr">
        <is>
          <t>Aurora Barbera</t>
        </is>
      </c>
      <c r="S774" s="8" t="n">
        <v>46122.45145833334</v>
      </c>
    </row>
    <row r="775" hidden="1" ht="29" customHeight="1">
      <c r="A775" s="15">
        <f>HYPERLINK("https://vtmf.veevavault.com/ui/#doc_info/31428733/1/0", "VTMF-25359307")</f>
        <v/>
      </c>
      <c r="B775" s="20" t="inlineStr">
        <is>
          <t>Yes</t>
        </is>
      </c>
      <c r="C775" s="5" t="inlineStr">
        <is>
          <t>1.0</t>
        </is>
      </c>
      <c r="D775" s="5" t="inlineStr">
        <is>
          <t>GCO</t>
        </is>
      </c>
      <c r="E775" s="5" t="inlineStr">
        <is>
          <t>42847922MDD3003</t>
        </is>
      </c>
      <c r="F775" s="16">
        <f>HYPERLINK("https://vtmf.veevavault.com/ui/#doc_info/31428733/1/0", "42847922MDD3003-USA-S10-US10040-Relevant Communications-21 Aug 2025 (v1.0)")</f>
        <v/>
      </c>
      <c r="G775" s="5" t="inlineStr">
        <is>
          <t>Site Management</t>
        </is>
      </c>
      <c r="H775" s="5" t="inlineStr">
        <is>
          <t>General</t>
        </is>
      </c>
      <c r="I775" s="5" t="inlineStr">
        <is>
          <t>Relevant Communications</t>
        </is>
      </c>
      <c r="J775" s="5" t="inlineStr">
        <is>
          <t>Eligibility approved_S10-US10040 Dr Rutrick</t>
        </is>
      </c>
      <c r="K775" s="6" t="n">
        <v>232</v>
      </c>
      <c r="L775" s="7" t="n">
        <v>45890</v>
      </c>
      <c r="M775" s="11" t="n">
        <v>46122</v>
      </c>
      <c r="N775" s="5" t="inlineStr">
        <is>
          <t>Approved</t>
        </is>
      </c>
      <c r="O775" s="5" t="inlineStr">
        <is>
          <t>Site</t>
        </is>
      </c>
      <c r="P775" s="5" t="inlineStr">
        <is>
          <t>United States</t>
        </is>
      </c>
      <c r="Q775" s="13" t="inlineStr">
        <is>
          <t>S10-US10040</t>
        </is>
      </c>
      <c r="R775" s="5" t="inlineStr">
        <is>
          <t>Aurora Barbera</t>
        </is>
      </c>
      <c r="S775" s="8" t="n">
        <v>46122.51862268519</v>
      </c>
    </row>
    <row r="776" hidden="1" ht="29" customHeight="1">
      <c r="A776" s="15">
        <f>HYPERLINK("https://vtmf.veevavault.com/ui/#doc_info/31428738/1/0", "VTMF-25359313")</f>
        <v/>
      </c>
      <c r="B776" s="20" t="inlineStr">
        <is>
          <t>Yes</t>
        </is>
      </c>
      <c r="C776" s="5" t="inlineStr">
        <is>
          <t>1.0</t>
        </is>
      </c>
      <c r="D776" s="5" t="inlineStr">
        <is>
          <t>GCO</t>
        </is>
      </c>
      <c r="E776" s="5" t="inlineStr">
        <is>
          <t>42847922MDD3003</t>
        </is>
      </c>
      <c r="F776" s="16">
        <f>HYPERLINK("https://vtmf.veevavault.com/ui/#doc_info/31428738/1/0", "42847922MDD3003-ARG-S10-AR10001-Relevant Communications-22 Aug 2025 (v1.0)")</f>
        <v/>
      </c>
      <c r="G776" s="5" t="inlineStr">
        <is>
          <t>Site Management</t>
        </is>
      </c>
      <c r="H776" s="5" t="inlineStr">
        <is>
          <t>General</t>
        </is>
      </c>
      <c r="I776" s="5" t="inlineStr">
        <is>
          <t>Relevant Communications</t>
        </is>
      </c>
      <c r="J776" s="5" t="inlineStr">
        <is>
          <t>Eligibility approved_S10-AR10001 Dr Lamaison</t>
        </is>
      </c>
      <c r="K776" s="6" t="n">
        <v>231</v>
      </c>
      <c r="L776" s="7" t="n">
        <v>45891</v>
      </c>
      <c r="M776" s="11" t="n">
        <v>46122</v>
      </c>
      <c r="N776" s="5" t="inlineStr">
        <is>
          <t>Approved</t>
        </is>
      </c>
      <c r="O776" s="5" t="inlineStr">
        <is>
          <t>Site</t>
        </is>
      </c>
      <c r="P776" s="5" t="inlineStr">
        <is>
          <t>Argentina</t>
        </is>
      </c>
      <c r="Q776" s="13" t="inlineStr">
        <is>
          <t>S10-AR10001</t>
        </is>
      </c>
      <c r="R776" s="5" t="inlineStr">
        <is>
          <t>Aurora Barbera</t>
        </is>
      </c>
      <c r="S776" s="8" t="n">
        <v>46122.52011574074</v>
      </c>
    </row>
    <row r="777" hidden="1" ht="29" customHeight="1">
      <c r="A777" s="15">
        <f>HYPERLINK("https://vtmf.veevavault.com/ui/#doc_info/31428744/1/0", "VTMF-25359335")</f>
        <v/>
      </c>
      <c r="B777" s="20" t="inlineStr">
        <is>
          <t>Yes</t>
        </is>
      </c>
      <c r="C777" s="5" t="inlineStr">
        <is>
          <t>1.0</t>
        </is>
      </c>
      <c r="D777" s="5" t="inlineStr">
        <is>
          <t>GCO</t>
        </is>
      </c>
      <c r="E777" s="5" t="inlineStr">
        <is>
          <t>42847922MDD3003</t>
        </is>
      </c>
      <c r="F777" s="16">
        <f>HYPERLINK("https://vtmf.veevavault.com/ui/#doc_info/31428744/1/0", "42847922MDD3003-BRA-S10-BR10008-Relevant Communications-26 Aug 2025 (v1.0)")</f>
        <v/>
      </c>
      <c r="G777" s="5" t="inlineStr">
        <is>
          <t>Site Management</t>
        </is>
      </c>
      <c r="H777" s="5" t="inlineStr">
        <is>
          <t>General</t>
        </is>
      </c>
      <c r="I777" s="5" t="inlineStr">
        <is>
          <t>Relevant Communications</t>
        </is>
      </c>
      <c r="J777" s="5" t="inlineStr">
        <is>
          <t>Eligibility not approved_S10-BR10008 Dr Lacerda</t>
        </is>
      </c>
      <c r="K777" s="6" t="n">
        <v>227</v>
      </c>
      <c r="L777" s="7" t="n">
        <v>45895</v>
      </c>
      <c r="M777" s="11" t="n">
        <v>46122</v>
      </c>
      <c r="N777" s="5" t="inlineStr">
        <is>
          <t>Approved</t>
        </is>
      </c>
      <c r="O777" s="5" t="inlineStr">
        <is>
          <t>Site</t>
        </is>
      </c>
      <c r="P777" s="5" t="inlineStr">
        <is>
          <t>Brazil</t>
        </is>
      </c>
      <c r="Q777" s="13" t="inlineStr">
        <is>
          <t>S10-BR10008</t>
        </is>
      </c>
      <c r="R777" s="5" t="inlineStr">
        <is>
          <t>Aurora Barbera</t>
        </is>
      </c>
      <c r="S777" s="8" t="n">
        <v>46122.52175925926</v>
      </c>
    </row>
    <row r="778" hidden="1" ht="29" customHeight="1">
      <c r="A778" s="15">
        <f>HYPERLINK("https://vtmf.veevavault.com/ui/#doc_info/31428752/1/0", "VTMF-25359351")</f>
        <v/>
      </c>
      <c r="B778" s="20" t="inlineStr">
        <is>
          <t>Yes</t>
        </is>
      </c>
      <c r="C778" s="5" t="inlineStr">
        <is>
          <t>1.0</t>
        </is>
      </c>
      <c r="D778" s="5" t="inlineStr">
        <is>
          <t>GCO</t>
        </is>
      </c>
      <c r="E778" s="5" t="inlineStr">
        <is>
          <t>42847922MDD3003</t>
        </is>
      </c>
      <c r="F778" s="16">
        <f>HYPERLINK("https://vtmf.veevavault.com/ui/#doc_info/31428752/1/0", "42847922MDD3003-SVK-S10-SK10001-Relevant Communications-28 Aug 2025 (v1.0)")</f>
        <v/>
      </c>
      <c r="G778" s="5" t="inlineStr">
        <is>
          <t>Site Management</t>
        </is>
      </c>
      <c r="H778" s="5" t="inlineStr">
        <is>
          <t>General</t>
        </is>
      </c>
      <c r="I778" s="5" t="inlineStr">
        <is>
          <t>Relevant Communications</t>
        </is>
      </c>
      <c r="J778" s="5" t="inlineStr">
        <is>
          <t>Eligibility approved_S10-SK10001 Dr Breznoscakova</t>
        </is>
      </c>
      <c r="K778" s="6" t="n">
        <v>225</v>
      </c>
      <c r="L778" s="7" t="n">
        <v>45897</v>
      </c>
      <c r="M778" s="11" t="n">
        <v>46122</v>
      </c>
      <c r="N778" s="5" t="inlineStr">
        <is>
          <t>Approved</t>
        </is>
      </c>
      <c r="O778" s="5" t="inlineStr">
        <is>
          <t>Site</t>
        </is>
      </c>
      <c r="P778" s="5" t="inlineStr">
        <is>
          <t>Slovakia</t>
        </is>
      </c>
      <c r="Q778" s="13" t="inlineStr">
        <is>
          <t>S10-SK10001</t>
        </is>
      </c>
      <c r="R778" s="5" t="inlineStr">
        <is>
          <t>Aurora Barbera</t>
        </is>
      </c>
      <c r="S778" s="8" t="n">
        <v>46122.52392361111</v>
      </c>
    </row>
    <row r="779" hidden="1" ht="29" customHeight="1">
      <c r="A779" s="15">
        <f>HYPERLINK("https://vtmf.veevavault.com/ui/#doc_info/31428760/1/0", "VTMF-25359363")</f>
        <v/>
      </c>
      <c r="B779" s="20" t="inlineStr">
        <is>
          <t>Yes</t>
        </is>
      </c>
      <c r="C779" s="5" t="inlineStr">
        <is>
          <t>1.0</t>
        </is>
      </c>
      <c r="D779" s="5" t="inlineStr">
        <is>
          <t>GCO</t>
        </is>
      </c>
      <c r="E779" s="5" t="inlineStr">
        <is>
          <t>42847922MDD3003</t>
        </is>
      </c>
      <c r="F779" s="16">
        <f>HYPERLINK("https://vtmf.veevavault.com/ui/#doc_info/31428760/1/0", "42847922MDD3003-USA-S10-US10001-Relevant Communications-28 Aug 2025 (v1.0)")</f>
        <v/>
      </c>
      <c r="G779" s="5" t="inlineStr">
        <is>
          <t>Site Management</t>
        </is>
      </c>
      <c r="H779" s="5" t="inlineStr">
        <is>
          <t>General</t>
        </is>
      </c>
      <c r="I779" s="5" t="inlineStr">
        <is>
          <t>Relevant Communications</t>
        </is>
      </c>
      <c r="J779" s="5" t="inlineStr">
        <is>
          <t>Eligibility approved_S10-US10001 Dr Ghelber</t>
        </is>
      </c>
      <c r="K779" s="6" t="n">
        <v>225</v>
      </c>
      <c r="L779" s="7" t="n">
        <v>45897</v>
      </c>
      <c r="M779" s="11" t="n">
        <v>46122</v>
      </c>
      <c r="N779" s="5" t="inlineStr">
        <is>
          <t>Approved</t>
        </is>
      </c>
      <c r="O779" s="5" t="inlineStr">
        <is>
          <t>Site</t>
        </is>
      </c>
      <c r="P779" s="5" t="inlineStr">
        <is>
          <t>United States</t>
        </is>
      </c>
      <c r="Q779" s="13" t="inlineStr">
        <is>
          <t>S10-US10001</t>
        </is>
      </c>
      <c r="R779" s="5" t="inlineStr">
        <is>
          <t>Aurora Barbera</t>
        </is>
      </c>
      <c r="S779" s="8" t="n">
        <v>46122.52547453704</v>
      </c>
    </row>
    <row r="780" hidden="1" ht="29" customHeight="1">
      <c r="A780" s="15">
        <f>HYPERLINK("https://vtmf.veevavault.com/ui/#doc_info/31428763/1/0", "VTMF-25359374")</f>
        <v/>
      </c>
      <c r="B780" s="20" t="inlineStr">
        <is>
          <t>Yes</t>
        </is>
      </c>
      <c r="C780" s="5" t="inlineStr">
        <is>
          <t>1.0</t>
        </is>
      </c>
      <c r="D780" s="5" t="inlineStr">
        <is>
          <t>GCO</t>
        </is>
      </c>
      <c r="E780" s="5" t="inlineStr">
        <is>
          <t>42847922MDD3003</t>
        </is>
      </c>
      <c r="F780" s="16">
        <f>HYPERLINK("https://vtmf.veevavault.com/ui/#doc_info/31428763/1/0", "42847922MDD3003-USA-S10-US10041-Relevant Communications-23 Sep 2025 (v1.0)")</f>
        <v/>
      </c>
      <c r="G780" s="5" t="inlineStr">
        <is>
          <t>Site Management</t>
        </is>
      </c>
      <c r="H780" s="5" t="inlineStr">
        <is>
          <t>General</t>
        </is>
      </c>
      <c r="I780" s="5" t="inlineStr">
        <is>
          <t>Relevant Communications</t>
        </is>
      </c>
      <c r="J780" s="5" t="inlineStr">
        <is>
          <t>Subject moved to a DAY1/BASELINE without MDR Outcome email_S10-US10041 Dr Yuryev Golger</t>
        </is>
      </c>
      <c r="K780" s="6" t="n">
        <v>199</v>
      </c>
      <c r="L780" s="7" t="n">
        <v>45923</v>
      </c>
      <c r="M780" s="11" t="n">
        <v>46122</v>
      </c>
      <c r="N780" s="5" t="inlineStr">
        <is>
          <t>Approved</t>
        </is>
      </c>
      <c r="O780" s="5" t="inlineStr">
        <is>
          <t>Site</t>
        </is>
      </c>
      <c r="P780" s="5" t="inlineStr">
        <is>
          <t>United States</t>
        </is>
      </c>
      <c r="Q780" s="13" t="inlineStr">
        <is>
          <t>S10-US10041</t>
        </is>
      </c>
      <c r="R780" s="5" t="inlineStr">
        <is>
          <t>Aurora Barbera</t>
        </is>
      </c>
      <c r="S780" s="8" t="n">
        <v>46122.526875</v>
      </c>
    </row>
    <row r="781" hidden="1" ht="29" customHeight="1">
      <c r="A781" s="15">
        <f>HYPERLINK("https://vtmf.veevavault.com/ui/#doc_info/31428780/1/0", "VTMF-25359410")</f>
        <v/>
      </c>
      <c r="B781" s="20" t="inlineStr">
        <is>
          <t>Yes</t>
        </is>
      </c>
      <c r="C781" s="5" t="inlineStr">
        <is>
          <t>1.0</t>
        </is>
      </c>
      <c r="D781" s="5" t="inlineStr">
        <is>
          <t>GCO</t>
        </is>
      </c>
      <c r="E781" s="5" t="inlineStr">
        <is>
          <t>42847922MDD3003</t>
        </is>
      </c>
      <c r="F781" s="16">
        <f>HYPERLINK("https://vtmf.veevavault.com/ui/#doc_info/31428780/1/0", "42847922MDD3003-PRT-S10-PT10008-Relevant Communications-24 Nov 2025 (v1.0)")</f>
        <v/>
      </c>
      <c r="G781" s="5" t="inlineStr">
        <is>
          <t>Site Management</t>
        </is>
      </c>
      <c r="H781" s="5" t="inlineStr">
        <is>
          <t>General</t>
        </is>
      </c>
      <c r="I781" s="5" t="inlineStr">
        <is>
          <t>Relevant Communications</t>
        </is>
      </c>
      <c r="J781" s="5" t="inlineStr">
        <is>
          <t>Eligibility approved_S10-PT10008 Dr Constante</t>
        </is>
      </c>
      <c r="K781" s="6" t="n">
        <v>137</v>
      </c>
      <c r="L781" s="7" t="n">
        <v>45985</v>
      </c>
      <c r="M781" s="11" t="n">
        <v>46122</v>
      </c>
      <c r="N781" s="5" t="inlineStr">
        <is>
          <t>Approved</t>
        </is>
      </c>
      <c r="O781" s="5" t="inlineStr">
        <is>
          <t>Site</t>
        </is>
      </c>
      <c r="P781" s="5" t="inlineStr">
        <is>
          <t>Portugal</t>
        </is>
      </c>
      <c r="Q781" s="13" t="inlineStr">
        <is>
          <t>S10-PT10008</t>
        </is>
      </c>
      <c r="R781" s="5" t="inlineStr">
        <is>
          <t>Aurora Barbera</t>
        </is>
      </c>
      <c r="S781" s="8" t="n">
        <v>46122.52969907408</v>
      </c>
    </row>
    <row r="782" hidden="1" ht="29" customHeight="1">
      <c r="A782" s="15">
        <f>HYPERLINK("https://vtmf.veevavault.com/ui/#doc_info/31428786/1/0", "VTMF-25359419")</f>
        <v/>
      </c>
      <c r="B782" s="20" t="inlineStr">
        <is>
          <t>Yes</t>
        </is>
      </c>
      <c r="C782" s="5" t="inlineStr">
        <is>
          <t>1.0</t>
        </is>
      </c>
      <c r="D782" s="5" t="inlineStr">
        <is>
          <t>GCO</t>
        </is>
      </c>
      <c r="E782" s="5" t="inlineStr">
        <is>
          <t>42847922MDD3003</t>
        </is>
      </c>
      <c r="F782" s="16">
        <f>HYPERLINK("https://vtmf.veevavault.com/ui/#doc_info/31428786/1/0", "42847922MDD3003-ARG-S10-AR10001-Relevant Communications-01 Dec 2025 (v1.0)")</f>
        <v/>
      </c>
      <c r="G782" s="5" t="inlineStr">
        <is>
          <t>Site Management</t>
        </is>
      </c>
      <c r="H782" s="5" t="inlineStr">
        <is>
          <t>General</t>
        </is>
      </c>
      <c r="I782" s="5" t="inlineStr">
        <is>
          <t>Relevant Communications</t>
        </is>
      </c>
      <c r="J782" s="5" t="inlineStr">
        <is>
          <t>Eligibility approved_S10-AR10001 Dr Lamaison</t>
        </is>
      </c>
      <c r="K782" s="6" t="n">
        <v>130</v>
      </c>
      <c r="L782" s="7" t="n">
        <v>45992</v>
      </c>
      <c r="M782" s="11" t="n">
        <v>46122</v>
      </c>
      <c r="N782" s="5" t="inlineStr">
        <is>
          <t>Approved</t>
        </is>
      </c>
      <c r="O782" s="5" t="inlineStr">
        <is>
          <t>Site</t>
        </is>
      </c>
      <c r="P782" s="5" t="inlineStr">
        <is>
          <t>Argentina</t>
        </is>
      </c>
      <c r="Q782" s="13" t="inlineStr">
        <is>
          <t>S10-AR10001</t>
        </is>
      </c>
      <c r="R782" s="5" t="inlineStr">
        <is>
          <t>Aurora Barbera</t>
        </is>
      </c>
      <c r="S782" s="8" t="n">
        <v>46122.53149305555</v>
      </c>
    </row>
    <row r="783" hidden="1" ht="29" customHeight="1">
      <c r="A783" s="15">
        <f>HYPERLINK("https://vtmf.veevavault.com/ui/#doc_info/31428789/1/0", "VTMF-25359424")</f>
        <v/>
      </c>
      <c r="B783" s="20" t="inlineStr">
        <is>
          <t>Yes</t>
        </is>
      </c>
      <c r="C783" s="5" t="inlineStr">
        <is>
          <t>1.0</t>
        </is>
      </c>
      <c r="D783" s="5" t="inlineStr">
        <is>
          <t>GCO</t>
        </is>
      </c>
      <c r="E783" s="5" t="inlineStr">
        <is>
          <t>42847922MDD3003</t>
        </is>
      </c>
      <c r="F783" s="16">
        <f>HYPERLINK("https://vtmf.veevavault.com/ui/#doc_info/31428789/1/0", "42847922MDD3003-USA-S10-US10256-Relevant Communications-02 Jan 2026 (v1.0)")</f>
        <v/>
      </c>
      <c r="G783" s="5" t="inlineStr">
        <is>
          <t>Site Management</t>
        </is>
      </c>
      <c r="H783" s="5" t="inlineStr">
        <is>
          <t>General</t>
        </is>
      </c>
      <c r="I783" s="5" t="inlineStr">
        <is>
          <t>Relevant Communications</t>
        </is>
      </c>
      <c r="J783" s="5" t="inlineStr">
        <is>
          <t>Eligibility approved_S10-US10256 Dr Cheekati</t>
        </is>
      </c>
      <c r="K783" s="6" t="n">
        <v>98</v>
      </c>
      <c r="L783" s="7" t="n">
        <v>46024</v>
      </c>
      <c r="M783" s="11" t="n">
        <v>46122</v>
      </c>
      <c r="N783" s="5" t="inlineStr">
        <is>
          <t>Approved</t>
        </is>
      </c>
      <c r="O783" s="5" t="inlineStr">
        <is>
          <t>Site</t>
        </is>
      </c>
      <c r="P783" s="5" t="inlineStr">
        <is>
          <t>United States</t>
        </is>
      </c>
      <c r="Q783" s="13" t="inlineStr">
        <is>
          <t>S10-US10256</t>
        </is>
      </c>
      <c r="R783" s="5" t="inlineStr">
        <is>
          <t>Aurora Barbera</t>
        </is>
      </c>
      <c r="S783" s="8" t="n">
        <v>46122.53290509259</v>
      </c>
    </row>
    <row r="784" hidden="1" ht="29" customHeight="1">
      <c r="A784" s="15">
        <f>HYPERLINK("https://vtmf.veevavault.com/ui/#doc_info/31428791/1/0", "VTMF-25359428")</f>
        <v/>
      </c>
      <c r="B784" s="20" t="inlineStr">
        <is>
          <t>Yes</t>
        </is>
      </c>
      <c r="C784" s="5" t="inlineStr">
        <is>
          <t>1.0</t>
        </is>
      </c>
      <c r="D784" s="5" t="inlineStr">
        <is>
          <t>GCO</t>
        </is>
      </c>
      <c r="E784" s="5" t="inlineStr">
        <is>
          <t>42847922MDD3003</t>
        </is>
      </c>
      <c r="F784" s="16">
        <f>HYPERLINK("https://vtmf.veevavault.com/ui/#doc_info/31428791/1/0", "42847922MDD3003-USA-S10-US10219-Relevant Communications-06 Jan 2026 (v1.0)")</f>
        <v/>
      </c>
      <c r="G784" s="5" t="inlineStr">
        <is>
          <t>Site Management</t>
        </is>
      </c>
      <c r="H784" s="5" t="inlineStr">
        <is>
          <t>General</t>
        </is>
      </c>
      <c r="I784" s="5" t="inlineStr">
        <is>
          <t>Relevant Communications</t>
        </is>
      </c>
      <c r="J784" s="5" t="inlineStr">
        <is>
          <t>Eligibility approved_S10-US10219 Dr Betancourt</t>
        </is>
      </c>
      <c r="K784" s="6" t="n">
        <v>94</v>
      </c>
      <c r="L784" s="7" t="n">
        <v>46028</v>
      </c>
      <c r="M784" s="11" t="n">
        <v>46122</v>
      </c>
      <c r="N784" s="5" t="inlineStr">
        <is>
          <t>Approved</t>
        </is>
      </c>
      <c r="O784" s="5" t="inlineStr">
        <is>
          <t>Site</t>
        </is>
      </c>
      <c r="P784" s="5" t="inlineStr">
        <is>
          <t>United States</t>
        </is>
      </c>
      <c r="Q784" s="13" t="inlineStr">
        <is>
          <t>S10-US10219</t>
        </is>
      </c>
      <c r="R784" s="5" t="inlineStr">
        <is>
          <t>Aurora Barbera</t>
        </is>
      </c>
      <c r="S784" s="8" t="n">
        <v>46122.5343287037</v>
      </c>
    </row>
    <row r="785" hidden="1" ht="29" customHeight="1">
      <c r="A785" s="15">
        <f>HYPERLINK("https://vtmf.veevavault.com/ui/#doc_info/31428793/1/0", "VTMF-25359433")</f>
        <v/>
      </c>
      <c r="B785" s="20" t="inlineStr">
        <is>
          <t>Yes</t>
        </is>
      </c>
      <c r="C785" s="5" t="inlineStr">
        <is>
          <t>1.0</t>
        </is>
      </c>
      <c r="D785" s="5" t="inlineStr">
        <is>
          <t>GCO</t>
        </is>
      </c>
      <c r="E785" s="5" t="inlineStr">
        <is>
          <t>42847922MDD3003</t>
        </is>
      </c>
      <c r="F785" s="16">
        <f>HYPERLINK("https://vtmf.veevavault.com/ui/#doc_info/31428793/1/0", "42847922MDD3003-USA-S10-US10212-Relevant Communications-22 Jan 2026 (v1.0)")</f>
        <v/>
      </c>
      <c r="G785" s="5" t="inlineStr">
        <is>
          <t>Site Management</t>
        </is>
      </c>
      <c r="H785" s="5" t="inlineStr">
        <is>
          <t>General</t>
        </is>
      </c>
      <c r="I785" s="5" t="inlineStr">
        <is>
          <t>Relevant Communications</t>
        </is>
      </c>
      <c r="J785" s="5" t="inlineStr">
        <is>
          <t>Eligibility approved_S10-US10212 Dr Zaidi</t>
        </is>
      </c>
      <c r="K785" s="6" t="n">
        <v>78</v>
      </c>
      <c r="L785" s="7" t="n">
        <v>46044</v>
      </c>
      <c r="M785" s="11" t="n">
        <v>46122</v>
      </c>
      <c r="N785" s="5" t="inlineStr">
        <is>
          <t>Approved</t>
        </is>
      </c>
      <c r="O785" s="5" t="inlineStr">
        <is>
          <t>Site</t>
        </is>
      </c>
      <c r="P785" s="5" t="inlineStr">
        <is>
          <t>United States</t>
        </is>
      </c>
      <c r="Q785" s="13" t="inlineStr">
        <is>
          <t>S10-US10212</t>
        </is>
      </c>
      <c r="R785" s="5" t="inlineStr">
        <is>
          <t>Aurora Barbera</t>
        </is>
      </c>
      <c r="S785" s="8" t="n">
        <v>46122.53565972222</v>
      </c>
    </row>
    <row r="786" hidden="1" ht="29" customHeight="1">
      <c r="A786" s="15">
        <f>HYPERLINK("https://vtmf.veevavault.com/ui/#doc_info/31428912/1/0", "VTMF-25359455")</f>
        <v/>
      </c>
      <c r="B786" s="20" t="inlineStr">
        <is>
          <t>Yes</t>
        </is>
      </c>
      <c r="C786" s="5" t="inlineStr">
        <is>
          <t>1.0</t>
        </is>
      </c>
      <c r="D786" s="5" t="inlineStr">
        <is>
          <t>GCO</t>
        </is>
      </c>
      <c r="E786" s="5" t="inlineStr">
        <is>
          <t>42847922MDD3003</t>
        </is>
      </c>
      <c r="F786" s="16">
        <f>HYPERLINK("https://vtmf.veevavault.com/ui/#doc_info/31428912/1/0", "42847922MDD3003-USA-S10-US10256-Relevant Communications-28 Jan 2026 (v1.0)")</f>
        <v/>
      </c>
      <c r="G786" s="5" t="inlineStr">
        <is>
          <t>Site Management</t>
        </is>
      </c>
      <c r="H786" s="5" t="inlineStr">
        <is>
          <t>General</t>
        </is>
      </c>
      <c r="I786" s="5" t="inlineStr">
        <is>
          <t>Relevant Communications</t>
        </is>
      </c>
      <c r="J786" s="5" t="inlineStr">
        <is>
          <t>Eligibility approved_S10-US10256 Dr Cheekati</t>
        </is>
      </c>
      <c r="K786" s="6" t="n">
        <v>72</v>
      </c>
      <c r="L786" s="7" t="n">
        <v>46050</v>
      </c>
      <c r="M786" s="11" t="n">
        <v>46122</v>
      </c>
      <c r="N786" s="5" t="inlineStr">
        <is>
          <t>Approved</t>
        </is>
      </c>
      <c r="O786" s="5" t="inlineStr">
        <is>
          <t>Site</t>
        </is>
      </c>
      <c r="P786" s="5" t="inlineStr">
        <is>
          <t>United States</t>
        </is>
      </c>
      <c r="Q786" s="13" t="inlineStr">
        <is>
          <t>S10-US10256</t>
        </is>
      </c>
      <c r="R786" s="5" t="inlineStr">
        <is>
          <t>Aurora Barbera</t>
        </is>
      </c>
      <c r="S786" s="8" t="n">
        <v>46122.53711805555</v>
      </c>
    </row>
    <row r="787" hidden="1" ht="29" customHeight="1">
      <c r="A787" s="15">
        <f>HYPERLINK("https://vtmf.veevavault.com/ui/#doc_info/31428926/1/0", "VTMF-25359476")</f>
        <v/>
      </c>
      <c r="B787" s="20" t="inlineStr">
        <is>
          <t>Yes</t>
        </is>
      </c>
      <c r="C787" s="5" t="inlineStr">
        <is>
          <t>1.0</t>
        </is>
      </c>
      <c r="D787" s="5" t="inlineStr">
        <is>
          <t>GCO</t>
        </is>
      </c>
      <c r="E787" s="5" t="inlineStr">
        <is>
          <t>42847922MDD3003</t>
        </is>
      </c>
      <c r="F787" s="16">
        <f>HYPERLINK("https://vtmf.veevavault.com/ui/#doc_info/31428926/1/0", "42847922MDD3003-USA-S10-US10234-Relevant Communications-29 Jan 2026 (v1.0)")</f>
        <v/>
      </c>
      <c r="G787" s="5" t="inlineStr">
        <is>
          <t>Site Management</t>
        </is>
      </c>
      <c r="H787" s="5" t="inlineStr">
        <is>
          <t>General</t>
        </is>
      </c>
      <c r="I787" s="5" t="inlineStr">
        <is>
          <t>Relevant Communications</t>
        </is>
      </c>
      <c r="J787" s="5" t="inlineStr">
        <is>
          <t>Eligibility approved_S10-US10234 Dr Murray</t>
        </is>
      </c>
      <c r="K787" s="6" t="n">
        <v>71</v>
      </c>
      <c r="L787" s="7" t="n">
        <v>46051</v>
      </c>
      <c r="M787" s="11" t="n">
        <v>46122</v>
      </c>
      <c r="N787" s="5" t="inlineStr">
        <is>
          <t>Approved</t>
        </is>
      </c>
      <c r="O787" s="5" t="inlineStr">
        <is>
          <t>Site</t>
        </is>
      </c>
      <c r="P787" s="5" t="inlineStr">
        <is>
          <t>United States</t>
        </is>
      </c>
      <c r="Q787" s="13" t="inlineStr">
        <is>
          <t>S10-US10234</t>
        </is>
      </c>
      <c r="R787" s="5" t="inlineStr">
        <is>
          <t>Aurora Barbera</t>
        </is>
      </c>
      <c r="S787" s="8" t="n">
        <v>46122.53847222222</v>
      </c>
    </row>
    <row r="788" hidden="1" ht="29" customHeight="1">
      <c r="A788" s="15">
        <f>HYPERLINK("https://vtmf.veevavault.com/ui/#doc_info/31428931/1/0", "VTMF-25359484")</f>
        <v/>
      </c>
      <c r="B788" s="20" t="inlineStr">
        <is>
          <t>Yes</t>
        </is>
      </c>
      <c r="C788" s="5" t="inlineStr">
        <is>
          <t>1.0</t>
        </is>
      </c>
      <c r="D788" s="5" t="inlineStr">
        <is>
          <t>GCO</t>
        </is>
      </c>
      <c r="E788" s="5" t="inlineStr">
        <is>
          <t>42847922MDD3003</t>
        </is>
      </c>
      <c r="F788" s="16">
        <f>HYPERLINK("https://vtmf.veevavault.com/ui/#doc_info/31428931/1/0", "42847922MDD3003-USA-S10-US10064-Relevant Communications-03 Feb 2026 (v1.0)")</f>
        <v/>
      </c>
      <c r="G788" s="5" t="inlineStr">
        <is>
          <t>Site Management</t>
        </is>
      </c>
      <c r="H788" s="5" t="inlineStr">
        <is>
          <t>General</t>
        </is>
      </c>
      <c r="I788" s="5" t="inlineStr">
        <is>
          <t>Relevant Communications</t>
        </is>
      </c>
      <c r="J788" s="5" t="inlineStr">
        <is>
          <t>Eligibility approved_S10-US10064 Dr Venereo</t>
        </is>
      </c>
      <c r="K788" s="6" t="n">
        <v>66</v>
      </c>
      <c r="L788" s="7" t="n">
        <v>46056</v>
      </c>
      <c r="M788" s="11" t="n">
        <v>46122</v>
      </c>
      <c r="N788" s="5" t="inlineStr">
        <is>
          <t>Approved</t>
        </is>
      </c>
      <c r="O788" s="5" t="inlineStr">
        <is>
          <t>Site</t>
        </is>
      </c>
      <c r="P788" s="5" t="inlineStr">
        <is>
          <t>United States</t>
        </is>
      </c>
      <c r="Q788" s="13" t="inlineStr">
        <is>
          <t>S10-US10064</t>
        </is>
      </c>
      <c r="R788" s="5" t="inlineStr">
        <is>
          <t>Aurora Barbera</t>
        </is>
      </c>
      <c r="S788" s="8" t="n">
        <v>46122.53983796296</v>
      </c>
    </row>
    <row r="789" hidden="1" ht="29" customHeight="1">
      <c r="A789" s="15">
        <f>HYPERLINK("https://vtmf.veevavault.com/ui/#doc_info/31428933/1/0", "VTMF-25359488")</f>
        <v/>
      </c>
      <c r="B789" s="20" t="inlineStr">
        <is>
          <t>Yes</t>
        </is>
      </c>
      <c r="C789" s="5" t="inlineStr">
        <is>
          <t>1.0</t>
        </is>
      </c>
      <c r="D789" s="5" t="inlineStr">
        <is>
          <t>GCO</t>
        </is>
      </c>
      <c r="E789" s="5" t="inlineStr">
        <is>
          <t>42847922MDD3003</t>
        </is>
      </c>
      <c r="F789" s="16">
        <f>HYPERLINK("https://vtmf.veevavault.com/ui/#doc_info/31428933/1/0", "42847922MDD3003-ARG-S10-AR10002-Relevant Communications-04 Feb 2026 (v1.0)")</f>
        <v/>
      </c>
      <c r="G789" s="5" t="inlineStr">
        <is>
          <t>Site Management</t>
        </is>
      </c>
      <c r="H789" s="5" t="inlineStr">
        <is>
          <t>General</t>
        </is>
      </c>
      <c r="I789" s="5" t="inlineStr">
        <is>
          <t>Relevant Communications</t>
        </is>
      </c>
      <c r="J789" s="5" t="inlineStr">
        <is>
          <t>Eligibility approved_S10-AR10002 Dr Garcia Bonetto</t>
        </is>
      </c>
      <c r="K789" s="6" t="n">
        <v>65</v>
      </c>
      <c r="L789" s="7" t="n">
        <v>46057</v>
      </c>
      <c r="M789" s="11" t="n">
        <v>46122</v>
      </c>
      <c r="N789" s="5" t="inlineStr">
        <is>
          <t>Approved</t>
        </is>
      </c>
      <c r="O789" s="5" t="inlineStr">
        <is>
          <t>Site</t>
        </is>
      </c>
      <c r="P789" s="5" t="inlineStr">
        <is>
          <t>Argentina</t>
        </is>
      </c>
      <c r="Q789" s="13" t="inlineStr">
        <is>
          <t>S10-AR10002</t>
        </is>
      </c>
      <c r="R789" s="5" t="inlineStr">
        <is>
          <t>Aurora Barbera</t>
        </is>
      </c>
      <c r="S789" s="8" t="n">
        <v>46122.54109953704</v>
      </c>
    </row>
    <row r="790" hidden="1" ht="29" customHeight="1">
      <c r="A790" s="15">
        <f>HYPERLINK("https://vtmf.veevavault.com/ui/#doc_info/31428944/1/0", "VTMF-25359503")</f>
        <v/>
      </c>
      <c r="B790" s="20" t="inlineStr">
        <is>
          <t>Yes</t>
        </is>
      </c>
      <c r="C790" s="5" t="inlineStr">
        <is>
          <t>1.0</t>
        </is>
      </c>
      <c r="D790" s="5" t="inlineStr">
        <is>
          <t>GCO</t>
        </is>
      </c>
      <c r="E790" s="5" t="inlineStr">
        <is>
          <t>42847922MDD3003</t>
        </is>
      </c>
      <c r="F790" s="16">
        <f>HYPERLINK("https://vtmf.veevavault.com/ui/#doc_info/31428944/1/0", "42847922MDD3003-POL-S10-PL10017-Relevant Communications-04 Feb 2026 (v1.0)")</f>
        <v/>
      </c>
      <c r="G790" s="5" t="inlineStr">
        <is>
          <t>Site Management</t>
        </is>
      </c>
      <c r="H790" s="5" t="inlineStr">
        <is>
          <t>General</t>
        </is>
      </c>
      <c r="I790" s="5" t="inlineStr">
        <is>
          <t>Relevant Communications</t>
        </is>
      </c>
      <c r="J790" s="5" t="inlineStr">
        <is>
          <t>Eligibility approved_S10-PL10017 Dr Lachut</t>
        </is>
      </c>
      <c r="K790" s="6" t="n">
        <v>65</v>
      </c>
      <c r="L790" s="7" t="n">
        <v>46057</v>
      </c>
      <c r="M790" s="11" t="n">
        <v>46122</v>
      </c>
      <c r="N790" s="5" t="inlineStr">
        <is>
          <t>Approved</t>
        </is>
      </c>
      <c r="O790" s="5" t="inlineStr">
        <is>
          <t>Site</t>
        </is>
      </c>
      <c r="P790" s="5" t="inlineStr">
        <is>
          <t>Poland</t>
        </is>
      </c>
      <c r="Q790" s="13" t="inlineStr">
        <is>
          <t>S10-PL10017</t>
        </is>
      </c>
      <c r="R790" s="5" t="inlineStr">
        <is>
          <t>Aurora Barbera</t>
        </is>
      </c>
      <c r="S790" s="8" t="n">
        <v>46122.54260416667</v>
      </c>
    </row>
    <row r="791" hidden="1" ht="29" customHeight="1">
      <c r="A791" s="15">
        <f>HYPERLINK("https://vtmf.veevavault.com/ui/#doc_info/31428951/1/0", "VTMF-25359529")</f>
        <v/>
      </c>
      <c r="B791" s="20" t="inlineStr">
        <is>
          <t>Yes</t>
        </is>
      </c>
      <c r="C791" s="5" t="inlineStr">
        <is>
          <t>1.0</t>
        </is>
      </c>
      <c r="D791" s="5" t="inlineStr">
        <is>
          <t>GCO</t>
        </is>
      </c>
      <c r="E791" s="5" t="inlineStr">
        <is>
          <t>42847922MDD3003</t>
        </is>
      </c>
      <c r="F791" s="16">
        <f>HYPERLINK("https://vtmf.veevavault.com/ui/#doc_info/31428951/1/0", "42847922MDD3003-BRA-S10-BR10023-Relevant Communications-05 Feb 2026 (v1.0)")</f>
        <v/>
      </c>
      <c r="G791" s="5" t="inlineStr">
        <is>
          <t>Site Management</t>
        </is>
      </c>
      <c r="H791" s="5" t="inlineStr">
        <is>
          <t>General</t>
        </is>
      </c>
      <c r="I791" s="5" t="inlineStr">
        <is>
          <t>Relevant Communications</t>
        </is>
      </c>
      <c r="J791" s="5" t="inlineStr">
        <is>
          <t>Eligibility approved_S10-BR10023 Dr Burigo</t>
        </is>
      </c>
      <c r="K791" s="6" t="n">
        <v>64</v>
      </c>
      <c r="L791" s="7" t="n">
        <v>46058</v>
      </c>
      <c r="M791" s="11" t="n">
        <v>46122</v>
      </c>
      <c r="N791" s="5" t="inlineStr">
        <is>
          <t>Approved</t>
        </is>
      </c>
      <c r="O791" s="5" t="inlineStr">
        <is>
          <t>Site</t>
        </is>
      </c>
      <c r="P791" s="5" t="inlineStr">
        <is>
          <t>Brazil</t>
        </is>
      </c>
      <c r="Q791" s="13" t="inlineStr">
        <is>
          <t>S10-BR10023</t>
        </is>
      </c>
      <c r="R791" s="5" t="inlineStr">
        <is>
          <t>Aurora Barbera</t>
        </is>
      </c>
      <c r="S791" s="8" t="n">
        <v>46122.54425925926</v>
      </c>
    </row>
    <row r="792" hidden="1" ht="29" customHeight="1">
      <c r="A792" s="15">
        <f>HYPERLINK("https://vtmf.veevavault.com/ui/#doc_info/31428954/1/0", "VTMF-25359539")</f>
        <v/>
      </c>
      <c r="B792" s="20" t="inlineStr">
        <is>
          <t>Yes</t>
        </is>
      </c>
      <c r="C792" s="5" t="inlineStr">
        <is>
          <t>1.0</t>
        </is>
      </c>
      <c r="D792" s="5" t="inlineStr">
        <is>
          <t>GCO</t>
        </is>
      </c>
      <c r="E792" s="5" t="inlineStr">
        <is>
          <t>42847922MDD3003</t>
        </is>
      </c>
      <c r="F792" s="16">
        <f>HYPERLINK("https://vtmf.veevavault.com/ui/#doc_info/31428954/1/0", "42847922MDD3003-ITA-S10-IT10007-Relevant Communications-05 Feb 2026 (v1.0)")</f>
        <v/>
      </c>
      <c r="G792" s="5" t="inlineStr">
        <is>
          <t>Site Management</t>
        </is>
      </c>
      <c r="H792" s="5" t="inlineStr">
        <is>
          <t>General</t>
        </is>
      </c>
      <c r="I792" s="5" t="inlineStr">
        <is>
          <t>Relevant Communications</t>
        </is>
      </c>
      <c r="J792" s="5" t="inlineStr">
        <is>
          <t>Eligibility approved_S10-IT10007 Dr Petralia</t>
        </is>
      </c>
      <c r="K792" s="6" t="n">
        <v>64</v>
      </c>
      <c r="L792" s="7" t="n">
        <v>46058</v>
      </c>
      <c r="M792" s="11" t="n">
        <v>46122</v>
      </c>
      <c r="N792" s="5" t="inlineStr">
        <is>
          <t>Approved</t>
        </is>
      </c>
      <c r="O792" s="5" t="inlineStr">
        <is>
          <t>Site</t>
        </is>
      </c>
      <c r="P792" s="5" t="inlineStr">
        <is>
          <t>Italy</t>
        </is>
      </c>
      <c r="Q792" s="13" t="inlineStr">
        <is>
          <t>S10-IT10007</t>
        </is>
      </c>
      <c r="R792" s="5" t="inlineStr">
        <is>
          <t>Aurora Barbera</t>
        </is>
      </c>
      <c r="S792" s="8" t="n">
        <v>46122.54559027778</v>
      </c>
    </row>
    <row r="793" hidden="1" ht="29" customHeight="1">
      <c r="A793" s="15">
        <f>HYPERLINK("https://vtmf.veevavault.com/ui/#doc_info/31428967/1/0", "VTMF-25359548")</f>
        <v/>
      </c>
      <c r="B793" s="20" t="inlineStr">
        <is>
          <t>Yes</t>
        </is>
      </c>
      <c r="C793" s="5" t="inlineStr">
        <is>
          <t>1.0</t>
        </is>
      </c>
      <c r="D793" s="5" t="inlineStr">
        <is>
          <t>GCO</t>
        </is>
      </c>
      <c r="E793" s="5" t="inlineStr">
        <is>
          <t>42847922MDD3003</t>
        </is>
      </c>
      <c r="F793" s="16">
        <f>HYPERLINK("https://vtmf.veevavault.com/ui/#doc_info/31428967/1/0", "42847922MDD3003-SWE-S10-SE10012-Relevant Communications-06 Feb 2026 (v1.0)")</f>
        <v/>
      </c>
      <c r="G793" s="5" t="inlineStr">
        <is>
          <t>Site Management</t>
        </is>
      </c>
      <c r="H793" s="5" t="inlineStr">
        <is>
          <t>General</t>
        </is>
      </c>
      <c r="I793" s="5" t="inlineStr">
        <is>
          <t>Relevant Communications</t>
        </is>
      </c>
      <c r="J793" s="5" t="inlineStr">
        <is>
          <t>Eligibility approved_S10-SE10012 Dr Stenlof</t>
        </is>
      </c>
      <c r="K793" s="6" t="n">
        <v>63</v>
      </c>
      <c r="L793" s="7" t="n">
        <v>46059</v>
      </c>
      <c r="M793" s="11" t="n">
        <v>46122</v>
      </c>
      <c r="N793" s="5" t="inlineStr">
        <is>
          <t>Approved</t>
        </is>
      </c>
      <c r="O793" s="5" t="inlineStr">
        <is>
          <t>Site</t>
        </is>
      </c>
      <c r="P793" s="5" t="inlineStr">
        <is>
          <t>Sweden</t>
        </is>
      </c>
      <c r="Q793" s="13" t="inlineStr">
        <is>
          <t>S10-SE10012</t>
        </is>
      </c>
      <c r="R793" s="5" t="inlineStr">
        <is>
          <t>Aurora Barbera</t>
        </is>
      </c>
      <c r="S793" s="8" t="n">
        <v>46122.54686342592</v>
      </c>
    </row>
    <row r="794" hidden="1" ht="29" customHeight="1">
      <c r="A794" s="15">
        <f>HYPERLINK("https://vtmf.veevavault.com/ui/#doc_info/31428975/1/0", "VTMF-25359559")</f>
        <v/>
      </c>
      <c r="B794" s="20" t="inlineStr">
        <is>
          <t>Yes</t>
        </is>
      </c>
      <c r="C794" s="5" t="inlineStr">
        <is>
          <t>1.0</t>
        </is>
      </c>
      <c r="D794" s="5" t="inlineStr">
        <is>
          <t>GCO</t>
        </is>
      </c>
      <c r="E794" s="5" t="inlineStr">
        <is>
          <t>42847922MDD3003</t>
        </is>
      </c>
      <c r="F794" s="16">
        <f>HYPERLINK("https://vtmf.veevavault.com/ui/#doc_info/31428975/1/0", "42847922MDD3003-USA-S10-US10083-Relevant Communications-09 Feb 2026 (v1.0)")</f>
        <v/>
      </c>
      <c r="G794" s="5" t="inlineStr">
        <is>
          <t>Site Management</t>
        </is>
      </c>
      <c r="H794" s="5" t="inlineStr">
        <is>
          <t>General</t>
        </is>
      </c>
      <c r="I794" s="5" t="inlineStr">
        <is>
          <t>Relevant Communications</t>
        </is>
      </c>
      <c r="J794" s="5" t="inlineStr">
        <is>
          <t>Eligibility approved_S10-US10083 Dr Cueva</t>
        </is>
      </c>
      <c r="K794" s="6" t="n">
        <v>60</v>
      </c>
      <c r="L794" s="7" t="n">
        <v>46062</v>
      </c>
      <c r="M794" s="11" t="n">
        <v>46122</v>
      </c>
      <c r="N794" s="5" t="inlineStr">
        <is>
          <t>Approved</t>
        </is>
      </c>
      <c r="O794" s="5" t="inlineStr">
        <is>
          <t>Site</t>
        </is>
      </c>
      <c r="P794" s="5" t="inlineStr">
        <is>
          <t>United States</t>
        </is>
      </c>
      <c r="Q794" s="13" t="inlineStr">
        <is>
          <t>S10-US10083</t>
        </is>
      </c>
      <c r="R794" s="5" t="inlineStr">
        <is>
          <t>Aurora Barbera</t>
        </is>
      </c>
      <c r="S794" s="8" t="n">
        <v>46122.54818287037</v>
      </c>
    </row>
    <row r="795" hidden="1" ht="29" customHeight="1">
      <c r="A795" s="15">
        <f>HYPERLINK("https://vtmf.veevavault.com/ui/#doc_info/31428979/1/0", "VTMF-25359565")</f>
        <v/>
      </c>
      <c r="B795" s="20" t="inlineStr">
        <is>
          <t>Yes</t>
        </is>
      </c>
      <c r="C795" s="5" t="inlineStr">
        <is>
          <t>1.0</t>
        </is>
      </c>
      <c r="D795" s="5" t="inlineStr">
        <is>
          <t>GCO</t>
        </is>
      </c>
      <c r="E795" s="5" t="inlineStr">
        <is>
          <t>42847922MDD3003</t>
        </is>
      </c>
      <c r="F795" s="16">
        <f>HYPERLINK("https://vtmf.veevavault.com/ui/#doc_info/31428979/1/0", "42847922MDD3003-USA-S10-US10219-Relevant Communications-09 Feb 2026 (v1.0)")</f>
        <v/>
      </c>
      <c r="G795" s="5" t="inlineStr">
        <is>
          <t>Site Management</t>
        </is>
      </c>
      <c r="H795" s="5" t="inlineStr">
        <is>
          <t>General</t>
        </is>
      </c>
      <c r="I795" s="5" t="inlineStr">
        <is>
          <t>Relevant Communications</t>
        </is>
      </c>
      <c r="J795" s="5" t="inlineStr">
        <is>
          <t>Eligibility approved_S10-US10219 Dr Betancourt</t>
        </is>
      </c>
      <c r="K795" s="6" t="n">
        <v>60</v>
      </c>
      <c r="L795" s="7" t="n">
        <v>46062</v>
      </c>
      <c r="M795" s="11" t="n">
        <v>46122</v>
      </c>
      <c r="N795" s="5" t="inlineStr">
        <is>
          <t>Approved</t>
        </is>
      </c>
      <c r="O795" s="5" t="inlineStr">
        <is>
          <t>Site</t>
        </is>
      </c>
      <c r="P795" s="5" t="inlineStr">
        <is>
          <t>United States</t>
        </is>
      </c>
      <c r="Q795" s="13" t="inlineStr">
        <is>
          <t>S10-US10219</t>
        </is>
      </c>
      <c r="R795" s="5" t="inlineStr">
        <is>
          <t>Aurora Barbera</t>
        </is>
      </c>
      <c r="S795" s="8" t="n">
        <v>46122.54946759259</v>
      </c>
    </row>
    <row r="796" hidden="1" ht="29" customHeight="1">
      <c r="A796" s="15">
        <f>HYPERLINK("https://vtmf.veevavault.com/ui/#doc_info/31428982/1/0", "VTMF-25359571")</f>
        <v/>
      </c>
      <c r="B796" s="20" t="inlineStr">
        <is>
          <t>Yes</t>
        </is>
      </c>
      <c r="C796" s="5" t="inlineStr">
        <is>
          <t>1.0</t>
        </is>
      </c>
      <c r="D796" s="5" t="inlineStr">
        <is>
          <t>GCO</t>
        </is>
      </c>
      <c r="E796" s="5" t="inlineStr">
        <is>
          <t>42847922MDD3003</t>
        </is>
      </c>
      <c r="F796" s="16">
        <f>HYPERLINK("https://vtmf.veevavault.com/ui/#doc_info/31428982/1/0", "42847922MDD3003-SVK-S10-SK10006-Relevant Communications-11 Feb 2026 (v1.0)")</f>
        <v/>
      </c>
      <c r="G796" s="5" t="inlineStr">
        <is>
          <t>Site Management</t>
        </is>
      </c>
      <c r="H796" s="5" t="inlineStr">
        <is>
          <t>General</t>
        </is>
      </c>
      <c r="I796" s="5" t="inlineStr">
        <is>
          <t>Relevant Communications</t>
        </is>
      </c>
      <c r="J796" s="5" t="inlineStr">
        <is>
          <t>Eligibility approved_S10-SK10006 Dr Dubinska</t>
        </is>
      </c>
      <c r="K796" s="6" t="n">
        <v>58</v>
      </c>
      <c r="L796" s="7" t="n">
        <v>46064</v>
      </c>
      <c r="M796" s="11" t="n">
        <v>46122</v>
      </c>
      <c r="N796" s="5" t="inlineStr">
        <is>
          <t>Approved</t>
        </is>
      </c>
      <c r="O796" s="5" t="inlineStr">
        <is>
          <t>Site</t>
        </is>
      </c>
      <c r="P796" s="5" t="inlineStr">
        <is>
          <t>Slovakia</t>
        </is>
      </c>
      <c r="Q796" s="13" t="inlineStr">
        <is>
          <t>S10-SK10006</t>
        </is>
      </c>
      <c r="R796" s="5" t="inlineStr">
        <is>
          <t>Aurora Barbera</t>
        </is>
      </c>
      <c r="S796" s="8" t="n">
        <v>46122.55079861111</v>
      </c>
    </row>
    <row r="797" hidden="1" ht="29" customHeight="1">
      <c r="A797" s="15">
        <f>HYPERLINK("https://vtmf.veevavault.com/ui/#doc_info/31428985/1/0", "VTMF-25359575")</f>
        <v/>
      </c>
      <c r="B797" s="20" t="inlineStr">
        <is>
          <t>Yes</t>
        </is>
      </c>
      <c r="C797" s="5" t="inlineStr">
        <is>
          <t>1.0</t>
        </is>
      </c>
      <c r="D797" s="5" t="inlineStr">
        <is>
          <t>GCO</t>
        </is>
      </c>
      <c r="E797" s="5" t="inlineStr">
        <is>
          <t>42847922MDD3003</t>
        </is>
      </c>
      <c r="F797" s="16">
        <f>HYPERLINK("https://vtmf.veevavault.com/ui/#doc_info/31428985/1/0", "42847922MDD3003-USA-S10-US10214-Relevant Communications-11 Feb 2026 (v1.0)")</f>
        <v/>
      </c>
      <c r="G797" s="5" t="inlineStr">
        <is>
          <t>Site Management</t>
        </is>
      </c>
      <c r="H797" s="5" t="inlineStr">
        <is>
          <t>General</t>
        </is>
      </c>
      <c r="I797" s="5" t="inlineStr">
        <is>
          <t>Relevant Communications</t>
        </is>
      </c>
      <c r="J797" s="5" t="inlineStr">
        <is>
          <t>Eligibility approved_S10-US10214 Dr Eder</t>
        </is>
      </c>
      <c r="K797" s="6" t="n">
        <v>58</v>
      </c>
      <c r="L797" s="7" t="n">
        <v>46064</v>
      </c>
      <c r="M797" s="11" t="n">
        <v>46122</v>
      </c>
      <c r="N797" s="5" t="inlineStr">
        <is>
          <t>Approved</t>
        </is>
      </c>
      <c r="O797" s="5" t="inlineStr">
        <is>
          <t>Site</t>
        </is>
      </c>
      <c r="P797" s="5" t="inlineStr">
        <is>
          <t>United States</t>
        </is>
      </c>
      <c r="Q797" s="13" t="inlineStr">
        <is>
          <t>S10-US10214</t>
        </is>
      </c>
      <c r="R797" s="5" t="inlineStr">
        <is>
          <t>Aurora Barbera</t>
        </is>
      </c>
      <c r="S797" s="8" t="n">
        <v>46122.55210648148</v>
      </c>
    </row>
    <row r="798" hidden="1" ht="29" customHeight="1">
      <c r="A798" s="15">
        <f>HYPERLINK("https://vtmf.veevavault.com/ui/#doc_info/31428992/1/0", "VTMF-25359584")</f>
        <v/>
      </c>
      <c r="B798" s="20" t="inlineStr">
        <is>
          <t>Yes</t>
        </is>
      </c>
      <c r="C798" s="5" t="inlineStr">
        <is>
          <t>1.0</t>
        </is>
      </c>
      <c r="D798" s="5" t="inlineStr">
        <is>
          <t>GCO</t>
        </is>
      </c>
      <c r="E798" s="5" t="inlineStr">
        <is>
          <t>42847922MDD3003</t>
        </is>
      </c>
      <c r="F798" s="16">
        <f>HYPERLINK("https://vtmf.veevavault.com/ui/#doc_info/31428992/1/0", "42847922MDD3003-CZE-S10-CZ10004-Relevant Communications-11 Feb 2026 (v1.0)")</f>
        <v/>
      </c>
      <c r="G798" s="5" t="inlineStr">
        <is>
          <t>Site Management</t>
        </is>
      </c>
      <c r="H798" s="5" t="inlineStr">
        <is>
          <t>General</t>
        </is>
      </c>
      <c r="I798" s="5" t="inlineStr">
        <is>
          <t>Relevant Communications</t>
        </is>
      </c>
      <c r="J798" s="5" t="inlineStr">
        <is>
          <t>Eligibility approved_S10-CZ10004 Dr Herman</t>
        </is>
      </c>
      <c r="K798" s="6" t="n">
        <v>58</v>
      </c>
      <c r="L798" s="7" t="n">
        <v>46064</v>
      </c>
      <c r="M798" s="11" t="n">
        <v>46122</v>
      </c>
      <c r="N798" s="5" t="inlineStr">
        <is>
          <t>Approved</t>
        </is>
      </c>
      <c r="O798" s="5" t="inlineStr">
        <is>
          <t>Site</t>
        </is>
      </c>
      <c r="P798" s="5" t="inlineStr">
        <is>
          <t>Czech Republic</t>
        </is>
      </c>
      <c r="Q798" s="13" t="inlineStr">
        <is>
          <t>S10-CZ10004</t>
        </is>
      </c>
      <c r="R798" s="5" t="inlineStr">
        <is>
          <t>Aurora Barbera</t>
        </is>
      </c>
      <c r="S798" s="8" t="n">
        <v>46122.55339120371</v>
      </c>
    </row>
    <row r="799" hidden="1" ht="29" customHeight="1">
      <c r="A799" s="15">
        <f>HYPERLINK("https://vtmf.veevavault.com/ui/#doc_info/31429208/1/0", "VTMF-25359602")</f>
        <v/>
      </c>
      <c r="B799" s="20" t="inlineStr">
        <is>
          <t>Yes</t>
        </is>
      </c>
      <c r="C799" s="5" t="inlineStr">
        <is>
          <t>1.0</t>
        </is>
      </c>
      <c r="D799" s="5" t="inlineStr">
        <is>
          <t>GCO</t>
        </is>
      </c>
      <c r="E799" s="5" t="inlineStr">
        <is>
          <t>42847922MDD3003</t>
        </is>
      </c>
      <c r="F799" s="16">
        <f>HYPERLINK("https://vtmf.veevavault.com/ui/#doc_info/31429208/1/0", "42847922MDD3003-USA-S10-US10257-Relevant Communications-19 Feb 2026 (v1.0)")</f>
        <v/>
      </c>
      <c r="G799" s="5" t="inlineStr">
        <is>
          <t>Site Management</t>
        </is>
      </c>
      <c r="H799" s="5" t="inlineStr">
        <is>
          <t>General</t>
        </is>
      </c>
      <c r="I799" s="5" t="inlineStr">
        <is>
          <t>Relevant Communications</t>
        </is>
      </c>
      <c r="J799" s="5" t="inlineStr">
        <is>
          <t>Eligibility approved_S10-US10257 Dr Lester</t>
        </is>
      </c>
      <c r="K799" s="6" t="n">
        <v>50</v>
      </c>
      <c r="L799" s="7" t="n">
        <v>46072</v>
      </c>
      <c r="M799" s="11" t="n">
        <v>46122</v>
      </c>
      <c r="N799" s="5" t="inlineStr">
        <is>
          <t>Approved</t>
        </is>
      </c>
      <c r="O799" s="5" t="inlineStr">
        <is>
          <t>Site</t>
        </is>
      </c>
      <c r="P799" s="5" t="inlineStr">
        <is>
          <t>United States</t>
        </is>
      </c>
      <c r="Q799" s="13" t="inlineStr">
        <is>
          <t>S10-US10257</t>
        </is>
      </c>
      <c r="R799" s="5" t="inlineStr">
        <is>
          <t>Aurora Barbera</t>
        </is>
      </c>
      <c r="S799" s="8" t="n">
        <v>46122.55475694445</v>
      </c>
    </row>
    <row r="800" hidden="1" ht="29" customHeight="1">
      <c r="A800" s="15">
        <f>HYPERLINK("https://vtmf.veevavault.com/ui/#doc_info/31429219/1/0", "VTMF-25359612")</f>
        <v/>
      </c>
      <c r="B800" s="20" t="inlineStr">
        <is>
          <t>Yes</t>
        </is>
      </c>
      <c r="C800" s="5" t="inlineStr">
        <is>
          <t>1.0</t>
        </is>
      </c>
      <c r="D800" s="5" t="inlineStr">
        <is>
          <t>GCO</t>
        </is>
      </c>
      <c r="E800" s="5" t="inlineStr">
        <is>
          <t>42847922MDD3003</t>
        </is>
      </c>
      <c r="F800" s="16">
        <f>HYPERLINK("https://vtmf.veevavault.com/ui/#doc_info/31429219/1/0", "42847922MDD3003-ESP-S10-ES10007-Relevant Communications-26 Feb 2026 (v1.0)")</f>
        <v/>
      </c>
      <c r="G800" s="5" t="inlineStr">
        <is>
          <t>Site Management</t>
        </is>
      </c>
      <c r="H800" s="5" t="inlineStr">
        <is>
          <t>General</t>
        </is>
      </c>
      <c r="I800" s="5" t="inlineStr">
        <is>
          <t>Relevant Communications</t>
        </is>
      </c>
      <c r="J800" s="5" t="inlineStr">
        <is>
          <t>Eligibility approved_S10-ES10007 Dr Villanueva</t>
        </is>
      </c>
      <c r="K800" s="6" t="n">
        <v>43</v>
      </c>
      <c r="L800" s="7" t="n">
        <v>46079</v>
      </c>
      <c r="M800" s="11" t="n">
        <v>46122</v>
      </c>
      <c r="N800" s="5" t="inlineStr">
        <is>
          <t>Approved</t>
        </is>
      </c>
      <c r="O800" s="5" t="inlineStr">
        <is>
          <t>Site</t>
        </is>
      </c>
      <c r="P800" s="5" t="inlineStr">
        <is>
          <t>Spain</t>
        </is>
      </c>
      <c r="Q800" s="13" t="inlineStr">
        <is>
          <t>S10-ES10007</t>
        </is>
      </c>
      <c r="R800" s="5" t="inlineStr">
        <is>
          <t>Aurora Barbera</t>
        </is>
      </c>
      <c r="S800" s="8" t="n">
        <v>46122.55614583333</v>
      </c>
    </row>
    <row r="801" hidden="1" ht="29" customHeight="1">
      <c r="A801" s="15">
        <f>HYPERLINK("https://vtmf.veevavault.com/ui/#doc_info/31433205/1/0", "VTMF-25362822")</f>
        <v/>
      </c>
      <c r="B801" s="20" t="inlineStr">
        <is>
          <t>Yes</t>
        </is>
      </c>
      <c r="C801" s="5" t="inlineStr">
        <is>
          <t>1.0</t>
        </is>
      </c>
      <c r="D801" s="5" t="inlineStr">
        <is>
          <t>GCO</t>
        </is>
      </c>
      <c r="E801" s="5" t="inlineStr">
        <is>
          <t>42847922MDD3003</t>
        </is>
      </c>
      <c r="F801" s="16">
        <f>HYPERLINK("https://vtmf.veevavault.com/ui/#doc_info/31433205/1/0", "42847922MDD3003-MEX-S10-MX10002-IRT User Account Management-07 Mar 2025 (v1.0)")</f>
        <v/>
      </c>
      <c r="G801" s="5" t="inlineStr">
        <is>
          <t>IP and Trial Supplies</t>
        </is>
      </c>
      <c r="H801" s="5" t="inlineStr">
        <is>
          <t>Interactive Response Technology</t>
        </is>
      </c>
      <c r="I801" s="5" t="inlineStr">
        <is>
          <t>IRT User Account Management</t>
        </is>
      </c>
      <c r="J801" s="5" t="inlineStr">
        <is>
          <t>Confirmation email from IVRS/IWRS_ Site activation PI Arnaud</t>
        </is>
      </c>
      <c r="K801" s="6" t="n">
        <v>399</v>
      </c>
      <c r="L801" s="7" t="n">
        <v>45723</v>
      </c>
      <c r="M801" s="11" t="n">
        <v>46122</v>
      </c>
      <c r="N801" s="5" t="inlineStr">
        <is>
          <t>Approved</t>
        </is>
      </c>
      <c r="O801" s="5" t="inlineStr">
        <is>
          <t>Site</t>
        </is>
      </c>
      <c r="P801" s="5" t="inlineStr">
        <is>
          <t>Mexico</t>
        </is>
      </c>
      <c r="Q801" s="13" t="inlineStr">
        <is>
          <t>S10-MX10002</t>
        </is>
      </c>
      <c r="R801" s="5" t="inlineStr">
        <is>
          <t>Karla Melisa Rodríguez Bautista</t>
        </is>
      </c>
      <c r="S801" s="8" t="n">
        <v>46122.92864583333</v>
      </c>
    </row>
    <row r="802" hidden="1" ht="29" customHeight="1">
      <c r="A802" s="15">
        <f>HYPERLINK("https://vtmf.veevavault.com/ui/#doc_info/31433232/1/0", "VTMF-25362886")</f>
        <v/>
      </c>
      <c r="B802" s="20" t="inlineStr">
        <is>
          <t>Yes</t>
        </is>
      </c>
      <c r="C802" s="5" t="inlineStr">
        <is>
          <t>1.0</t>
        </is>
      </c>
      <c r="D802" s="5" t="inlineStr">
        <is>
          <t>GCO</t>
        </is>
      </c>
      <c r="E802" s="5" t="inlineStr">
        <is>
          <t>42847922MDD3003</t>
        </is>
      </c>
      <c r="F802" s="16">
        <f>HYPERLINK("https://vtmf.veevavault.com/ui/#doc_info/31433232/1/0", "42847922MDD3003-MEX-S10-MX10007-IRT User Account Management-15 Jul 2025 (v1.0)")</f>
        <v/>
      </c>
      <c r="G802" s="5" t="inlineStr">
        <is>
          <t>IP and Trial Supplies</t>
        </is>
      </c>
      <c r="H802" s="5" t="inlineStr">
        <is>
          <t>Interactive Response Technology</t>
        </is>
      </c>
      <c r="I802" s="5" t="inlineStr">
        <is>
          <t>IRT User Account Management</t>
        </is>
      </c>
      <c r="J802" s="5" t="inlineStr">
        <is>
          <t>Confirmation email from IVRS/IWRS_ Site activation PI Caceres</t>
        </is>
      </c>
      <c r="K802" s="6" t="n">
        <v>269</v>
      </c>
      <c r="L802" s="7" t="n">
        <v>45853</v>
      </c>
      <c r="M802" s="11" t="n">
        <v>46122</v>
      </c>
      <c r="N802" s="5" t="inlineStr">
        <is>
          <t>Approved</t>
        </is>
      </c>
      <c r="O802" s="5" t="inlineStr">
        <is>
          <t>Site</t>
        </is>
      </c>
      <c r="P802" s="5" t="inlineStr">
        <is>
          <t>Mexico</t>
        </is>
      </c>
      <c r="Q802" s="13" t="inlineStr">
        <is>
          <t>S10-MX10007</t>
        </is>
      </c>
      <c r="R802" s="5" t="inlineStr">
        <is>
          <t>Karla Melisa Rodríguez Bautista</t>
        </is>
      </c>
      <c r="S802" s="8" t="n">
        <v>46122.94321759259</v>
      </c>
    </row>
    <row r="803" hidden="1" ht="29" customHeight="1">
      <c r="A803" s="15">
        <f>HYPERLINK("https://vtmf.veevavault.com/ui/#doc_info/31439127/1/0", "VTMF-25368130")</f>
        <v/>
      </c>
      <c r="B803" s="20" t="inlineStr">
        <is>
          <t>Yes</t>
        </is>
      </c>
      <c r="C803" s="5" t="inlineStr">
        <is>
          <t>1.0</t>
        </is>
      </c>
      <c r="D803" s="5" t="inlineStr">
        <is>
          <t>GCO</t>
        </is>
      </c>
      <c r="E803" s="5" t="inlineStr">
        <is>
          <t>42847922MDD3003</t>
        </is>
      </c>
      <c r="F803" s="16">
        <f>HYPERLINK("https://vtmf.veevavault.com/ui/#doc_info/31439127/1/0", "42847922MDD3003-POL-S10-PL10021-Relevant Communications-05 Aug 2025 (v1.0)")</f>
        <v/>
      </c>
      <c r="G803" s="5" t="inlineStr">
        <is>
          <t>Site Management</t>
        </is>
      </c>
      <c r="H803" s="5" t="inlineStr">
        <is>
          <t>General</t>
        </is>
      </c>
      <c r="I803" s="5" t="inlineStr">
        <is>
          <t>Relevant Communications</t>
        </is>
      </c>
      <c r="J803" s="5" t="inlineStr">
        <is>
          <t>Eligibility not approved_S10-PL10021 Dr Grabowski</t>
        </is>
      </c>
      <c r="K803" s="6" t="n">
        <v>251</v>
      </c>
      <c r="L803" s="7" t="n">
        <v>45874</v>
      </c>
      <c r="M803" s="11" t="n">
        <v>46125</v>
      </c>
      <c r="N803" s="5" t="inlineStr">
        <is>
          <t>Approved</t>
        </is>
      </c>
      <c r="O803" s="5" t="inlineStr">
        <is>
          <t>Site</t>
        </is>
      </c>
      <c r="P803" s="5" t="inlineStr">
        <is>
          <t>Poland</t>
        </is>
      </c>
      <c r="Q803" s="13" t="inlineStr">
        <is>
          <t>S10-PL10021</t>
        </is>
      </c>
      <c r="R803" s="5" t="inlineStr">
        <is>
          <t>Aurora Barbera</t>
        </is>
      </c>
      <c r="S803" s="8" t="n">
        <v>46125.48583333333</v>
      </c>
    </row>
    <row r="804" hidden="1" ht="29" customHeight="1">
      <c r="A804" s="15">
        <f>HYPERLINK("https://vtmf.veevavault.com/ui/#doc_info/31439135/1/0", "VTMF-25368143")</f>
        <v/>
      </c>
      <c r="B804" s="20" t="inlineStr">
        <is>
          <t>Yes</t>
        </is>
      </c>
      <c r="C804" s="5" t="inlineStr">
        <is>
          <t>1.0</t>
        </is>
      </c>
      <c r="D804" s="5" t="inlineStr">
        <is>
          <t>GCO</t>
        </is>
      </c>
      <c r="E804" s="5" t="inlineStr">
        <is>
          <t>42847922MDD3003</t>
        </is>
      </c>
      <c r="F804" s="16">
        <f>HYPERLINK("https://vtmf.veevavault.com/ui/#doc_info/31439135/1/0", "42847922MDD3003-SRB-S10-RS10004-Relevant Communications-07 Aug 2025 (v1.0)")</f>
        <v/>
      </c>
      <c r="G804" s="5" t="inlineStr">
        <is>
          <t>Site Management</t>
        </is>
      </c>
      <c r="H804" s="5" t="inlineStr">
        <is>
          <t>General</t>
        </is>
      </c>
      <c r="I804" s="5" t="inlineStr">
        <is>
          <t>Relevant Communications</t>
        </is>
      </c>
      <c r="J804" s="5" t="inlineStr">
        <is>
          <t>Screening extension approved_S10-RS10004</t>
        </is>
      </c>
      <c r="K804" s="6" t="n">
        <v>249</v>
      </c>
      <c r="L804" s="7" t="n">
        <v>45876</v>
      </c>
      <c r="M804" s="11" t="n">
        <v>46125</v>
      </c>
      <c r="N804" s="5" t="inlineStr">
        <is>
          <t>Approved</t>
        </is>
      </c>
      <c r="O804" s="5" t="inlineStr">
        <is>
          <t>Site</t>
        </is>
      </c>
      <c r="P804" s="5" t="inlineStr">
        <is>
          <t>Serbia</t>
        </is>
      </c>
      <c r="Q804" s="13" t="inlineStr">
        <is>
          <t>S10-RS10004</t>
        </is>
      </c>
      <c r="R804" s="5" t="inlineStr">
        <is>
          <t>Aurora Barbera</t>
        </is>
      </c>
      <c r="S804" s="8" t="n">
        <v>46125.48739583333</v>
      </c>
    </row>
    <row r="805" hidden="1" ht="29" customHeight="1">
      <c r="A805" s="15">
        <f>HYPERLINK("https://vtmf.veevavault.com/ui/#doc_info/31439141/1/0", "VTMF-25368154")</f>
        <v/>
      </c>
      <c r="B805" s="20" t="inlineStr">
        <is>
          <t>Yes</t>
        </is>
      </c>
      <c r="C805" s="5" t="inlineStr">
        <is>
          <t>1.0</t>
        </is>
      </c>
      <c r="D805" s="5" t="inlineStr">
        <is>
          <t>GCO</t>
        </is>
      </c>
      <c r="E805" s="5" t="inlineStr">
        <is>
          <t>42847922MDD3003</t>
        </is>
      </c>
      <c r="F805" s="16">
        <f>HYPERLINK("https://vtmf.veevavault.com/ui/#doc_info/31439141/1/0", "42847922MDD3003-ARG-S10-AR10014-Relevant Communications-11 Aug 2025 (v1.0)")</f>
        <v/>
      </c>
      <c r="G805" s="5" t="inlineStr">
        <is>
          <t>Site Management</t>
        </is>
      </c>
      <c r="H805" s="5" t="inlineStr">
        <is>
          <t>General</t>
        </is>
      </c>
      <c r="I805" s="5" t="inlineStr">
        <is>
          <t>Relevant Communications</t>
        </is>
      </c>
      <c r="J805" s="5" t="inlineStr">
        <is>
          <t>Eligibility approved_S10-AR10014 Dr Buteler</t>
        </is>
      </c>
      <c r="K805" s="6" t="n">
        <v>245</v>
      </c>
      <c r="L805" s="7" t="n">
        <v>45880</v>
      </c>
      <c r="M805" s="11" t="n">
        <v>46125</v>
      </c>
      <c r="N805" s="5" t="inlineStr">
        <is>
          <t>Approved</t>
        </is>
      </c>
      <c r="O805" s="5" t="inlineStr">
        <is>
          <t>Site</t>
        </is>
      </c>
      <c r="P805" s="5" t="inlineStr">
        <is>
          <t>Argentina</t>
        </is>
      </c>
      <c r="Q805" s="13" t="inlineStr">
        <is>
          <t>S10-AR10014</t>
        </is>
      </c>
      <c r="R805" s="5" t="inlineStr">
        <is>
          <t>Aurora Barbera</t>
        </is>
      </c>
      <c r="S805" s="8" t="n">
        <v>46125.4891087963</v>
      </c>
    </row>
    <row r="806" hidden="1" ht="29" customHeight="1">
      <c r="A806" s="15">
        <f>HYPERLINK("https://vtmf.veevavault.com/ui/#doc_info/31439149/1/0", "VTMF-25368170")</f>
        <v/>
      </c>
      <c r="B806" s="20" t="inlineStr">
        <is>
          <t>Yes</t>
        </is>
      </c>
      <c r="C806" s="5" t="inlineStr">
        <is>
          <t>1.0</t>
        </is>
      </c>
      <c r="D806" s="5" t="inlineStr">
        <is>
          <t>GCO</t>
        </is>
      </c>
      <c r="E806" s="5" t="inlineStr">
        <is>
          <t>42847922MDD3003</t>
        </is>
      </c>
      <c r="F806" s="16">
        <f>HYPERLINK("https://vtmf.veevavault.com/ui/#doc_info/31439149/1/0", "42847922MDD3003-TUR-S10-TR10009-Relevant Communications-12 Aug 2025 (v1.0)")</f>
        <v/>
      </c>
      <c r="G806" s="5" t="inlineStr">
        <is>
          <t>Site Management</t>
        </is>
      </c>
      <c r="H806" s="5" t="inlineStr">
        <is>
          <t>General</t>
        </is>
      </c>
      <c r="I806" s="5" t="inlineStr">
        <is>
          <t>Relevant Communications</t>
        </is>
      </c>
      <c r="J806" s="5" t="inlineStr">
        <is>
          <t>Screening extension approved_S10-TR10009</t>
        </is>
      </c>
      <c r="K806" s="6" t="n">
        <v>244</v>
      </c>
      <c r="L806" s="7" t="n">
        <v>45881</v>
      </c>
      <c r="M806" s="11" t="n">
        <v>46125</v>
      </c>
      <c r="N806" s="5" t="inlineStr">
        <is>
          <t>Approved</t>
        </is>
      </c>
      <c r="O806" s="5" t="inlineStr">
        <is>
          <t>Site</t>
        </is>
      </c>
      <c r="P806" s="5" t="inlineStr">
        <is>
          <t>Türkiye</t>
        </is>
      </c>
      <c r="Q806" s="13" t="inlineStr">
        <is>
          <t>S10-TR10009</t>
        </is>
      </c>
      <c r="R806" s="5" t="inlineStr">
        <is>
          <t>Aurora Barbera</t>
        </is>
      </c>
      <c r="S806" s="8" t="n">
        <v>46125.49063657408</v>
      </c>
    </row>
    <row r="807" hidden="1" ht="29" customHeight="1">
      <c r="A807" s="15">
        <f>HYPERLINK("https://vtmf.veevavault.com/ui/#doc_info/31439156/1/0", "VTMF-25368180")</f>
        <v/>
      </c>
      <c r="B807" s="20" t="inlineStr">
        <is>
          <t>Yes</t>
        </is>
      </c>
      <c r="C807" s="5" t="inlineStr">
        <is>
          <t>1.0</t>
        </is>
      </c>
      <c r="D807" s="5" t="inlineStr">
        <is>
          <t>GCO</t>
        </is>
      </c>
      <c r="E807" s="5" t="inlineStr">
        <is>
          <t>42847922MDD3003</t>
        </is>
      </c>
      <c r="F807" s="16">
        <f>HYPERLINK("https://vtmf.veevavault.com/ui/#doc_info/31439156/1/0", "42847922MDD3003-ROU-S10-RO10018-Relevant Communications-12 Aug 2025 (v1.0)")</f>
        <v/>
      </c>
      <c r="G807" s="5" t="inlineStr">
        <is>
          <t>Site Management</t>
        </is>
      </c>
      <c r="H807" s="5" t="inlineStr">
        <is>
          <t>General</t>
        </is>
      </c>
      <c r="I807" s="5" t="inlineStr">
        <is>
          <t>Relevant Communications</t>
        </is>
      </c>
      <c r="J807" s="5" t="inlineStr">
        <is>
          <t>Screening extension approved_S10-RO10018</t>
        </is>
      </c>
      <c r="K807" s="6" t="n">
        <v>244</v>
      </c>
      <c r="L807" s="7" t="n">
        <v>45881</v>
      </c>
      <c r="M807" s="11" t="n">
        <v>46125</v>
      </c>
      <c r="N807" s="5" t="inlineStr">
        <is>
          <t>Approved</t>
        </is>
      </c>
      <c r="O807" s="5" t="inlineStr">
        <is>
          <t>Site</t>
        </is>
      </c>
      <c r="P807" s="5" t="inlineStr">
        <is>
          <t>Romania</t>
        </is>
      </c>
      <c r="Q807" s="13" t="inlineStr">
        <is>
          <t>S10-RO10018</t>
        </is>
      </c>
      <c r="R807" s="5" t="inlineStr">
        <is>
          <t>Aurora Barbera</t>
        </is>
      </c>
      <c r="S807" s="8" t="n">
        <v>46125.49210648148</v>
      </c>
    </row>
    <row r="808" hidden="1" ht="29" customHeight="1">
      <c r="A808" s="15">
        <f>HYPERLINK("https://vtmf.veevavault.com/ui/#doc_info/31439161/1/0", "VTMF-25368190")</f>
        <v/>
      </c>
      <c r="B808" s="20" t="inlineStr">
        <is>
          <t>Yes</t>
        </is>
      </c>
      <c r="C808" s="5" t="inlineStr">
        <is>
          <t>1.0</t>
        </is>
      </c>
      <c r="D808" s="5" t="inlineStr">
        <is>
          <t>GCO</t>
        </is>
      </c>
      <c r="E808" s="5" t="inlineStr">
        <is>
          <t>42847922MDD3003</t>
        </is>
      </c>
      <c r="F808" s="16">
        <f>HYPERLINK("https://vtmf.veevavault.com/ui/#doc_info/31439161/1/0", "42847922MDD3003-ROU-S10-RO10018-Relevant Communications-12 Aug 2025 (v1.0)")</f>
        <v/>
      </c>
      <c r="G808" s="5" t="inlineStr">
        <is>
          <t>Site Management</t>
        </is>
      </c>
      <c r="H808" s="5" t="inlineStr">
        <is>
          <t>General</t>
        </is>
      </c>
      <c r="I808" s="5" t="inlineStr">
        <is>
          <t>Relevant Communications</t>
        </is>
      </c>
      <c r="J808" s="5" t="inlineStr">
        <is>
          <t>Screening extension approved_S10-RO10018</t>
        </is>
      </c>
      <c r="K808" s="6" t="n">
        <v>244</v>
      </c>
      <c r="L808" s="7" t="n">
        <v>45881</v>
      </c>
      <c r="M808" s="11" t="n">
        <v>46125</v>
      </c>
      <c r="N808" s="5" t="inlineStr">
        <is>
          <t>Approved</t>
        </is>
      </c>
      <c r="O808" s="5" t="inlineStr">
        <is>
          <t>Site</t>
        </is>
      </c>
      <c r="P808" s="5" t="inlineStr">
        <is>
          <t>Romania</t>
        </is>
      </c>
      <c r="Q808" s="13" t="inlineStr">
        <is>
          <t>S10-RO10018</t>
        </is>
      </c>
      <c r="R808" s="5" t="inlineStr">
        <is>
          <t>Aurora Barbera</t>
        </is>
      </c>
      <c r="S808" s="8" t="n">
        <v>46125.49341435185</v>
      </c>
    </row>
    <row r="809" hidden="1" ht="29" customHeight="1">
      <c r="A809" s="15">
        <f>HYPERLINK("https://vtmf.veevavault.com/ui/#doc_info/31439168/1/0", "VTMF-25368203")</f>
        <v/>
      </c>
      <c r="B809" s="20" t="inlineStr">
        <is>
          <t>Yes</t>
        </is>
      </c>
      <c r="C809" s="5" t="inlineStr">
        <is>
          <t>1.0</t>
        </is>
      </c>
      <c r="D809" s="5" t="inlineStr">
        <is>
          <t>GCO</t>
        </is>
      </c>
      <c r="E809" s="5" t="inlineStr">
        <is>
          <t>42847922MDD3003</t>
        </is>
      </c>
      <c r="F809" s="16">
        <f>HYPERLINK("https://vtmf.veevavault.com/ui/#doc_info/31439168/1/0", "42847922MDD3003-BRA-S10-BR10008-Relevant Communications-15 Aug 2025 (v1.0)")</f>
        <v/>
      </c>
      <c r="G809" s="5" t="inlineStr">
        <is>
          <t>Site Management</t>
        </is>
      </c>
      <c r="H809" s="5" t="inlineStr">
        <is>
          <t>General</t>
        </is>
      </c>
      <c r="I809" s="5" t="inlineStr">
        <is>
          <t>Relevant Communications</t>
        </is>
      </c>
      <c r="J809" s="5" t="inlineStr">
        <is>
          <t>Screening extension approved_S10-BR10008 Dr Lacerda</t>
        </is>
      </c>
      <c r="K809" s="6" t="n">
        <v>241</v>
      </c>
      <c r="L809" s="7" t="n">
        <v>45884</v>
      </c>
      <c r="M809" s="11" t="n">
        <v>46125</v>
      </c>
      <c r="N809" s="5" t="inlineStr">
        <is>
          <t>Approved</t>
        </is>
      </c>
      <c r="O809" s="5" t="inlineStr">
        <is>
          <t>Site</t>
        </is>
      </c>
      <c r="P809" s="5" t="inlineStr">
        <is>
          <t>Brazil</t>
        </is>
      </c>
      <c r="Q809" s="13" t="inlineStr">
        <is>
          <t>S10-BR10008</t>
        </is>
      </c>
      <c r="R809" s="5" t="inlineStr">
        <is>
          <t>Aurora Barbera</t>
        </is>
      </c>
      <c r="S809" s="8" t="n">
        <v>46125.49498842593</v>
      </c>
    </row>
    <row r="810" hidden="1" ht="29" customHeight="1">
      <c r="A810" s="15">
        <f>HYPERLINK("https://vtmf.veevavault.com/ui/#doc_info/31439067/1/0", "VTMF-25368217")</f>
        <v/>
      </c>
      <c r="B810" s="20" t="inlineStr">
        <is>
          <t>Yes</t>
        </is>
      </c>
      <c r="C810" s="5" t="inlineStr">
        <is>
          <t>1.0</t>
        </is>
      </c>
      <c r="D810" s="5" t="inlineStr">
        <is>
          <t>GCO</t>
        </is>
      </c>
      <c r="E810" s="5" t="inlineStr">
        <is>
          <t>42847922MDD3003</t>
        </is>
      </c>
      <c r="F810" s="16">
        <f>HYPERLINK("https://vtmf.veevavault.com/ui/#doc_info/31439067/1/0", "42847922MDD3003-USA-S10-US10015-Relevant Communications-20 Aug 2025 (v1.0)")</f>
        <v/>
      </c>
      <c r="G810" s="5" t="inlineStr">
        <is>
          <t>Site Management</t>
        </is>
      </c>
      <c r="H810" s="5" t="inlineStr">
        <is>
          <t>General</t>
        </is>
      </c>
      <c r="I810" s="5" t="inlineStr">
        <is>
          <t>Relevant Communications</t>
        </is>
      </c>
      <c r="J810" s="5" t="inlineStr">
        <is>
          <t>Screening extension approved_S10-US10015 Dr Carr</t>
        </is>
      </c>
      <c r="K810" s="6" t="n">
        <v>236</v>
      </c>
      <c r="L810" s="7" t="n">
        <v>45889</v>
      </c>
      <c r="M810" s="11" t="n">
        <v>46125</v>
      </c>
      <c r="N810" s="5" t="inlineStr">
        <is>
          <t>Approved</t>
        </is>
      </c>
      <c r="O810" s="5" t="inlineStr">
        <is>
          <t>Site</t>
        </is>
      </c>
      <c r="P810" s="5" t="inlineStr">
        <is>
          <t>United States</t>
        </is>
      </c>
      <c r="Q810" s="13" t="inlineStr">
        <is>
          <t>S10-US10015</t>
        </is>
      </c>
      <c r="R810" s="5" t="inlineStr">
        <is>
          <t>Aurora Barbera</t>
        </is>
      </c>
      <c r="S810" s="8" t="n">
        <v>46125.49642361111</v>
      </c>
    </row>
    <row r="811" hidden="1" ht="29" customHeight="1">
      <c r="A811" s="15">
        <f>HYPERLINK("https://vtmf.veevavault.com/ui/#doc_info/31439073/1/0", "VTMF-25368227")</f>
        <v/>
      </c>
      <c r="B811" s="20" t="inlineStr">
        <is>
          <t>Yes</t>
        </is>
      </c>
      <c r="C811" s="5" t="inlineStr">
        <is>
          <t>1.0</t>
        </is>
      </c>
      <c r="D811" s="5" t="inlineStr">
        <is>
          <t>GCO</t>
        </is>
      </c>
      <c r="E811" s="5" t="inlineStr">
        <is>
          <t>42847922MDD3003</t>
        </is>
      </c>
      <c r="F811" s="16">
        <f>HYPERLINK("https://vtmf.veevavault.com/ui/#doc_info/31439073/1/0", "42847922MDD3003-USA-S10-US10041-Relevant Communications-20 Aug 2025 (v1.0)")</f>
        <v/>
      </c>
      <c r="G811" s="5" t="inlineStr">
        <is>
          <t>Site Management</t>
        </is>
      </c>
      <c r="H811" s="5" t="inlineStr">
        <is>
          <t>General</t>
        </is>
      </c>
      <c r="I811" s="5" t="inlineStr">
        <is>
          <t>Relevant Communications</t>
        </is>
      </c>
      <c r="J811" s="5" t="inlineStr">
        <is>
          <t>Screening extension approved_S10-US10041 Dr Yuryev-Golger</t>
        </is>
      </c>
      <c r="K811" s="6" t="n">
        <v>236</v>
      </c>
      <c r="L811" s="7" t="n">
        <v>45889</v>
      </c>
      <c r="M811" s="11" t="n">
        <v>46125</v>
      </c>
      <c r="N811" s="5" t="inlineStr">
        <is>
          <t>Approved</t>
        </is>
      </c>
      <c r="O811" s="5" t="inlineStr">
        <is>
          <t>Site</t>
        </is>
      </c>
      <c r="P811" s="5" t="inlineStr">
        <is>
          <t>United States</t>
        </is>
      </c>
      <c r="Q811" s="13" t="inlineStr">
        <is>
          <t>S10-US10041</t>
        </is>
      </c>
      <c r="R811" s="5" t="inlineStr">
        <is>
          <t>Aurora Barbera</t>
        </is>
      </c>
      <c r="S811" s="8" t="n">
        <v>46125.4978587963</v>
      </c>
    </row>
    <row r="812" hidden="1" ht="29" customHeight="1">
      <c r="A812" s="15">
        <f>HYPERLINK("https://vtmf.veevavault.com/ui/#doc_info/31439076/1/0", "VTMF-25368237")</f>
        <v/>
      </c>
      <c r="B812" s="20" t="inlineStr">
        <is>
          <t>Yes</t>
        </is>
      </c>
      <c r="C812" s="5" t="inlineStr">
        <is>
          <t>1.0</t>
        </is>
      </c>
      <c r="D812" s="5" t="inlineStr">
        <is>
          <t>GCO</t>
        </is>
      </c>
      <c r="E812" s="5" t="inlineStr">
        <is>
          <t>42847922MDD3003</t>
        </is>
      </c>
      <c r="F812" s="16">
        <f>HYPERLINK("https://vtmf.veevavault.com/ui/#doc_info/31439076/1/0", "42847922MDD3003-ROU-S10-RO10013-Relevant Communications-28 Aug 2025 (v1.0)")</f>
        <v/>
      </c>
      <c r="G812" s="5" t="inlineStr">
        <is>
          <t>Site Management</t>
        </is>
      </c>
      <c r="H812" s="5" t="inlineStr">
        <is>
          <t>General</t>
        </is>
      </c>
      <c r="I812" s="5" t="inlineStr">
        <is>
          <t>Relevant Communications</t>
        </is>
      </c>
      <c r="J812" s="5" t="inlineStr">
        <is>
          <t>Screening extension approved_S10-RO10013</t>
        </is>
      </c>
      <c r="K812" s="6" t="n">
        <v>228</v>
      </c>
      <c r="L812" s="7" t="n">
        <v>45897</v>
      </c>
      <c r="M812" s="11" t="n">
        <v>46125</v>
      </c>
      <c r="N812" s="5" t="inlineStr">
        <is>
          <t>Approved</t>
        </is>
      </c>
      <c r="O812" s="5" t="inlineStr">
        <is>
          <t>Site</t>
        </is>
      </c>
      <c r="P812" s="5" t="inlineStr">
        <is>
          <t>Romania</t>
        </is>
      </c>
      <c r="Q812" s="13" t="inlineStr">
        <is>
          <t>S10-RO10013</t>
        </is>
      </c>
      <c r="R812" s="5" t="inlineStr">
        <is>
          <t>Aurora Barbera</t>
        </is>
      </c>
      <c r="S812" s="8" t="n">
        <v>46125.49912037037</v>
      </c>
    </row>
    <row r="813" hidden="1" ht="29" customHeight="1">
      <c r="A813" s="15">
        <f>HYPERLINK("https://vtmf.veevavault.com/ui/#doc_info/31439080/1/0", "VTMF-25368247")</f>
        <v/>
      </c>
      <c r="B813" s="20" t="inlineStr">
        <is>
          <t>Yes</t>
        </is>
      </c>
      <c r="C813" s="5" t="inlineStr">
        <is>
          <t>1.0</t>
        </is>
      </c>
      <c r="D813" s="5" t="inlineStr">
        <is>
          <t>GCO</t>
        </is>
      </c>
      <c r="E813" s="5" t="inlineStr">
        <is>
          <t>42847922MDD3003</t>
        </is>
      </c>
      <c r="F813" s="16">
        <f>HYPERLINK("https://vtmf.veevavault.com/ui/#doc_info/31439080/1/0", "42847922MDD3003-ITA-S10-IT10005-Relevant Communications-08 Oct 2025 (v1.0)")</f>
        <v/>
      </c>
      <c r="G813" s="5" t="inlineStr">
        <is>
          <t>Site Management</t>
        </is>
      </c>
      <c r="H813" s="5" t="inlineStr">
        <is>
          <t>General</t>
        </is>
      </c>
      <c r="I813" s="5" t="inlineStr">
        <is>
          <t>Relevant Communications</t>
        </is>
      </c>
      <c r="J813" s="5" t="inlineStr">
        <is>
          <t>Screening extension approved_S10-IT10005 Subject IT100050001</t>
        </is>
      </c>
      <c r="K813" s="6" t="n">
        <v>187</v>
      </c>
      <c r="L813" s="7" t="n">
        <v>45938</v>
      </c>
      <c r="M813" s="11" t="n">
        <v>46125</v>
      </c>
      <c r="N813" s="5" t="inlineStr">
        <is>
          <t>Approved</t>
        </is>
      </c>
      <c r="O813" s="5" t="inlineStr">
        <is>
          <t>Site</t>
        </is>
      </c>
      <c r="P813" s="5" t="inlineStr">
        <is>
          <t>Italy</t>
        </is>
      </c>
      <c r="Q813" s="13" t="inlineStr">
        <is>
          <t>S10-IT10005</t>
        </is>
      </c>
      <c r="R813" s="5" t="inlineStr">
        <is>
          <t>Aurora Barbera</t>
        </is>
      </c>
      <c r="S813" s="8" t="n">
        <v>46125.50050925926</v>
      </c>
    </row>
    <row r="814" hidden="1" ht="29" customHeight="1">
      <c r="A814" s="15">
        <f>HYPERLINK("https://vtmf.veevavault.com/ui/#doc_info/31439095/1/0", "VTMF-25368260")</f>
        <v/>
      </c>
      <c r="B814" s="20" t="inlineStr">
        <is>
          <t>Yes</t>
        </is>
      </c>
      <c r="C814" s="5" t="inlineStr">
        <is>
          <t>1.0</t>
        </is>
      </c>
      <c r="D814" s="5" t="inlineStr">
        <is>
          <t>GCO</t>
        </is>
      </c>
      <c r="E814" s="5" t="inlineStr">
        <is>
          <t>42847922MDD3003</t>
        </is>
      </c>
      <c r="F814" s="16">
        <f>HYPERLINK("https://vtmf.veevavault.com/ui/#doc_info/31439095/1/0", "42847922MDD3003-USA-S10-US10121-Relevant Communications-08 Oct 2025 (v1.0)")</f>
        <v/>
      </c>
      <c r="G814" s="5" t="inlineStr">
        <is>
          <t>Site Management</t>
        </is>
      </c>
      <c r="H814" s="5" t="inlineStr">
        <is>
          <t>General</t>
        </is>
      </c>
      <c r="I814" s="5" t="inlineStr">
        <is>
          <t>Relevant Communications</t>
        </is>
      </c>
      <c r="J814" s="5" t="inlineStr">
        <is>
          <t>Screening extension approved_S10-US10121 Subject US101210006</t>
        </is>
      </c>
      <c r="K814" s="6" t="n">
        <v>187</v>
      </c>
      <c r="L814" s="7" t="n">
        <v>45938</v>
      </c>
      <c r="M814" s="11" t="n">
        <v>46125</v>
      </c>
      <c r="N814" s="5" t="inlineStr">
        <is>
          <t>Approved</t>
        </is>
      </c>
      <c r="O814" s="5" t="inlineStr">
        <is>
          <t>Site</t>
        </is>
      </c>
      <c r="P814" s="5" t="inlineStr">
        <is>
          <t>United States</t>
        </is>
      </c>
      <c r="Q814" s="13" t="inlineStr">
        <is>
          <t>S10-US10121</t>
        </is>
      </c>
      <c r="R814" s="5" t="inlineStr">
        <is>
          <t>Aurora Barbera</t>
        </is>
      </c>
      <c r="S814" s="8" t="n">
        <v>46125.50303240741</v>
      </c>
    </row>
    <row r="815" hidden="1" ht="29" customHeight="1">
      <c r="A815" s="15">
        <f>HYPERLINK("https://vtmf.veevavault.com/ui/#doc_info/31440102/1/0", "VTMF-25368271")</f>
        <v/>
      </c>
      <c r="B815" s="20" t="inlineStr">
        <is>
          <t>Yes</t>
        </is>
      </c>
      <c r="C815" s="5" t="inlineStr">
        <is>
          <t>1.0</t>
        </is>
      </c>
      <c r="D815" s="5" t="inlineStr">
        <is>
          <t>GCO</t>
        </is>
      </c>
      <c r="E815" s="5" t="inlineStr">
        <is>
          <t>42847922MDD3003</t>
        </is>
      </c>
      <c r="F815" s="16">
        <f>HYPERLINK("https://vtmf.veevavault.com/ui/#doc_info/31440102/1/0", "42847922MDD3003-PRT-S10-PT10014-Relevant Communications-14 Nov 2025 (v1.0)")</f>
        <v/>
      </c>
      <c r="G815" s="5" t="inlineStr">
        <is>
          <t>Site Management</t>
        </is>
      </c>
      <c r="H815" s="5" t="inlineStr">
        <is>
          <t>General</t>
        </is>
      </c>
      <c r="I815" s="5" t="inlineStr">
        <is>
          <t>Relevant Communications</t>
        </is>
      </c>
      <c r="J815" s="5" t="inlineStr">
        <is>
          <t>Screening extension approved_S10-PT10014 Subject PT100140004</t>
        </is>
      </c>
      <c r="K815" s="6" t="n">
        <v>150</v>
      </c>
      <c r="L815" s="7" t="n">
        <v>45975</v>
      </c>
      <c r="M815" s="11" t="n">
        <v>46125</v>
      </c>
      <c r="N815" s="5" t="inlineStr">
        <is>
          <t>Approved</t>
        </is>
      </c>
      <c r="O815" s="5" t="inlineStr">
        <is>
          <t>Site</t>
        </is>
      </c>
      <c r="P815" s="5" t="inlineStr">
        <is>
          <t>Portugal</t>
        </is>
      </c>
      <c r="Q815" s="13" t="inlineStr">
        <is>
          <t>S10-PT10014</t>
        </is>
      </c>
      <c r="R815" s="5" t="inlineStr">
        <is>
          <t>Aurora Barbera</t>
        </is>
      </c>
      <c r="S815" s="8" t="n">
        <v>46125.50452546297</v>
      </c>
    </row>
    <row r="816" hidden="1" ht="29" customHeight="1">
      <c r="A816" s="15">
        <f>HYPERLINK("https://vtmf.veevavault.com/ui/#doc_info/31440109/1/0", "VTMF-25368283")</f>
        <v/>
      </c>
      <c r="B816" s="20" t="inlineStr">
        <is>
          <t>Yes</t>
        </is>
      </c>
      <c r="C816" s="5" t="inlineStr">
        <is>
          <t>1.0</t>
        </is>
      </c>
      <c r="D816" s="5" t="inlineStr">
        <is>
          <t>GCO</t>
        </is>
      </c>
      <c r="E816" s="5" t="inlineStr">
        <is>
          <t>42847922MDD3003</t>
        </is>
      </c>
      <c r="F816" s="16">
        <f>HYPERLINK("https://vtmf.veevavault.com/ui/#doc_info/31440109/1/0", "42847922MDD3003-PRT-S10-PT10001-Relevant Communications-27 Nov 2025 (v1.0)")</f>
        <v/>
      </c>
      <c r="G816" s="5" t="inlineStr">
        <is>
          <t>Site Management</t>
        </is>
      </c>
      <c r="H816" s="5" t="inlineStr">
        <is>
          <t>General</t>
        </is>
      </c>
      <c r="I816" s="5" t="inlineStr">
        <is>
          <t>Relevant Communications</t>
        </is>
      </c>
      <c r="J816" s="5" t="inlineStr">
        <is>
          <t>Screening extension approved_S10-PT10001 Subject PT100010003</t>
        </is>
      </c>
      <c r="K816" s="6" t="n">
        <v>137</v>
      </c>
      <c r="L816" s="7" t="n">
        <v>45988</v>
      </c>
      <c r="M816" s="11" t="n">
        <v>46125</v>
      </c>
      <c r="N816" s="5" t="inlineStr">
        <is>
          <t>Approved</t>
        </is>
      </c>
      <c r="O816" s="5" t="inlineStr">
        <is>
          <t>Site</t>
        </is>
      </c>
      <c r="P816" s="5" t="inlineStr">
        <is>
          <t>Portugal</t>
        </is>
      </c>
      <c r="Q816" s="13" t="inlineStr">
        <is>
          <t>S10-PT10001</t>
        </is>
      </c>
      <c r="R816" s="5" t="inlineStr">
        <is>
          <t>Aurora Barbera</t>
        </is>
      </c>
      <c r="S816" s="8" t="n">
        <v>46125.50623842593</v>
      </c>
    </row>
    <row r="817" hidden="1" ht="29" customHeight="1">
      <c r="A817" s="15">
        <f>HYPERLINK("https://vtmf.veevavault.com/ui/#doc_info/31440118/1/0", "VTMF-25368304")</f>
        <v/>
      </c>
      <c r="B817" s="20" t="inlineStr">
        <is>
          <t>Yes</t>
        </is>
      </c>
      <c r="C817" s="5" t="inlineStr">
        <is>
          <t>1.0</t>
        </is>
      </c>
      <c r="D817" s="5" t="inlineStr">
        <is>
          <t>GCO</t>
        </is>
      </c>
      <c r="E817" s="5" t="inlineStr">
        <is>
          <t>42847922MDD3003</t>
        </is>
      </c>
      <c r="F817" s="16">
        <f>HYPERLINK("https://vtmf.veevavault.com/ui/#doc_info/31440118/1/0", "42847922MDD3003-SRB-S10-RS10004-Relevant Communications-29 Dec 2025 (v1.0)")</f>
        <v/>
      </c>
      <c r="G817" s="5" t="inlineStr">
        <is>
          <t>Site Management</t>
        </is>
      </c>
      <c r="H817" s="5" t="inlineStr">
        <is>
          <t>General</t>
        </is>
      </c>
      <c r="I817" s="5" t="inlineStr">
        <is>
          <t>Relevant Communications</t>
        </is>
      </c>
      <c r="J817" s="5" t="inlineStr">
        <is>
          <t>Screening extension approved_S10-RS10004 Subject RS100040003</t>
        </is>
      </c>
      <c r="K817" s="6" t="n">
        <v>105</v>
      </c>
      <c r="L817" s="7" t="n">
        <v>46020</v>
      </c>
      <c r="M817" s="11" t="n">
        <v>46125</v>
      </c>
      <c r="N817" s="5" t="inlineStr">
        <is>
          <t>Approved</t>
        </is>
      </c>
      <c r="O817" s="5" t="inlineStr">
        <is>
          <t>Site</t>
        </is>
      </c>
      <c r="P817" s="5" t="inlineStr">
        <is>
          <t>Serbia</t>
        </is>
      </c>
      <c r="Q817" s="13" t="inlineStr">
        <is>
          <t>S10-RS10004</t>
        </is>
      </c>
      <c r="R817" s="5" t="inlineStr">
        <is>
          <t>Aurora Barbera</t>
        </is>
      </c>
      <c r="S817" s="8" t="n">
        <v>46125.50842592592</v>
      </c>
    </row>
    <row r="818" hidden="1" ht="29" customHeight="1">
      <c r="A818" s="15">
        <f>HYPERLINK("https://vtmf.veevavault.com/ui/#doc_info/31440123/1/0", "VTMF-25368312")</f>
        <v/>
      </c>
      <c r="B818" s="20" t="inlineStr">
        <is>
          <t>Yes</t>
        </is>
      </c>
      <c r="C818" s="5" t="inlineStr">
        <is>
          <t>1.0</t>
        </is>
      </c>
      <c r="D818" s="5" t="inlineStr">
        <is>
          <t>GCO</t>
        </is>
      </c>
      <c r="E818" s="5" t="inlineStr">
        <is>
          <t>42847922MDD3003</t>
        </is>
      </c>
      <c r="F818" s="16">
        <f>HYPERLINK("https://vtmf.veevavault.com/ui/#doc_info/31440123/1/0", "42847922MDD3003-USA-S10-US10257-Relevant Communications-07 Jan 2026 (v1.0)")</f>
        <v/>
      </c>
      <c r="G818" s="5" t="inlineStr">
        <is>
          <t>Site Management</t>
        </is>
      </c>
      <c r="H818" s="5" t="inlineStr">
        <is>
          <t>General</t>
        </is>
      </c>
      <c r="I818" s="5" t="inlineStr">
        <is>
          <t>Relevant Communications</t>
        </is>
      </c>
      <c r="J818" s="5" t="inlineStr">
        <is>
          <t>Screening extension approved_S10-US10257 Subject US102570012</t>
        </is>
      </c>
      <c r="K818" s="6" t="n">
        <v>96</v>
      </c>
      <c r="L818" s="7" t="n">
        <v>46029</v>
      </c>
      <c r="M818" s="11" t="n">
        <v>46125</v>
      </c>
      <c r="N818" s="5" t="inlineStr">
        <is>
          <t>Approved</t>
        </is>
      </c>
      <c r="O818" s="5" t="inlineStr">
        <is>
          <t>Site</t>
        </is>
      </c>
      <c r="P818" s="5" t="inlineStr">
        <is>
          <t>United States</t>
        </is>
      </c>
      <c r="Q818" s="13" t="inlineStr">
        <is>
          <t>S10-US10257</t>
        </is>
      </c>
      <c r="R818" s="5" t="inlineStr">
        <is>
          <t>Aurora Barbera</t>
        </is>
      </c>
      <c r="S818" s="8" t="n">
        <v>46125.51011574074</v>
      </c>
    </row>
    <row r="819" hidden="1" ht="29" customHeight="1">
      <c r="A819" s="15">
        <f>HYPERLINK("https://vtmf.veevavault.com/ui/#doc_info/31440306/1/0", "VTMF-25368472")</f>
        <v/>
      </c>
      <c r="B819" s="19" t="inlineStr">
        <is>
          <t>No</t>
        </is>
      </c>
      <c r="C819" s="5" t="inlineStr">
        <is>
          <t>1.0</t>
        </is>
      </c>
      <c r="D819" s="5" t="inlineStr">
        <is>
          <t>GCO</t>
        </is>
      </c>
      <c r="E819" s="5" t="inlineStr">
        <is>
          <t>42847922MDD3003</t>
        </is>
      </c>
      <c r="F819" s="16">
        <f>HYPERLINK("https://vtmf.veevavault.com/ui/#doc_info/31440306/1/0", "42847922MDD3003-PRT-S10-PT10008-IP Destruction Form-11 Mar 2026 (v1.0)")</f>
        <v/>
      </c>
      <c r="G819" s="5" t="inlineStr">
        <is>
          <t>IP and Trial Supplies</t>
        </is>
      </c>
      <c r="H819" s="5" t="inlineStr">
        <is>
          <t>IP Documentation</t>
        </is>
      </c>
      <c r="I819" s="5" t="inlineStr">
        <is>
          <t>IP Destruction Form</t>
        </is>
      </c>
      <c r="J819" s="5" t="inlineStr">
        <is>
          <t>IP Destruction Form_11715.26 I</t>
        </is>
      </c>
      <c r="K819" s="6" t="n">
        <v>34</v>
      </c>
      <c r="L819" s="7" t="n">
        <v>46092</v>
      </c>
      <c r="M819" s="11" t="n">
        <v>46126</v>
      </c>
      <c r="N819" s="5" t="inlineStr">
        <is>
          <t>Approved</t>
        </is>
      </c>
      <c r="O819" s="5" t="inlineStr">
        <is>
          <t>Site</t>
        </is>
      </c>
      <c r="P819" s="5" t="inlineStr">
        <is>
          <t>Portugal</t>
        </is>
      </c>
      <c r="Q819" s="13" t="inlineStr">
        <is>
          <t>S10-PT10008</t>
        </is>
      </c>
      <c r="R819" s="5" t="inlineStr">
        <is>
          <t>Ruben Ayora</t>
        </is>
      </c>
      <c r="S819" s="8" t="n">
        <v>46125.53807870371</v>
      </c>
    </row>
    <row r="820" hidden="1" ht="29" customHeight="1">
      <c r="A820" s="15">
        <f>HYPERLINK("https://vtmf.veevavault.com/ui/#doc_info/31440435/1/0", "VTMF-25368562")</f>
        <v/>
      </c>
      <c r="B820" s="20" t="inlineStr">
        <is>
          <t>Yes</t>
        </is>
      </c>
      <c r="C820" s="5" t="inlineStr">
        <is>
          <t>1.0</t>
        </is>
      </c>
      <c r="D820" s="5" t="inlineStr">
        <is>
          <t>GCO</t>
        </is>
      </c>
      <c r="E820" s="5" t="inlineStr">
        <is>
          <t>42847922MDD3003</t>
        </is>
      </c>
      <c r="F820" s="16">
        <f>HYPERLINK("https://vtmf.veevavault.com/ui/#doc_info/31440435/1/0", "42847922MDD3003-ARG-S10-AR10013-Relevant Communications-08 Jan 2026 (v1.0)")</f>
        <v/>
      </c>
      <c r="G820" s="5" t="inlineStr">
        <is>
          <t>Site Management</t>
        </is>
      </c>
      <c r="H820" s="5" t="inlineStr">
        <is>
          <t>General</t>
        </is>
      </c>
      <c r="I820" s="5" t="inlineStr">
        <is>
          <t>Relevant Communications</t>
        </is>
      </c>
      <c r="J820" s="5" t="inlineStr">
        <is>
          <t>Screening extension approved_S10-AR10013 Subject AR100130013</t>
        </is>
      </c>
      <c r="K820" s="6" t="n">
        <v>95</v>
      </c>
      <c r="L820" s="7" t="n">
        <v>46030</v>
      </c>
      <c r="M820" s="11" t="n">
        <v>46125</v>
      </c>
      <c r="N820" s="5" t="inlineStr">
        <is>
          <t>Approved</t>
        </is>
      </c>
      <c r="O820" s="5" t="inlineStr">
        <is>
          <t>Site</t>
        </is>
      </c>
      <c r="P820" s="5" t="inlineStr">
        <is>
          <t>Argentina</t>
        </is>
      </c>
      <c r="Q820" s="13" t="inlineStr">
        <is>
          <t>S10-AR10013</t>
        </is>
      </c>
      <c r="R820" s="5" t="inlineStr">
        <is>
          <t>Aurora Barbera</t>
        </is>
      </c>
      <c r="S820" s="8" t="n">
        <v>46125.55605324074</v>
      </c>
    </row>
    <row r="821" hidden="1" ht="29" customHeight="1">
      <c r="A821" s="15">
        <f>HYPERLINK("https://vtmf.veevavault.com/ui/#doc_info/31440444/1/0", "VTMF-25368573")</f>
        <v/>
      </c>
      <c r="B821" s="20" t="inlineStr">
        <is>
          <t>Yes</t>
        </is>
      </c>
      <c r="C821" s="5" t="inlineStr">
        <is>
          <t>1.0</t>
        </is>
      </c>
      <c r="D821" s="5" t="inlineStr">
        <is>
          <t>GCO</t>
        </is>
      </c>
      <c r="E821" s="5" t="inlineStr">
        <is>
          <t>42847922MDD3003</t>
        </is>
      </c>
      <c r="F821" s="16">
        <f>HYPERLINK("https://vtmf.veevavault.com/ui/#doc_info/31440444/1/0", "42847922MDD3003-CZE-S10-CZ10008-Relevant Communications-09 Jan 2026 (v1.0)")</f>
        <v/>
      </c>
      <c r="G821" s="5" t="inlineStr">
        <is>
          <t>Site Management</t>
        </is>
      </c>
      <c r="H821" s="5" t="inlineStr">
        <is>
          <t>General</t>
        </is>
      </c>
      <c r="I821" s="5" t="inlineStr">
        <is>
          <t>Relevant Communications</t>
        </is>
      </c>
      <c r="J821" s="5" t="inlineStr">
        <is>
          <t>Screening extension approved_S10-CZ10008 Subject CZ100080007</t>
        </is>
      </c>
      <c r="K821" s="6" t="n">
        <v>94</v>
      </c>
      <c r="L821" s="7" t="n">
        <v>46031</v>
      </c>
      <c r="M821" s="11" t="n">
        <v>46125</v>
      </c>
      <c r="N821" s="5" t="inlineStr">
        <is>
          <t>Approved</t>
        </is>
      </c>
      <c r="O821" s="5" t="inlineStr">
        <is>
          <t>Site</t>
        </is>
      </c>
      <c r="P821" s="5" t="inlineStr">
        <is>
          <t>Czech Republic</t>
        </is>
      </c>
      <c r="Q821" s="13" t="inlineStr">
        <is>
          <t>S10-CZ10008</t>
        </is>
      </c>
      <c r="R821" s="5" t="inlineStr">
        <is>
          <t>Aurora Barbera</t>
        </is>
      </c>
      <c r="S821" s="8" t="n">
        <v>46125.55760416666</v>
      </c>
    </row>
    <row r="822" hidden="1" ht="29" customHeight="1">
      <c r="A822" s="15">
        <f>HYPERLINK("https://vtmf.veevavault.com/ui/#doc_info/31440452/1/0", "VTMF-25368580")</f>
        <v/>
      </c>
      <c r="B822" s="20" t="inlineStr">
        <is>
          <t>Yes</t>
        </is>
      </c>
      <c r="C822" s="5" t="inlineStr">
        <is>
          <t>1.0</t>
        </is>
      </c>
      <c r="D822" s="5" t="inlineStr">
        <is>
          <t>GCO</t>
        </is>
      </c>
      <c r="E822" s="5" t="inlineStr">
        <is>
          <t>42847922MDD3003</t>
        </is>
      </c>
      <c r="F822" s="16">
        <f>HYPERLINK("https://vtmf.veevavault.com/ui/#doc_info/31440452/1/0", "42847922MDD3003-USA-S10-US10101-Relevant Communications-09 Jan 2026 (v1.0)")</f>
        <v/>
      </c>
      <c r="G822" s="5" t="inlineStr">
        <is>
          <t>Site Management</t>
        </is>
      </c>
      <c r="H822" s="5" t="inlineStr">
        <is>
          <t>General</t>
        </is>
      </c>
      <c r="I822" s="5" t="inlineStr">
        <is>
          <t>Relevant Communications</t>
        </is>
      </c>
      <c r="J822" s="5" t="inlineStr">
        <is>
          <t>Eligibility approved_S10-US10101 Dr Maass Robinson Subject US101010011</t>
        </is>
      </c>
      <c r="K822" s="6" t="n">
        <v>94</v>
      </c>
      <c r="L822" s="7" t="n">
        <v>46031</v>
      </c>
      <c r="M822" s="11" t="n">
        <v>46125</v>
      </c>
      <c r="N822" s="5" t="inlineStr">
        <is>
          <t>Approved</t>
        </is>
      </c>
      <c r="O822" s="5" t="inlineStr">
        <is>
          <t>Site</t>
        </is>
      </c>
      <c r="P822" s="5" t="inlineStr">
        <is>
          <t>United States</t>
        </is>
      </c>
      <c r="Q822" s="13" t="inlineStr">
        <is>
          <t>S10-US10101</t>
        </is>
      </c>
      <c r="R822" s="5" t="inlineStr">
        <is>
          <t>Aurora Barbera</t>
        </is>
      </c>
      <c r="S822" s="8" t="n">
        <v>46125.55930555556</v>
      </c>
    </row>
    <row r="823" hidden="1" ht="29" customHeight="1">
      <c r="A823" s="15">
        <f>HYPERLINK("https://vtmf.veevavault.com/ui/#doc_info/31440458/1/0", "VTMF-25368590")</f>
        <v/>
      </c>
      <c r="B823" s="20" t="inlineStr">
        <is>
          <t>Yes</t>
        </is>
      </c>
      <c r="C823" s="5" t="inlineStr">
        <is>
          <t>1.0</t>
        </is>
      </c>
      <c r="D823" s="5" t="inlineStr">
        <is>
          <t>GCO</t>
        </is>
      </c>
      <c r="E823" s="5" t="inlineStr">
        <is>
          <t>42847922MDD3003</t>
        </is>
      </c>
      <c r="F823" s="16">
        <f>HYPERLINK("https://vtmf.veevavault.com/ui/#doc_info/31440458/1/0", "42847922MDD3003-TUR-S10-TR10013-Relevant Communications-14 Jan 2026 (v1.0)")</f>
        <v/>
      </c>
      <c r="G823" s="5" t="inlineStr">
        <is>
          <t>Site Management</t>
        </is>
      </c>
      <c r="H823" s="5" t="inlineStr">
        <is>
          <t>General</t>
        </is>
      </c>
      <c r="I823" s="5" t="inlineStr">
        <is>
          <t>Relevant Communications</t>
        </is>
      </c>
      <c r="J823" s="5" t="inlineStr">
        <is>
          <t>Eligibility approved_S10-TR10013 Dr Cevik Subject TR100130004</t>
        </is>
      </c>
      <c r="K823" s="6" t="n">
        <v>89</v>
      </c>
      <c r="L823" s="7" t="n">
        <v>46036</v>
      </c>
      <c r="M823" s="11" t="n">
        <v>46125</v>
      </c>
      <c r="N823" s="5" t="inlineStr">
        <is>
          <t>Approved</t>
        </is>
      </c>
      <c r="O823" s="5" t="inlineStr">
        <is>
          <t>Site</t>
        </is>
      </c>
      <c r="P823" s="5" t="inlineStr">
        <is>
          <t>Türkiye</t>
        </is>
      </c>
      <c r="Q823" s="13" t="inlineStr">
        <is>
          <t>S10-TR10013</t>
        </is>
      </c>
      <c r="R823" s="5" t="inlineStr">
        <is>
          <t>Aurora Barbera</t>
        </is>
      </c>
      <c r="S823" s="8" t="n">
        <v>46125.56111111111</v>
      </c>
    </row>
    <row r="824" hidden="1" ht="29" customHeight="1">
      <c r="A824" s="15">
        <f>HYPERLINK("https://vtmf.veevavault.com/ui/#doc_info/31440460/1/0", "VTMF-25368598")</f>
        <v/>
      </c>
      <c r="B824" s="20" t="inlineStr">
        <is>
          <t>Yes</t>
        </is>
      </c>
      <c r="C824" s="5" t="inlineStr">
        <is>
          <t>1.0</t>
        </is>
      </c>
      <c r="D824" s="5" t="inlineStr">
        <is>
          <t>GCO</t>
        </is>
      </c>
      <c r="E824" s="5" t="inlineStr">
        <is>
          <t>42847922MDD3003</t>
        </is>
      </c>
      <c r="F824" s="16">
        <f>HYPERLINK("https://vtmf.veevavault.com/ui/#doc_info/31440460/1/0", "42847922MDD3003-SWE-S10-SE10001-Relevant Communications-20 Jan 2026 (v1.0)")</f>
        <v/>
      </c>
      <c r="G824" s="5" t="inlineStr">
        <is>
          <t>Site Management</t>
        </is>
      </c>
      <c r="H824" s="5" t="inlineStr">
        <is>
          <t>General</t>
        </is>
      </c>
      <c r="I824" s="5" t="inlineStr">
        <is>
          <t>Relevant Communications</t>
        </is>
      </c>
      <c r="J824" s="5" t="inlineStr">
        <is>
          <t>Eligibility approved_S10-SE10001 Dr Luts Subject SE100010027</t>
        </is>
      </c>
      <c r="K824" s="6" t="n">
        <v>83</v>
      </c>
      <c r="L824" s="7" t="n">
        <v>46042</v>
      </c>
      <c r="M824" s="11" t="n">
        <v>46125</v>
      </c>
      <c r="N824" s="5" t="inlineStr">
        <is>
          <t>Approved</t>
        </is>
      </c>
      <c r="O824" s="5" t="inlineStr">
        <is>
          <t>Site</t>
        </is>
      </c>
      <c r="P824" s="5" t="inlineStr">
        <is>
          <t>Sweden</t>
        </is>
      </c>
      <c r="Q824" s="13" t="inlineStr">
        <is>
          <t>S10-SE10001</t>
        </is>
      </c>
      <c r="R824" s="5" t="inlineStr">
        <is>
          <t>Aurora Barbera</t>
        </is>
      </c>
      <c r="S824" s="8" t="n">
        <v>46125.56261574074</v>
      </c>
    </row>
    <row r="825" hidden="1" ht="29" customHeight="1">
      <c r="A825" s="15">
        <f>HYPERLINK("https://vtmf.veevavault.com/ui/#doc_info/31440466/1/0", "VTMF-25368605")</f>
        <v/>
      </c>
      <c r="B825" s="20" t="inlineStr">
        <is>
          <t>Yes</t>
        </is>
      </c>
      <c r="C825" s="5" t="inlineStr">
        <is>
          <t>1.0</t>
        </is>
      </c>
      <c r="D825" s="5" t="inlineStr">
        <is>
          <t>GCO</t>
        </is>
      </c>
      <c r="E825" s="5" t="inlineStr">
        <is>
          <t>42847922MDD3003</t>
        </is>
      </c>
      <c r="F825" s="16">
        <f>HYPERLINK("https://vtmf.veevavault.com/ui/#doc_info/31440466/1/0", "42847922MDD3003-USA-S10-US10083-Relevant Communications-20 Jan 2026 (v1.0)")</f>
        <v/>
      </c>
      <c r="G825" s="5" t="inlineStr">
        <is>
          <t>Site Management</t>
        </is>
      </c>
      <c r="H825" s="5" t="inlineStr">
        <is>
          <t>General</t>
        </is>
      </c>
      <c r="I825" s="5" t="inlineStr">
        <is>
          <t>Relevant Communications</t>
        </is>
      </c>
      <c r="J825" s="5" t="inlineStr">
        <is>
          <t>Eligibility approved_S10-US10083 Dr Cueva Subject US100830013</t>
        </is>
      </c>
      <c r="K825" s="6" t="n">
        <v>83</v>
      </c>
      <c r="L825" s="7" t="n">
        <v>46042</v>
      </c>
      <c r="M825" s="11" t="n">
        <v>46125</v>
      </c>
      <c r="N825" s="5" t="inlineStr">
        <is>
          <t>Approved</t>
        </is>
      </c>
      <c r="O825" s="5" t="inlineStr">
        <is>
          <t>Site</t>
        </is>
      </c>
      <c r="P825" s="5" t="inlineStr">
        <is>
          <t>United States</t>
        </is>
      </c>
      <c r="Q825" s="13" t="inlineStr">
        <is>
          <t>S10-US10083</t>
        </is>
      </c>
      <c r="R825" s="5" t="inlineStr">
        <is>
          <t>Aurora Barbera</t>
        </is>
      </c>
      <c r="S825" s="8" t="n">
        <v>46125.56428240741</v>
      </c>
    </row>
    <row r="826" hidden="1" ht="29" customHeight="1">
      <c r="A826" s="15">
        <f>HYPERLINK("https://vtmf.veevavault.com/ui/#doc_info/31440483/1/0", "VTMF-25368623")</f>
        <v/>
      </c>
      <c r="B826" s="20" t="inlineStr">
        <is>
          <t>Yes</t>
        </is>
      </c>
      <c r="C826" s="5" t="inlineStr">
        <is>
          <t>1.0</t>
        </is>
      </c>
      <c r="D826" s="5" t="inlineStr">
        <is>
          <t>GCO</t>
        </is>
      </c>
      <c r="E826" s="5" t="inlineStr">
        <is>
          <t>42847922MDD3003</t>
        </is>
      </c>
      <c r="F826" s="16">
        <f>HYPERLINK("https://vtmf.veevavault.com/ui/#doc_info/31440483/1/0", "42847922MDD3003-MEX-S10-MX10008-Relevant Communications-22 Jan 2026 (v1.0)")</f>
        <v/>
      </c>
      <c r="G826" s="5" t="inlineStr">
        <is>
          <t>Site Management</t>
        </is>
      </c>
      <c r="H826" s="5" t="inlineStr">
        <is>
          <t>General</t>
        </is>
      </c>
      <c r="I826" s="5" t="inlineStr">
        <is>
          <t>Relevant Communications</t>
        </is>
      </c>
      <c r="J826" s="5" t="inlineStr">
        <is>
          <t>Eligibility approved_S10-MX10008 Dr Ontiveros Subject MX100080007</t>
        </is>
      </c>
      <c r="K826" s="6" t="n">
        <v>81</v>
      </c>
      <c r="L826" s="7" t="n">
        <v>46044</v>
      </c>
      <c r="M826" s="11" t="n">
        <v>46125</v>
      </c>
      <c r="N826" s="5" t="inlineStr">
        <is>
          <t>Approved</t>
        </is>
      </c>
      <c r="O826" s="5" t="inlineStr">
        <is>
          <t>Site</t>
        </is>
      </c>
      <c r="P826" s="5" t="inlineStr">
        <is>
          <t>Mexico</t>
        </is>
      </c>
      <c r="Q826" s="13" t="inlineStr">
        <is>
          <t>S10-MX10008</t>
        </is>
      </c>
      <c r="R826" s="5" t="inlineStr">
        <is>
          <t>Aurora Barbera</t>
        </is>
      </c>
      <c r="S826" s="8" t="n">
        <v>46125.56570601852</v>
      </c>
    </row>
    <row r="827" hidden="1" ht="29" customHeight="1">
      <c r="A827" s="15">
        <f>HYPERLINK("https://vtmf.veevavault.com/ui/#doc_info/31440489/1/0", "VTMF-25368636")</f>
        <v/>
      </c>
      <c r="B827" s="20" t="inlineStr">
        <is>
          <t>Yes</t>
        </is>
      </c>
      <c r="C827" s="5" t="inlineStr">
        <is>
          <t>1.0</t>
        </is>
      </c>
      <c r="D827" s="5" t="inlineStr">
        <is>
          <t>GCO</t>
        </is>
      </c>
      <c r="E827" s="5" t="inlineStr">
        <is>
          <t>42847922MDD3003</t>
        </is>
      </c>
      <c r="F827" s="16">
        <f>HYPERLINK("https://vtmf.veevavault.com/ui/#doc_info/31440489/1/0", "42847922MDD3003-SWE-S10-SE10002-Relevant Communications-22 Jan 2026 (v1.0)")</f>
        <v/>
      </c>
      <c r="G827" s="5" t="inlineStr">
        <is>
          <t>Site Management</t>
        </is>
      </c>
      <c r="H827" s="5" t="inlineStr">
        <is>
          <t>General</t>
        </is>
      </c>
      <c r="I827" s="5" t="inlineStr">
        <is>
          <t>Relevant Communications</t>
        </is>
      </c>
      <c r="J827" s="5" t="inlineStr">
        <is>
          <t>Eligibility approved_S10-SE10002 Dr Bosson Subject SE100020030</t>
        </is>
      </c>
      <c r="K827" s="6" t="n">
        <v>81</v>
      </c>
      <c r="L827" s="7" t="n">
        <v>46044</v>
      </c>
      <c r="M827" s="11" t="n">
        <v>46125</v>
      </c>
      <c r="N827" s="5" t="inlineStr">
        <is>
          <t>Approved</t>
        </is>
      </c>
      <c r="O827" s="5" t="inlineStr">
        <is>
          <t>Site</t>
        </is>
      </c>
      <c r="P827" s="5" t="inlineStr">
        <is>
          <t>Sweden</t>
        </is>
      </c>
      <c r="Q827" s="13" t="inlineStr">
        <is>
          <t>S10-SE10002</t>
        </is>
      </c>
      <c r="R827" s="5" t="inlineStr">
        <is>
          <t>Aurora Barbera</t>
        </is>
      </c>
      <c r="S827" s="8" t="n">
        <v>46125.56730324074</v>
      </c>
    </row>
    <row r="828" hidden="1" ht="29" customHeight="1">
      <c r="A828" s="15">
        <f>HYPERLINK("https://vtmf.veevavault.com/ui/#doc_info/31440498/1/0", "VTMF-25368648")</f>
        <v/>
      </c>
      <c r="B828" s="20" t="inlineStr">
        <is>
          <t>Yes</t>
        </is>
      </c>
      <c r="C828" s="5" t="inlineStr">
        <is>
          <t>1.0</t>
        </is>
      </c>
      <c r="D828" s="5" t="inlineStr">
        <is>
          <t>GCO</t>
        </is>
      </c>
      <c r="E828" s="5" t="inlineStr">
        <is>
          <t>42847922MDD3003</t>
        </is>
      </c>
      <c r="F828" s="16">
        <f>HYPERLINK("https://vtmf.veevavault.com/ui/#doc_info/31440498/1/0", "42847922MDD3003-USA-S10-US10172-Relevant Communications-22 Jan 2026 (v1.0)")</f>
        <v/>
      </c>
      <c r="G828" s="5" t="inlineStr">
        <is>
          <t>Site Management</t>
        </is>
      </c>
      <c r="H828" s="5" t="inlineStr">
        <is>
          <t>General</t>
        </is>
      </c>
      <c r="I828" s="5" t="inlineStr">
        <is>
          <t>Relevant Communications</t>
        </is>
      </c>
      <c r="J828" s="5" t="inlineStr">
        <is>
          <t>Eligibility approved_S10-US10172 Dr Alvarez Subject US101720023</t>
        </is>
      </c>
      <c r="K828" s="6" t="n">
        <v>81</v>
      </c>
      <c r="L828" s="7" t="n">
        <v>46044</v>
      </c>
      <c r="M828" s="11" t="n">
        <v>46125</v>
      </c>
      <c r="N828" s="5" t="inlineStr">
        <is>
          <t>Approved</t>
        </is>
      </c>
      <c r="O828" s="5" t="inlineStr">
        <is>
          <t>Site</t>
        </is>
      </c>
      <c r="P828" s="5" t="inlineStr">
        <is>
          <t>United States</t>
        </is>
      </c>
      <c r="Q828" s="13" t="inlineStr">
        <is>
          <t>S10-US10172</t>
        </is>
      </c>
      <c r="R828" s="5" t="inlineStr">
        <is>
          <t>Aurora Barbera</t>
        </is>
      </c>
      <c r="S828" s="8" t="n">
        <v>46125.56880787037</v>
      </c>
    </row>
    <row r="829" hidden="1" ht="29" customHeight="1">
      <c r="A829" s="15">
        <f>HYPERLINK("https://vtmf.veevavault.com/ui/#doc_info/31440503/1/0", "VTMF-25368659")</f>
        <v/>
      </c>
      <c r="B829" s="20" t="inlineStr">
        <is>
          <t>Yes</t>
        </is>
      </c>
      <c r="C829" s="5" t="inlineStr">
        <is>
          <t>1.0</t>
        </is>
      </c>
      <c r="D829" s="5" t="inlineStr">
        <is>
          <t>GCO</t>
        </is>
      </c>
      <c r="E829" s="5" t="inlineStr">
        <is>
          <t>42847922MDD3003</t>
        </is>
      </c>
      <c r="F829" s="16">
        <f>HYPERLINK("https://vtmf.veevavault.com/ui/#doc_info/31440503/1/0", "42847922MDD3003-USA-S10-US10058-Relevant Communications-26 Jan 2026 (v1.0)")</f>
        <v/>
      </c>
      <c r="G829" s="5" t="inlineStr">
        <is>
          <t>Site Management</t>
        </is>
      </c>
      <c r="H829" s="5" t="inlineStr">
        <is>
          <t>General</t>
        </is>
      </c>
      <c r="I829" s="5" t="inlineStr">
        <is>
          <t>Relevant Communications</t>
        </is>
      </c>
      <c r="J829" s="5" t="inlineStr">
        <is>
          <t>Screening extension approved_S10-US10058 Subject US100580016</t>
        </is>
      </c>
      <c r="K829" s="6" t="n">
        <v>77</v>
      </c>
      <c r="L829" s="7" t="n">
        <v>46048</v>
      </c>
      <c r="M829" s="11" t="n">
        <v>46125</v>
      </c>
      <c r="N829" s="5" t="inlineStr">
        <is>
          <t>Approved</t>
        </is>
      </c>
      <c r="O829" s="5" t="inlineStr">
        <is>
          <t>Site</t>
        </is>
      </c>
      <c r="P829" s="5" t="inlineStr">
        <is>
          <t>United States</t>
        </is>
      </c>
      <c r="Q829" s="13" t="inlineStr">
        <is>
          <t>S10-US10058</t>
        </is>
      </c>
      <c r="R829" s="5" t="inlineStr">
        <is>
          <t>Aurora Barbera</t>
        </is>
      </c>
      <c r="S829" s="8" t="n">
        <v>46125.57083333333</v>
      </c>
    </row>
    <row r="830" hidden="1" ht="29" customHeight="1">
      <c r="A830" s="15">
        <f>HYPERLINK("https://vtmf.veevavault.com/ui/#doc_info/31440512/1/0", "VTMF-25368672")</f>
        <v/>
      </c>
      <c r="B830" s="20" t="inlineStr">
        <is>
          <t>Yes</t>
        </is>
      </c>
      <c r="C830" s="5" t="inlineStr">
        <is>
          <t>1.0</t>
        </is>
      </c>
      <c r="D830" s="5" t="inlineStr">
        <is>
          <t>GCO</t>
        </is>
      </c>
      <c r="E830" s="5" t="inlineStr">
        <is>
          <t>42847922MDD3003</t>
        </is>
      </c>
      <c r="F830" s="16">
        <f>HYPERLINK("https://vtmf.veevavault.com/ui/#doc_info/31440512/1/0", "42847922MDD3003-USA-S10-US10188-Relevant Communications-26 Jan 2026 (v1.0)")</f>
        <v/>
      </c>
      <c r="G830" s="5" t="inlineStr">
        <is>
          <t>Site Management</t>
        </is>
      </c>
      <c r="H830" s="5" t="inlineStr">
        <is>
          <t>General</t>
        </is>
      </c>
      <c r="I830" s="5" t="inlineStr">
        <is>
          <t>Relevant Communications</t>
        </is>
      </c>
      <c r="J830" s="5" t="inlineStr">
        <is>
          <t>Screening extension approved_S10-US10188 Subject US101880009</t>
        </is>
      </c>
      <c r="K830" s="6" t="n">
        <v>77</v>
      </c>
      <c r="L830" s="7" t="n">
        <v>46048</v>
      </c>
      <c r="M830" s="11" t="n">
        <v>46125</v>
      </c>
      <c r="N830" s="5" t="inlineStr">
        <is>
          <t>Approved</t>
        </is>
      </c>
      <c r="O830" s="5" t="inlineStr">
        <is>
          <t>Site</t>
        </is>
      </c>
      <c r="P830" s="5" t="inlineStr">
        <is>
          <t>United States</t>
        </is>
      </c>
      <c r="Q830" s="13" t="inlineStr">
        <is>
          <t>S10-US10188</t>
        </is>
      </c>
      <c r="R830" s="5" t="inlineStr">
        <is>
          <t>Aurora Barbera</t>
        </is>
      </c>
      <c r="S830" s="8" t="n">
        <v>46125.57260416666</v>
      </c>
    </row>
    <row r="831" hidden="1" ht="29" customHeight="1">
      <c r="A831" s="15">
        <f>HYPERLINK("https://vtmf.veevavault.com/ui/#doc_info/31440519/1/0", "VTMF-25368681")</f>
        <v/>
      </c>
      <c r="B831" s="20" t="inlineStr">
        <is>
          <t>Yes</t>
        </is>
      </c>
      <c r="C831" s="5" t="inlineStr">
        <is>
          <t>1.0</t>
        </is>
      </c>
      <c r="D831" s="5" t="inlineStr">
        <is>
          <t>GCO</t>
        </is>
      </c>
      <c r="E831" s="5" t="inlineStr">
        <is>
          <t>42847922MDD3003</t>
        </is>
      </c>
      <c r="F831" s="16">
        <f>HYPERLINK("https://vtmf.veevavault.com/ui/#doc_info/31440519/1/0", "42847922MDD3003-USA-S10-US10234-Relevant Communications-28 Jan 2026 (v1.0)")</f>
        <v/>
      </c>
      <c r="G831" s="5" t="inlineStr">
        <is>
          <t>Site Management</t>
        </is>
      </c>
      <c r="H831" s="5" t="inlineStr">
        <is>
          <t>General</t>
        </is>
      </c>
      <c r="I831" s="5" t="inlineStr">
        <is>
          <t>Relevant Communications</t>
        </is>
      </c>
      <c r="J831" s="5" t="inlineStr">
        <is>
          <t>Screening extension approved_S10-US10234 Subject US102340021</t>
        </is>
      </c>
      <c r="K831" s="6" t="n">
        <v>75</v>
      </c>
      <c r="L831" s="7" t="n">
        <v>46050</v>
      </c>
      <c r="M831" s="11" t="n">
        <v>46125</v>
      </c>
      <c r="N831" s="5" t="inlineStr">
        <is>
          <t>Approved</t>
        </is>
      </c>
      <c r="O831" s="5" t="inlineStr">
        <is>
          <t>Site</t>
        </is>
      </c>
      <c r="P831" s="5" t="inlineStr">
        <is>
          <t>United States</t>
        </is>
      </c>
      <c r="Q831" s="13" t="inlineStr">
        <is>
          <t>S10-US10234</t>
        </is>
      </c>
      <c r="R831" s="5" t="inlineStr">
        <is>
          <t>Aurora Barbera</t>
        </is>
      </c>
      <c r="S831" s="8" t="n">
        <v>46125.57400462963</v>
      </c>
    </row>
    <row r="832" hidden="1" ht="29" customHeight="1">
      <c r="A832" s="15">
        <f>HYPERLINK("https://vtmf.veevavault.com/ui/#doc_info/31440520/1/0", "VTMF-25368686")</f>
        <v/>
      </c>
      <c r="B832" s="20" t="inlineStr">
        <is>
          <t>Yes</t>
        </is>
      </c>
      <c r="C832" s="5" t="inlineStr">
        <is>
          <t>1.0</t>
        </is>
      </c>
      <c r="D832" s="5" t="inlineStr">
        <is>
          <t>GCO</t>
        </is>
      </c>
      <c r="E832" s="5" t="inlineStr">
        <is>
          <t>42847922MDD3003</t>
        </is>
      </c>
      <c r="F832" s="16">
        <f>HYPERLINK("https://vtmf.veevavault.com/ui/#doc_info/31440520/1/0", "42847922MDD3003-ARG-S10-AR10013-Relevant Communications-10 Feb 2026 (v1.0)")</f>
        <v/>
      </c>
      <c r="G832" s="5" t="inlineStr">
        <is>
          <t>Site Management</t>
        </is>
      </c>
      <c r="H832" s="5" t="inlineStr">
        <is>
          <t>General</t>
        </is>
      </c>
      <c r="I832" s="5" t="inlineStr">
        <is>
          <t>Relevant Communications</t>
        </is>
      </c>
      <c r="J832" s="5" t="inlineStr">
        <is>
          <t>Screening extension approved_S10-AR10013 Subject AR100130014</t>
        </is>
      </c>
      <c r="K832" s="6" t="n">
        <v>62</v>
      </c>
      <c r="L832" s="7" t="n">
        <v>46063</v>
      </c>
      <c r="M832" s="11" t="n">
        <v>46125</v>
      </c>
      <c r="N832" s="5" t="inlineStr">
        <is>
          <t>Approved</t>
        </is>
      </c>
      <c r="O832" s="5" t="inlineStr">
        <is>
          <t>Site</t>
        </is>
      </c>
      <c r="P832" s="5" t="inlineStr">
        <is>
          <t>Argentina</t>
        </is>
      </c>
      <c r="Q832" s="13" t="inlineStr">
        <is>
          <t>S10-AR10013</t>
        </is>
      </c>
      <c r="R832" s="5" t="inlineStr">
        <is>
          <t>Aurora Barbera</t>
        </is>
      </c>
      <c r="S832" s="8" t="n">
        <v>46125.57538194444</v>
      </c>
    </row>
    <row r="833" hidden="1" ht="29" customHeight="1">
      <c r="A833" s="15">
        <f>HYPERLINK("https://vtmf.veevavault.com/ui/#doc_info/31440615/1/0", "VTMF-25368695")</f>
        <v/>
      </c>
      <c r="B833" s="20" t="inlineStr">
        <is>
          <t>Yes</t>
        </is>
      </c>
      <c r="C833" s="5" t="inlineStr">
        <is>
          <t>1.0</t>
        </is>
      </c>
      <c r="D833" s="5" t="inlineStr">
        <is>
          <t>GCO</t>
        </is>
      </c>
      <c r="E833" s="5" t="inlineStr">
        <is>
          <t>42847922MDD3003</t>
        </is>
      </c>
      <c r="F833" s="16">
        <f>HYPERLINK("https://vtmf.veevavault.com/ui/#doc_info/31440615/1/0", "42847922MDD3003-USA-S10-US10188-Relevant Communications-12 Feb 2026 (v1.0)")</f>
        <v/>
      </c>
      <c r="G833" s="5" t="inlineStr">
        <is>
          <t>Site Management</t>
        </is>
      </c>
      <c r="H833" s="5" t="inlineStr">
        <is>
          <t>General</t>
        </is>
      </c>
      <c r="I833" s="5" t="inlineStr">
        <is>
          <t>Relevant Communications</t>
        </is>
      </c>
      <c r="J833" s="5" t="inlineStr">
        <is>
          <t>Eligibility approved_S10-US10188 Dr Rado Subject US101880009</t>
        </is>
      </c>
      <c r="K833" s="6" t="n">
        <v>60</v>
      </c>
      <c r="L833" s="7" t="n">
        <v>46065</v>
      </c>
      <c r="M833" s="11" t="n">
        <v>46125</v>
      </c>
      <c r="N833" s="5" t="inlineStr">
        <is>
          <t>Approved</t>
        </is>
      </c>
      <c r="O833" s="5" t="inlineStr">
        <is>
          <t>Site</t>
        </is>
      </c>
      <c r="P833" s="5" t="inlineStr">
        <is>
          <t>United States</t>
        </is>
      </c>
      <c r="Q833" s="13" t="inlineStr">
        <is>
          <t>S10-US10188</t>
        </is>
      </c>
      <c r="R833" s="5" t="inlineStr">
        <is>
          <t>Aurora Barbera</t>
        </is>
      </c>
      <c r="S833" s="8" t="n">
        <v>46125.57673611111</v>
      </c>
    </row>
    <row r="834" hidden="1" ht="29" customHeight="1">
      <c r="A834" s="15">
        <f>HYPERLINK("https://vtmf.veevavault.com/ui/#doc_info/31440651/1/0", "VTMF-25368770")</f>
        <v/>
      </c>
      <c r="B834" s="20" t="inlineStr">
        <is>
          <t>Yes</t>
        </is>
      </c>
      <c r="C834" s="5" t="inlineStr">
        <is>
          <t>1.0</t>
        </is>
      </c>
      <c r="D834" s="5" t="inlineStr">
        <is>
          <t>GCO</t>
        </is>
      </c>
      <c r="E834" s="5" t="inlineStr">
        <is>
          <t>42847922MDD3003</t>
        </is>
      </c>
      <c r="F834" s="16">
        <f>HYPERLINK("https://vtmf.veevavault.com/ui/#doc_info/31440651/1/0", "42847922MDD3003-POL-S10-PL10004-Relevant Communications-12 Feb 2026 (v1.0)")</f>
        <v/>
      </c>
      <c r="G834" s="5" t="inlineStr">
        <is>
          <t>Site Management</t>
        </is>
      </c>
      <c r="H834" s="5" t="inlineStr">
        <is>
          <t>General</t>
        </is>
      </c>
      <c r="I834" s="5" t="inlineStr">
        <is>
          <t>Relevant Communications</t>
        </is>
      </c>
      <c r="J834" s="5" t="inlineStr">
        <is>
          <t>Screening extension approved_S10-PL10004 Subject PL100040010</t>
        </is>
      </c>
      <c r="K834" s="6" t="n">
        <v>60</v>
      </c>
      <c r="L834" s="7" t="n">
        <v>46065</v>
      </c>
      <c r="M834" s="11" t="n">
        <v>46125</v>
      </c>
      <c r="N834" s="5" t="inlineStr">
        <is>
          <t>Approved</t>
        </is>
      </c>
      <c r="O834" s="5" t="inlineStr">
        <is>
          <t>Site</t>
        </is>
      </c>
      <c r="P834" s="5" t="inlineStr">
        <is>
          <t>Poland</t>
        </is>
      </c>
      <c r="Q834" s="13" t="inlineStr">
        <is>
          <t>S10-PL10004</t>
        </is>
      </c>
      <c r="R834" s="5" t="inlineStr">
        <is>
          <t>Aurora Barbera</t>
        </is>
      </c>
      <c r="S834" s="8" t="n">
        <v>46125.58513888889</v>
      </c>
    </row>
    <row r="835" hidden="1" ht="29" customHeight="1">
      <c r="A835" s="15">
        <f>HYPERLINK("https://vtmf.veevavault.com/ui/#doc_info/31440656/1/0", "VTMF-25368780")</f>
        <v/>
      </c>
      <c r="B835" s="20" t="inlineStr">
        <is>
          <t>Yes</t>
        </is>
      </c>
      <c r="C835" s="5" t="inlineStr">
        <is>
          <t>1.0</t>
        </is>
      </c>
      <c r="D835" s="5" t="inlineStr">
        <is>
          <t>GCO</t>
        </is>
      </c>
      <c r="E835" s="5" t="inlineStr">
        <is>
          <t>42847922MDD3003</t>
        </is>
      </c>
      <c r="F835" s="16">
        <f>HYPERLINK("https://vtmf.veevavault.com/ui/#doc_info/31440656/1/0", "42847922MDD3003-USA-S10-US10257-Relevant Communications-19 Feb 2026 (v1.0)")</f>
        <v/>
      </c>
      <c r="G835" s="5" t="inlineStr">
        <is>
          <t>Site Management</t>
        </is>
      </c>
      <c r="H835" s="5" t="inlineStr">
        <is>
          <t>General</t>
        </is>
      </c>
      <c r="I835" s="5" t="inlineStr">
        <is>
          <t>Relevant Communications</t>
        </is>
      </c>
      <c r="J835" s="5" t="inlineStr">
        <is>
          <t>Screening extension not approved_S10-US10257 Subject US102570015</t>
        </is>
      </c>
      <c r="K835" s="6" t="n">
        <v>53</v>
      </c>
      <c r="L835" s="7" t="n">
        <v>46072</v>
      </c>
      <c r="M835" s="11" t="n">
        <v>46125</v>
      </c>
      <c r="N835" s="5" t="inlineStr">
        <is>
          <t>Approved</t>
        </is>
      </c>
      <c r="O835" s="5" t="inlineStr">
        <is>
          <t>Site</t>
        </is>
      </c>
      <c r="P835" s="5" t="inlineStr">
        <is>
          <t>United States</t>
        </is>
      </c>
      <c r="Q835" s="13" t="inlineStr">
        <is>
          <t>S10-US10257</t>
        </is>
      </c>
      <c r="R835" s="5" t="inlineStr">
        <is>
          <t>Aurora Barbera</t>
        </is>
      </c>
      <c r="S835" s="8" t="n">
        <v>46125.58677083333</v>
      </c>
    </row>
    <row r="836" hidden="1" ht="29" customHeight="1">
      <c r="A836" s="15">
        <f>HYPERLINK("https://vtmf.veevavault.com/ui/#doc_info/31441035/1/0", "VTMF-25369077")</f>
        <v/>
      </c>
      <c r="B836" s="20" t="inlineStr">
        <is>
          <t>Yes</t>
        </is>
      </c>
      <c r="C836" s="5" t="inlineStr">
        <is>
          <t>1.0</t>
        </is>
      </c>
      <c r="D836" s="5" t="inlineStr">
        <is>
          <t>GCO</t>
        </is>
      </c>
      <c r="E836" s="5" t="inlineStr">
        <is>
          <t>42847922MDD3003</t>
        </is>
      </c>
      <c r="F836" s="16">
        <f>HYPERLINK("https://vtmf.veevavault.com/ui/#doc_info/31441035/1/0", "42847922MDD3003-ITA-S10-IT10007-Relevant Communications-19 Feb 2026 (v1.0)")</f>
        <v/>
      </c>
      <c r="G836" s="5" t="inlineStr">
        <is>
          <t>Site Management</t>
        </is>
      </c>
      <c r="H836" s="5" t="inlineStr">
        <is>
          <t>General</t>
        </is>
      </c>
      <c r="I836" s="5" t="inlineStr">
        <is>
          <t>Relevant Communications</t>
        </is>
      </c>
      <c r="J836" s="5" t="inlineStr">
        <is>
          <t>Screening extension approved_S10-IT10007 Subject IT100070008</t>
        </is>
      </c>
      <c r="K836" s="6" t="n">
        <v>53</v>
      </c>
      <c r="L836" s="7" t="n">
        <v>46072</v>
      </c>
      <c r="M836" s="11" t="n">
        <v>46125</v>
      </c>
      <c r="N836" s="5" t="inlineStr">
        <is>
          <t>Approved</t>
        </is>
      </c>
      <c r="O836" s="5" t="inlineStr">
        <is>
          <t>Site</t>
        </is>
      </c>
      <c r="P836" s="5" t="inlineStr">
        <is>
          <t>Italy</t>
        </is>
      </c>
      <c r="Q836" s="13" t="inlineStr">
        <is>
          <t>S10-IT10007</t>
        </is>
      </c>
      <c r="R836" s="5" t="inlineStr">
        <is>
          <t>Aurora Barbera</t>
        </is>
      </c>
      <c r="S836" s="8" t="n">
        <v>46125.63128472222</v>
      </c>
    </row>
    <row r="837" hidden="1" ht="29" customHeight="1">
      <c r="A837" s="15">
        <f>HYPERLINK("https://vtmf.veevavault.com/ui/#doc_info/31441045/1/0", "VTMF-25369092")</f>
        <v/>
      </c>
      <c r="B837" s="20" t="inlineStr">
        <is>
          <t>Yes</t>
        </is>
      </c>
      <c r="C837" s="5" t="inlineStr">
        <is>
          <t>1.0</t>
        </is>
      </c>
      <c r="D837" s="5" t="inlineStr">
        <is>
          <t>GCO</t>
        </is>
      </c>
      <c r="E837" s="5" t="inlineStr">
        <is>
          <t>42847922MDD3003</t>
        </is>
      </c>
      <c r="F837" s="16">
        <f>HYPERLINK("https://vtmf.veevavault.com/ui/#doc_info/31441045/1/0", "42847922MDD3003-USA-S10-US10257-Relevant Communications-19 Feb 2026 (v1.0)")</f>
        <v/>
      </c>
      <c r="G837" s="5" t="inlineStr">
        <is>
          <t>Site Management</t>
        </is>
      </c>
      <c r="H837" s="5" t="inlineStr">
        <is>
          <t>General</t>
        </is>
      </c>
      <c r="I837" s="5" t="inlineStr">
        <is>
          <t>Relevant Communications</t>
        </is>
      </c>
      <c r="J837" s="5" t="inlineStr">
        <is>
          <t>Screening extension approved_S10-US10257 Subject US102570020</t>
        </is>
      </c>
      <c r="K837" s="6" t="n">
        <v>53</v>
      </c>
      <c r="L837" s="7" t="n">
        <v>46072</v>
      </c>
      <c r="M837" s="11" t="n">
        <v>46125</v>
      </c>
      <c r="N837" s="5" t="inlineStr">
        <is>
          <t>Approved</t>
        </is>
      </c>
      <c r="O837" s="5" t="inlineStr">
        <is>
          <t>Site</t>
        </is>
      </c>
      <c r="P837" s="5" t="inlineStr">
        <is>
          <t>United States</t>
        </is>
      </c>
      <c r="Q837" s="13" t="inlineStr">
        <is>
          <t>S10-US10257</t>
        </is>
      </c>
      <c r="R837" s="5" t="inlineStr">
        <is>
          <t>Aurora Barbera</t>
        </is>
      </c>
      <c r="S837" s="8" t="n">
        <v>46125.63277777778</v>
      </c>
    </row>
    <row r="838" hidden="1" ht="29" customHeight="1">
      <c r="A838" s="15">
        <f>HYPERLINK("https://vtmf.veevavault.com/ui/#doc_info/31441049/1/0", "VTMF-25369100")</f>
        <v/>
      </c>
      <c r="B838" s="20" t="inlineStr">
        <is>
          <t>Yes</t>
        </is>
      </c>
      <c r="C838" s="5" t="inlineStr">
        <is>
          <t>1.0</t>
        </is>
      </c>
      <c r="D838" s="5" t="inlineStr">
        <is>
          <t>GCO</t>
        </is>
      </c>
      <c r="E838" s="5" t="inlineStr">
        <is>
          <t>42847922MDD3003</t>
        </is>
      </c>
      <c r="F838" s="16">
        <f>HYPERLINK("https://vtmf.veevavault.com/ui/#doc_info/31441049/1/0", "42847922MDD3003-USA-S10-US10006-Relevant Communications-20 Feb 2026 (v1.0)")</f>
        <v/>
      </c>
      <c r="G838" s="5" t="inlineStr">
        <is>
          <t>Site Management</t>
        </is>
      </c>
      <c r="H838" s="5" t="inlineStr">
        <is>
          <t>General</t>
        </is>
      </c>
      <c r="I838" s="5" t="inlineStr">
        <is>
          <t>Relevant Communications</t>
        </is>
      </c>
      <c r="J838" s="5" t="inlineStr">
        <is>
          <t>Screening extension approved_S10-US10006 Subject US100060005</t>
        </is>
      </c>
      <c r="K838" s="6" t="n">
        <v>52</v>
      </c>
      <c r="L838" s="7" t="n">
        <v>46073</v>
      </c>
      <c r="M838" s="11" t="n">
        <v>46125</v>
      </c>
      <c r="N838" s="5" t="inlineStr">
        <is>
          <t>Approved</t>
        </is>
      </c>
      <c r="O838" s="5" t="inlineStr">
        <is>
          <t>Site</t>
        </is>
      </c>
      <c r="P838" s="5" t="inlineStr">
        <is>
          <t>United States</t>
        </is>
      </c>
      <c r="Q838" s="13" t="inlineStr">
        <is>
          <t>S10-US10006</t>
        </is>
      </c>
      <c r="R838" s="5" t="inlineStr">
        <is>
          <t>Aurora Barbera</t>
        </is>
      </c>
      <c r="S838" s="8" t="n">
        <v>46125.63428240741</v>
      </c>
    </row>
    <row r="839" hidden="1" ht="29" customHeight="1">
      <c r="A839" s="15">
        <f>HYPERLINK("https://vtmf.veevavault.com/ui/#doc_info/31441059/1/0", "VTMF-25369115")</f>
        <v/>
      </c>
      <c r="B839" s="20" t="inlineStr">
        <is>
          <t>Yes</t>
        </is>
      </c>
      <c r="C839" s="5" t="inlineStr">
        <is>
          <t>1.0</t>
        </is>
      </c>
      <c r="D839" s="5" t="inlineStr">
        <is>
          <t>GCO</t>
        </is>
      </c>
      <c r="E839" s="5" t="inlineStr">
        <is>
          <t>42847922MDD3003</t>
        </is>
      </c>
      <c r="F839" s="16">
        <f>HYPERLINK("https://vtmf.veevavault.com/ui/#doc_info/31441059/1/0", "42847922MDD3003-USA-S10-US10049-Relevant Communications-13 Mar 2026 (v1.0)")</f>
        <v/>
      </c>
      <c r="G839" s="5" t="inlineStr">
        <is>
          <t>Site Management</t>
        </is>
      </c>
      <c r="H839" s="5" t="inlineStr">
        <is>
          <t>General</t>
        </is>
      </c>
      <c r="I839" s="5" t="inlineStr">
        <is>
          <t>Relevant Communications</t>
        </is>
      </c>
      <c r="J839" s="5" t="inlineStr">
        <is>
          <t>Screening extension approved_S10-US10049 Subject US100490008</t>
        </is>
      </c>
      <c r="K839" s="6" t="n">
        <v>31</v>
      </c>
      <c r="L839" s="7" t="n">
        <v>46094</v>
      </c>
      <c r="M839" s="11" t="n">
        <v>46125</v>
      </c>
      <c r="N839" s="5" t="inlineStr">
        <is>
          <t>Approved</t>
        </is>
      </c>
      <c r="O839" s="5" t="inlineStr">
        <is>
          <t>Site</t>
        </is>
      </c>
      <c r="P839" s="5" t="inlineStr">
        <is>
          <t>United States</t>
        </is>
      </c>
      <c r="Q839" s="13" t="inlineStr">
        <is>
          <t>S10-US10049</t>
        </is>
      </c>
      <c r="R839" s="5" t="inlineStr">
        <is>
          <t>Aurora Barbera</t>
        </is>
      </c>
      <c r="S839" s="8" t="n">
        <v>46125.63597222222</v>
      </c>
    </row>
    <row r="840" hidden="1" ht="29" customHeight="1">
      <c r="A840" s="15">
        <f>HYPERLINK("https://vtmf.veevavault.com/ui/#doc_info/31442088/1/0", "VTMF-25369947")</f>
        <v/>
      </c>
      <c r="B840" s="20" t="inlineStr">
        <is>
          <t>Yes</t>
        </is>
      </c>
      <c r="C840" s="5" t="inlineStr">
        <is>
          <t>1.0</t>
        </is>
      </c>
      <c r="D840" s="5" t="inlineStr">
        <is>
          <t>GCO</t>
        </is>
      </c>
      <c r="E840" s="5" t="inlineStr">
        <is>
          <t>42847922MDD3003</t>
        </is>
      </c>
      <c r="F840" s="16">
        <f>HYPERLINK("https://vtmf.veevavault.com/ui/#doc_info/31442088/1/0", "42847922MDD3003-USA-S10-US10148-Form FDA1572-30 Jan 2026 (v1.0)")</f>
        <v/>
      </c>
      <c r="G840" s="5" t="inlineStr">
        <is>
          <t>Site Management</t>
        </is>
      </c>
      <c r="H840" s="5" t="inlineStr">
        <is>
          <t>Site Set-up Documentation</t>
        </is>
      </c>
      <c r="I840" s="5" t="inlineStr">
        <is>
          <t>Form FDA1572</t>
        </is>
      </c>
      <c r="J840" s="5" t="inlineStr">
        <is>
          <t>1572_Revised</t>
        </is>
      </c>
      <c r="K840" s="6" t="n">
        <v>73</v>
      </c>
      <c r="L840" s="7" t="n">
        <v>46052</v>
      </c>
      <c r="M840" s="11" t="n">
        <v>46125</v>
      </c>
      <c r="N840" s="5" t="inlineStr">
        <is>
          <t>Approved</t>
        </is>
      </c>
      <c r="O840" s="5" t="inlineStr">
        <is>
          <t>Site</t>
        </is>
      </c>
      <c r="P840" s="5" t="inlineStr">
        <is>
          <t>United States</t>
        </is>
      </c>
      <c r="Q840" s="13" t="inlineStr">
        <is>
          <t>S10-US10148</t>
        </is>
      </c>
      <c r="R840" s="5" t="inlineStr">
        <is>
          <t>Daniel Woodland</t>
        </is>
      </c>
      <c r="S840" s="8" t="n">
        <v>46125.70127314814</v>
      </c>
    </row>
    <row r="841" hidden="1" ht="29" customHeight="1">
      <c r="A841" s="15">
        <f>HYPERLINK("https://vtmf.veevavault.com/ui/#doc_info/31442140/1/0", "VTMF-25370014")</f>
        <v/>
      </c>
      <c r="B841" s="20" t="inlineStr">
        <is>
          <t>Yes</t>
        </is>
      </c>
      <c r="C841" s="5" t="inlineStr">
        <is>
          <t>1.0</t>
        </is>
      </c>
      <c r="D841" s="5" t="inlineStr">
        <is>
          <t>GCO</t>
        </is>
      </c>
      <c r="E841" s="5" t="inlineStr">
        <is>
          <t>42847922MDD3003</t>
        </is>
      </c>
      <c r="F841" s="16">
        <f>HYPERLINK("https://vtmf.veevavault.com/ui/#doc_info/31442140/1/0", "42847922MDD3003-ARG-S10-AR10001-Relevant Communications-22 Dec 2025 (v1.0)")</f>
        <v/>
      </c>
      <c r="G841" s="5" t="inlineStr">
        <is>
          <t>Site Management</t>
        </is>
      </c>
      <c r="H841" s="5" t="inlineStr">
        <is>
          <t>General</t>
        </is>
      </c>
      <c r="I841" s="5" t="inlineStr">
        <is>
          <t>Relevant Communications</t>
        </is>
      </c>
      <c r="J841" s="5" t="inlineStr">
        <is>
          <t>Lamaison Subject AR100010022 Screening Period Extension Request _ APPROVED.</t>
        </is>
      </c>
      <c r="K841" s="6" t="n">
        <v>112</v>
      </c>
      <c r="L841" s="7" t="n">
        <v>46013</v>
      </c>
      <c r="M841" s="11" t="n">
        <v>46125</v>
      </c>
      <c r="N841" s="5" t="inlineStr">
        <is>
          <t>Approved</t>
        </is>
      </c>
      <c r="O841" s="5" t="inlineStr">
        <is>
          <t>Site</t>
        </is>
      </c>
      <c r="P841" s="5" t="inlineStr">
        <is>
          <t>Argentina</t>
        </is>
      </c>
      <c r="Q841" s="13" t="inlineStr">
        <is>
          <t>S10-AR10001</t>
        </is>
      </c>
      <c r="R841" s="5" t="inlineStr">
        <is>
          <t>Gina Stefanelli</t>
        </is>
      </c>
      <c r="S841" s="8" t="n">
        <v>46125.70967592593</v>
      </c>
    </row>
    <row r="842" hidden="1" ht="43.5" customHeight="1">
      <c r="A842" s="15">
        <f>HYPERLINK("https://vtmf.veevavault.com/ui/#doc_info/31442179/1/0", "VTMF-25370082")</f>
        <v/>
      </c>
      <c r="B842" s="20" t="inlineStr">
        <is>
          <t>Yes</t>
        </is>
      </c>
      <c r="C842" s="5" t="inlineStr">
        <is>
          <t>1.0</t>
        </is>
      </c>
      <c r="D842" s="5" t="inlineStr">
        <is>
          <t>GCO</t>
        </is>
      </c>
      <c r="E842" s="5" t="inlineStr">
        <is>
          <t>42847922MDD3003</t>
        </is>
      </c>
      <c r="F842" s="16">
        <f>HYPERLINK("https://vtmf.veevavault.com/ui/#doc_info/31442179/1/0", "42847922MDD3003-USA-S10-US10083-Relevant Communications-08 Oct 2025 (v1.0)")</f>
        <v/>
      </c>
      <c r="G842" s="5" t="inlineStr">
        <is>
          <t>Site Management</t>
        </is>
      </c>
      <c r="H842" s="5" t="inlineStr">
        <is>
          <t>General</t>
        </is>
      </c>
      <c r="I842" s="5" t="inlineStr">
        <is>
          <t>Relevant Communications</t>
        </is>
      </c>
      <c r="J842" s="5" t="inlineStr">
        <is>
          <t>PI_Wilson Cueva_ Site_S10-US10083_Subject_US100830010_IQVIA Eligibility Review_Approved.</t>
        </is>
      </c>
      <c r="K842" s="6" t="n">
        <v>187</v>
      </c>
      <c r="L842" s="7" t="n">
        <v>45938</v>
      </c>
      <c r="M842" s="11" t="n">
        <v>46125</v>
      </c>
      <c r="N842" s="5" t="inlineStr">
        <is>
          <t>Approved</t>
        </is>
      </c>
      <c r="O842" s="5" t="inlineStr">
        <is>
          <t>Site</t>
        </is>
      </c>
      <c r="P842" s="5" t="inlineStr">
        <is>
          <t>United States</t>
        </is>
      </c>
      <c r="Q842" s="13" t="inlineStr">
        <is>
          <t>S10-US10083</t>
        </is>
      </c>
      <c r="R842" s="5" t="inlineStr">
        <is>
          <t>Gina Stefanelli</t>
        </is>
      </c>
      <c r="S842" s="8" t="n">
        <v>46125.7141087963</v>
      </c>
    </row>
    <row r="843" hidden="1" ht="29" customHeight="1">
      <c r="A843" s="15">
        <f>HYPERLINK("https://vtmf.veevavault.com/ui/#doc_info/31442191/1/0", "VTMF-25370105")</f>
        <v/>
      </c>
      <c r="B843" s="20" t="inlineStr">
        <is>
          <t>Yes</t>
        </is>
      </c>
      <c r="C843" s="5" t="inlineStr">
        <is>
          <t>1.0</t>
        </is>
      </c>
      <c r="D843" s="5" t="inlineStr">
        <is>
          <t>GCO</t>
        </is>
      </c>
      <c r="E843" s="5" t="inlineStr">
        <is>
          <t>42847922MDD3003</t>
        </is>
      </c>
      <c r="F843" s="16">
        <f>HYPERLINK("https://vtmf.veevavault.com/ui/#doc_info/31442191/1/0", "42847922MDD3003-SVK-S10-SK10001-Relevant Communications-27 Aug 2025 (v1.0)")</f>
        <v/>
      </c>
      <c r="G843" s="5" t="inlineStr">
        <is>
          <t>Site Management</t>
        </is>
      </c>
      <c r="H843" s="5" t="inlineStr">
        <is>
          <t>General</t>
        </is>
      </c>
      <c r="I843" s="5" t="inlineStr">
        <is>
          <t>Relevant Communications</t>
        </is>
      </c>
      <c r="J843" s="5" t="inlineStr">
        <is>
          <t>S10-SK10001_ PI_ Dr Dagmar Breznoscakova _ Subject SK100010001_IQVIA Eligibility Review_ Approved</t>
        </is>
      </c>
      <c r="K843" s="6" t="n">
        <v>229</v>
      </c>
      <c r="L843" s="7" t="n">
        <v>45896</v>
      </c>
      <c r="M843" s="11" t="n">
        <v>46125</v>
      </c>
      <c r="N843" s="5" t="inlineStr">
        <is>
          <t>Approved</t>
        </is>
      </c>
      <c r="O843" s="5" t="inlineStr">
        <is>
          <t>Site</t>
        </is>
      </c>
      <c r="P843" s="5" t="inlineStr">
        <is>
          <t>Slovakia</t>
        </is>
      </c>
      <c r="Q843" s="13" t="inlineStr">
        <is>
          <t>S10-SK10001</t>
        </is>
      </c>
      <c r="R843" s="5" t="inlineStr">
        <is>
          <t>Gina Stefanelli</t>
        </is>
      </c>
      <c r="S843" s="8" t="n">
        <v>46125.71701388889</v>
      </c>
    </row>
    <row r="844" hidden="1" ht="58" customHeight="1">
      <c r="A844" s="15">
        <f>HYPERLINK("https://vtmf.veevavault.com/ui/#doc_info/31442402/1/0", "VTMF-25370131")</f>
        <v/>
      </c>
      <c r="B844" s="20" t="inlineStr">
        <is>
          <t>Yes</t>
        </is>
      </c>
      <c r="C844" s="5" t="inlineStr">
        <is>
          <t>1.0</t>
        </is>
      </c>
      <c r="D844" s="5" t="inlineStr">
        <is>
          <t>GCO</t>
        </is>
      </c>
      <c r="E844" s="5" t="inlineStr">
        <is>
          <t>42847922MDD3003</t>
        </is>
      </c>
      <c r="F844" s="16">
        <f>HYPERLINK("https://vtmf.veevavault.com/ui/#doc_info/31442402/1/0", "42847922MDD3003-ESP-S10-ES10003-Relevant Communications-06 Aug 2025 (v1.0)")</f>
        <v/>
      </c>
      <c r="G844" s="5" t="inlineStr">
        <is>
          <t>Site Management</t>
        </is>
      </c>
      <c r="H844" s="5" t="inlineStr">
        <is>
          <t>General</t>
        </is>
      </c>
      <c r="I844" s="5" t="inlineStr">
        <is>
          <t>Relevant Communications</t>
        </is>
      </c>
      <c r="J844" s="5" t="inlineStr">
        <is>
          <t>PI_Dr Elena Ros Cucurull _ Site_S10-ES10003_Subject_ES100030007_Subject enrolled without MDR approval_ Post randomization Eligibility Status</t>
        </is>
      </c>
      <c r="K844" s="6" t="n">
        <v>250</v>
      </c>
      <c r="L844" s="7" t="n">
        <v>45875</v>
      </c>
      <c r="M844" s="11" t="n">
        <v>46125</v>
      </c>
      <c r="N844" s="5" t="inlineStr">
        <is>
          <t>Approved</t>
        </is>
      </c>
      <c r="O844" s="5" t="inlineStr">
        <is>
          <t>Site</t>
        </is>
      </c>
      <c r="P844" s="5" t="inlineStr">
        <is>
          <t>Spain</t>
        </is>
      </c>
      <c r="Q844" s="13" t="inlineStr">
        <is>
          <t>S10-ES10003</t>
        </is>
      </c>
      <c r="R844" s="5" t="inlineStr">
        <is>
          <t>Gina Stefanelli</t>
        </is>
      </c>
      <c r="S844" s="8" t="n">
        <v>46125.71908564815</v>
      </c>
    </row>
    <row r="845" hidden="1" ht="43.5" customHeight="1">
      <c r="A845" s="15">
        <f>HYPERLINK("https://vtmf.veevavault.com/ui/#doc_info/31442476/1/0", "VTMF-25370219")</f>
        <v/>
      </c>
      <c r="B845" s="20" t="inlineStr">
        <is>
          <t>Yes</t>
        </is>
      </c>
      <c r="C845" s="5" t="inlineStr">
        <is>
          <t>1.0</t>
        </is>
      </c>
      <c r="D845" s="5" t="inlineStr">
        <is>
          <t>GCO</t>
        </is>
      </c>
      <c r="E845" s="5" t="inlineStr">
        <is>
          <t>42847922MDD3003</t>
        </is>
      </c>
      <c r="F845" s="16">
        <f>HYPERLINK("https://vtmf.veevavault.com/ui/#doc_info/31442476/1/0", "42847922MDD3003-ARG-S10-AR10014-Relevant Communications-06 Aug 2025 (v1.0)")</f>
        <v/>
      </c>
      <c r="G845" s="5" t="inlineStr">
        <is>
          <t>Site Management</t>
        </is>
      </c>
      <c r="H845" s="5" t="inlineStr">
        <is>
          <t>General</t>
        </is>
      </c>
      <c r="I845" s="5" t="inlineStr">
        <is>
          <t>Relevant Communications</t>
        </is>
      </c>
      <c r="J845" s="5" t="inlineStr">
        <is>
          <t>PI_ Dr Mariano Buteler _ Site_S10-AR10014_Subject_AR100140014_IQVIA Eligibility Review_Approved</t>
        </is>
      </c>
      <c r="K845" s="6" t="n">
        <v>250</v>
      </c>
      <c r="L845" s="7" t="n">
        <v>45875</v>
      </c>
      <c r="M845" s="11" t="n">
        <v>46125</v>
      </c>
      <c r="N845" s="5" t="inlineStr">
        <is>
          <t>Approved</t>
        </is>
      </c>
      <c r="O845" s="5" t="inlineStr">
        <is>
          <t>Site</t>
        </is>
      </c>
      <c r="P845" s="5" t="inlineStr">
        <is>
          <t>Argentina</t>
        </is>
      </c>
      <c r="Q845" s="13" t="inlineStr">
        <is>
          <t>S10-AR10014</t>
        </is>
      </c>
      <c r="R845" s="5" t="inlineStr">
        <is>
          <t>Gina Stefanelli</t>
        </is>
      </c>
      <c r="S845" s="8" t="n">
        <v>46125.72278935185</v>
      </c>
    </row>
    <row r="846" hidden="1" ht="43.5" customHeight="1">
      <c r="A846" s="15">
        <f>HYPERLINK("https://vtmf.veevavault.com/ui/#doc_info/31442485/1/0", "VTMF-25370231")</f>
        <v/>
      </c>
      <c r="B846" s="20" t="inlineStr">
        <is>
          <t>Yes</t>
        </is>
      </c>
      <c r="C846" s="5" t="inlineStr">
        <is>
          <t>1.0</t>
        </is>
      </c>
      <c r="D846" s="5" t="inlineStr">
        <is>
          <t>GCO</t>
        </is>
      </c>
      <c r="E846" s="5" t="inlineStr">
        <is>
          <t>42847922MDD3003</t>
        </is>
      </c>
      <c r="F846" s="16">
        <f>HYPERLINK("https://vtmf.veevavault.com/ui/#doc_info/31442485/1/0", "42847922MDD3003-MEX-S10-MX10008-Relevant Communications-06 Aug 2025 (v1.0)")</f>
        <v/>
      </c>
      <c r="G846" s="5" t="inlineStr">
        <is>
          <t>Site Management</t>
        </is>
      </c>
      <c r="H846" s="5" t="inlineStr">
        <is>
          <t>General</t>
        </is>
      </c>
      <c r="I846" s="5" t="inlineStr">
        <is>
          <t>Relevant Communications</t>
        </is>
      </c>
      <c r="J846" s="5" t="inlineStr">
        <is>
          <t>PI_ Dr Jose Alfonso Ontiveros Sanchez _ Site_S10-MX10008_Subject_MX100080004_IQVIA Eligibility Review_Approved</t>
        </is>
      </c>
      <c r="K846" s="6" t="n">
        <v>250</v>
      </c>
      <c r="L846" s="7" t="n">
        <v>45875</v>
      </c>
      <c r="M846" s="11" t="n">
        <v>46125</v>
      </c>
      <c r="N846" s="5" t="inlineStr">
        <is>
          <t>Approved</t>
        </is>
      </c>
      <c r="O846" s="5" t="inlineStr">
        <is>
          <t>Site</t>
        </is>
      </c>
      <c r="P846" s="5" t="inlineStr">
        <is>
          <t>Mexico</t>
        </is>
      </c>
      <c r="Q846" s="13" t="inlineStr">
        <is>
          <t>S10-MX10008</t>
        </is>
      </c>
      <c r="R846" s="5" t="inlineStr">
        <is>
          <t>Gina Stefanelli</t>
        </is>
      </c>
      <c r="S846" s="8" t="n">
        <v>46125.7247337963</v>
      </c>
    </row>
    <row r="847" hidden="1" ht="29" customHeight="1">
      <c r="A847" s="15">
        <f>HYPERLINK("https://vtmf.veevavault.com/ui/#doc_info/31442498/1/0", "VTMF-25370257")</f>
        <v/>
      </c>
      <c r="B847" s="20" t="inlineStr">
        <is>
          <t>Yes</t>
        </is>
      </c>
      <c r="C847" s="5" t="inlineStr">
        <is>
          <t>1.0</t>
        </is>
      </c>
      <c r="D847" s="5" t="inlineStr">
        <is>
          <t>GCO</t>
        </is>
      </c>
      <c r="E847" s="5" t="inlineStr">
        <is>
          <t>42847922MDD3003</t>
        </is>
      </c>
      <c r="F847" s="16">
        <f>HYPERLINK("https://vtmf.veevavault.com/ui/#doc_info/31442498/1/0", "42847922MDD3003-BRA-S10-BR10003-Relevant Communications-05 Aug 2025 (v1.0)")</f>
        <v/>
      </c>
      <c r="G847" s="5" t="inlineStr">
        <is>
          <t>Site Management</t>
        </is>
      </c>
      <c r="H847" s="5" t="inlineStr">
        <is>
          <t>General</t>
        </is>
      </c>
      <c r="I847" s="5" t="inlineStr">
        <is>
          <t>Relevant Communications</t>
        </is>
      </c>
      <c r="J847" s="5" t="inlineStr">
        <is>
          <t>PI - Eduardo Freire Vasconcellos_Site ID_ S10-BR10003- BR100030003_IQVIA Eligibility Review_Approved.</t>
        </is>
      </c>
      <c r="K847" s="6" t="n">
        <v>251</v>
      </c>
      <c r="L847" s="7" t="n">
        <v>45874</v>
      </c>
      <c r="M847" s="11" t="n">
        <v>46125</v>
      </c>
      <c r="N847" s="5" t="inlineStr">
        <is>
          <t>Approved</t>
        </is>
      </c>
      <c r="O847" s="5" t="inlineStr">
        <is>
          <t>Site</t>
        </is>
      </c>
      <c r="P847" s="5" t="inlineStr">
        <is>
          <t>Brazil</t>
        </is>
      </c>
      <c r="Q847" s="13" t="inlineStr">
        <is>
          <t>S10-BR10003</t>
        </is>
      </c>
      <c r="R847" s="5" t="inlineStr">
        <is>
          <t>Gina Stefanelli</t>
        </is>
      </c>
      <c r="S847" s="8" t="n">
        <v>46125.72728009259</v>
      </c>
    </row>
    <row r="848" hidden="1" ht="43.5" customHeight="1">
      <c r="A848" s="15">
        <f>HYPERLINK("https://vtmf.veevavault.com/ui/#doc_info/31442605/1/0", "VTMF-25370283")</f>
        <v/>
      </c>
      <c r="B848" s="20" t="inlineStr">
        <is>
          <t>Yes</t>
        </is>
      </c>
      <c r="C848" s="5" t="inlineStr">
        <is>
          <t>1.0</t>
        </is>
      </c>
      <c r="D848" s="5" t="inlineStr">
        <is>
          <t>GCO</t>
        </is>
      </c>
      <c r="E848" s="5" t="inlineStr">
        <is>
          <t>42847922MDD3003</t>
        </is>
      </c>
      <c r="F848" s="16">
        <f>HYPERLINK("https://vtmf.veevavault.com/ui/#doc_info/31442605/1/0", "42847922MDD3003-ARG-S10-AR10012-Relevant Communications-05 Aug 2025 (v1.0)")</f>
        <v/>
      </c>
      <c r="G848" s="5" t="inlineStr">
        <is>
          <t>Site Management</t>
        </is>
      </c>
      <c r="H848" s="5" t="inlineStr">
        <is>
          <t>General</t>
        </is>
      </c>
      <c r="I848" s="5" t="inlineStr">
        <is>
          <t>Relevant Communications</t>
        </is>
      </c>
      <c r="J848" s="5" t="inlineStr">
        <is>
          <t>_PI_ Dr Christian Maria Rosa Lupo _ Site_S10-AR10012_Subject_AR100120011_IQVIA Eligibility Review_Approved.</t>
        </is>
      </c>
      <c r="K848" s="6" t="n">
        <v>251</v>
      </c>
      <c r="L848" s="7" t="n">
        <v>45874</v>
      </c>
      <c r="M848" s="11" t="n">
        <v>46125</v>
      </c>
      <c r="N848" s="5" t="inlineStr">
        <is>
          <t>Approved</t>
        </is>
      </c>
      <c r="O848" s="5" t="inlineStr">
        <is>
          <t>Site</t>
        </is>
      </c>
      <c r="P848" s="5" t="inlineStr">
        <is>
          <t>Argentina</t>
        </is>
      </c>
      <c r="Q848" s="13" t="inlineStr">
        <is>
          <t>S10-AR10012</t>
        </is>
      </c>
      <c r="R848" s="5" t="inlineStr">
        <is>
          <t>Gina Stefanelli</t>
        </is>
      </c>
      <c r="S848" s="8" t="n">
        <v>46125.72954861111</v>
      </c>
    </row>
    <row r="849" hidden="1" ht="43.5" customHeight="1">
      <c r="A849" s="15">
        <f>HYPERLINK("https://vtmf.veevavault.com/ui/#doc_info/31442538/1/0", "VTMF-25370327")</f>
        <v/>
      </c>
      <c r="B849" s="20" t="inlineStr">
        <is>
          <t>Yes</t>
        </is>
      </c>
      <c r="C849" s="5" t="inlineStr">
        <is>
          <t>1.0</t>
        </is>
      </c>
      <c r="D849" s="5" t="inlineStr">
        <is>
          <t>GCO</t>
        </is>
      </c>
      <c r="E849" s="5" t="inlineStr">
        <is>
          <t>42847922MDD3003</t>
        </is>
      </c>
      <c r="F849" s="16">
        <f>HYPERLINK("https://vtmf.veevavault.com/ui/#doc_info/31442538/1/0", "42847922MDD3003-USA-S10-US10064-Relevant Communications-17 Jul 2025 (v1.0)")</f>
        <v/>
      </c>
      <c r="G849" s="5" t="inlineStr">
        <is>
          <t>Site Management</t>
        </is>
      </c>
      <c r="H849" s="5" t="inlineStr">
        <is>
          <t>General</t>
        </is>
      </c>
      <c r="I849" s="5" t="inlineStr">
        <is>
          <t>Relevant Communications</t>
        </is>
      </c>
      <c r="J849" s="5" t="inlineStr">
        <is>
          <t>PI_ Dr. Jorge Venereo_ Site_S10-US10064_Subject_US100640030_IQVIA Eligibility Review_Approve</t>
        </is>
      </c>
      <c r="K849" s="6" t="n">
        <v>270</v>
      </c>
      <c r="L849" s="7" t="n">
        <v>45855</v>
      </c>
      <c r="M849" s="11" t="n">
        <v>46125</v>
      </c>
      <c r="N849" s="5" t="inlineStr">
        <is>
          <t>Approved</t>
        </is>
      </c>
      <c r="O849" s="5" t="inlineStr">
        <is>
          <t>Site</t>
        </is>
      </c>
      <c r="P849" s="5" t="inlineStr">
        <is>
          <t>United States</t>
        </is>
      </c>
      <c r="Q849" s="13" t="inlineStr">
        <is>
          <t>S10-US10064</t>
        </is>
      </c>
      <c r="R849" s="5" t="inlineStr">
        <is>
          <t>Gina Stefanelli</t>
        </is>
      </c>
      <c r="S849" s="8" t="n">
        <v>46125.7328587963</v>
      </c>
    </row>
    <row r="850" hidden="1" ht="43.5" customHeight="1">
      <c r="A850" s="15">
        <f>HYPERLINK("https://vtmf.veevavault.com/ui/#doc_info/31442553/1/0", "VTMF-25370358")</f>
        <v/>
      </c>
      <c r="B850" s="20" t="inlineStr">
        <is>
          <t>Yes</t>
        </is>
      </c>
      <c r="C850" s="5" t="inlineStr">
        <is>
          <t>1.0</t>
        </is>
      </c>
      <c r="D850" s="5" t="inlineStr">
        <is>
          <t>GCO</t>
        </is>
      </c>
      <c r="E850" s="5" t="inlineStr">
        <is>
          <t>42847922MDD3003</t>
        </is>
      </c>
      <c r="F850" s="16">
        <f>HYPERLINK("https://vtmf.veevavault.com/ui/#doc_info/31442553/1/0", "42847922MDD3003-USA-S10-US10212-Relevant Communications-17 Jul 2025 (v1.0)")</f>
        <v/>
      </c>
      <c r="G850" s="5" t="inlineStr">
        <is>
          <t>Site Management</t>
        </is>
      </c>
      <c r="H850" s="5" t="inlineStr">
        <is>
          <t>General</t>
        </is>
      </c>
      <c r="I850" s="5" t="inlineStr">
        <is>
          <t>Relevant Communications</t>
        </is>
      </c>
      <c r="J850" s="5" t="inlineStr">
        <is>
          <t>PI_ Dr. Mustafa Zaidi_ Site_US10212_Subject_US102120015_IQVIA Eligibility Review_Approved</t>
        </is>
      </c>
      <c r="K850" s="6" t="n">
        <v>270</v>
      </c>
      <c r="L850" s="7" t="n">
        <v>45855</v>
      </c>
      <c r="M850" s="11" t="n">
        <v>46125</v>
      </c>
      <c r="N850" s="5" t="inlineStr">
        <is>
          <t>Approved</t>
        </is>
      </c>
      <c r="O850" s="5" t="inlineStr">
        <is>
          <t>Site</t>
        </is>
      </c>
      <c r="P850" s="5" t="inlineStr">
        <is>
          <t>United States</t>
        </is>
      </c>
      <c r="Q850" s="13" t="inlineStr">
        <is>
          <t>S10-US10212</t>
        </is>
      </c>
      <c r="R850" s="5" t="inlineStr">
        <is>
          <t>Gina Stefanelli</t>
        </is>
      </c>
      <c r="S850" s="8" t="n">
        <v>46125.73512731482</v>
      </c>
    </row>
    <row r="851" hidden="1" ht="29" customHeight="1">
      <c r="A851" s="15">
        <f>HYPERLINK("https://vtmf.veevavault.com/ui/#doc_info/31442697/1/0", "VTMF-25370472")</f>
        <v/>
      </c>
      <c r="B851" s="19" t="inlineStr">
        <is>
          <t>No</t>
        </is>
      </c>
      <c r="C851" s="5" t="inlineStr">
        <is>
          <t>1.0</t>
        </is>
      </c>
      <c r="D851" s="5" t="inlineStr">
        <is>
          <t>GCO</t>
        </is>
      </c>
      <c r="E851" s="5" t="inlineStr">
        <is>
          <t>42847922MDD3003</t>
        </is>
      </c>
      <c r="F851" s="16">
        <f>HYPERLINK("https://vtmf.veevavault.com/ui/#doc_info/31442697/1/0", "42847922MDD3003-USA-S10-US10148-Sub-Investigator Curriculum Vitae-02 Jan 2026 (v1.0)")</f>
        <v/>
      </c>
      <c r="G851" s="5" t="inlineStr">
        <is>
          <t>Site Management</t>
        </is>
      </c>
      <c r="H851" s="5" t="inlineStr">
        <is>
          <t>Site Set-up Documentation</t>
        </is>
      </c>
      <c r="I851" s="5" t="inlineStr">
        <is>
          <t>Sub-Investigator Curriculum Vitae</t>
        </is>
      </c>
      <c r="J851" s="5" t="inlineStr">
        <is>
          <t>Sub-I CV_English_Sifontes, H_Initial</t>
        </is>
      </c>
      <c r="K851" s="6" t="n">
        <v>101</v>
      </c>
      <c r="L851" s="7" t="n">
        <v>46024</v>
      </c>
      <c r="M851" s="11" t="n">
        <v>46125</v>
      </c>
      <c r="N851" s="5" t="inlineStr">
        <is>
          <t>Approved</t>
        </is>
      </c>
      <c r="O851" s="5" t="inlineStr">
        <is>
          <t>Site</t>
        </is>
      </c>
      <c r="P851" s="5" t="inlineStr">
        <is>
          <t>United States</t>
        </is>
      </c>
      <c r="Q851" s="13" t="inlineStr">
        <is>
          <t>S10-US10148</t>
        </is>
      </c>
      <c r="R851" s="5" t="inlineStr">
        <is>
          <t>Daniel Woodland</t>
        </is>
      </c>
      <c r="S851" s="8" t="n">
        <v>46125.74878472222</v>
      </c>
    </row>
    <row r="852" hidden="1" ht="29" customHeight="1">
      <c r="A852" s="15">
        <f>HYPERLINK("https://vtmf.veevavault.com/ui/#doc_info/31443326/1/0", "VTMF-25370902")</f>
        <v/>
      </c>
      <c r="B852" s="20" t="inlineStr">
        <is>
          <t>Yes</t>
        </is>
      </c>
      <c r="C852" s="5" t="inlineStr">
        <is>
          <t>1.0</t>
        </is>
      </c>
      <c r="D852" s="5" t="inlineStr">
        <is>
          <t>GCO</t>
        </is>
      </c>
      <c r="E852" s="5" t="inlineStr">
        <is>
          <t>42847922MDD3003</t>
        </is>
      </c>
      <c r="F852" s="16">
        <f>HYPERLINK("https://vtmf.veevavault.com/ui/#doc_info/31443326/1/0", "42847922MDD3003-BRA-S10-BR10004-IRB/IEC Approval-26 Feb 2026 (v1.0)")</f>
        <v/>
      </c>
      <c r="G852" s="5" t="inlineStr">
        <is>
          <t>IRB/IEC and other Approvals</t>
        </is>
      </c>
      <c r="H852" s="5" t="inlineStr">
        <is>
          <t>IRB/IEC Trial Approval</t>
        </is>
      </c>
      <c r="I852" s="5" t="inlineStr">
        <is>
          <t>IRB/IEC Approval</t>
        </is>
      </c>
      <c r="J852" s="5" t="inlineStr">
        <is>
          <t>Local IRB_Non acceptance of partial report 
semiannually; 26feb2026</t>
        </is>
      </c>
      <c r="K852" s="6" t="n">
        <v>46</v>
      </c>
      <c r="L852" s="7" t="n">
        <v>46079</v>
      </c>
      <c r="M852" s="11" t="n">
        <v>46125</v>
      </c>
      <c r="N852" s="5" t="inlineStr">
        <is>
          <t>Approved</t>
        </is>
      </c>
      <c r="O852" s="5" t="inlineStr">
        <is>
          <t>Site</t>
        </is>
      </c>
      <c r="P852" s="5" t="inlineStr">
        <is>
          <t>Brazil</t>
        </is>
      </c>
      <c r="Q852" s="13" t="inlineStr">
        <is>
          <t>S10-BR10004</t>
        </is>
      </c>
      <c r="R852" s="5" t="inlineStr">
        <is>
          <t>Briellen Santos</t>
        </is>
      </c>
      <c r="S852" s="8" t="n">
        <v>46125.8052662037</v>
      </c>
    </row>
    <row r="853" hidden="1" ht="29" customHeight="1">
      <c r="A853" s="15">
        <f>HYPERLINK("https://vtmf.veevavault.com/ui/#doc_info/31443421/1/0", "VTMF-25371020")</f>
        <v/>
      </c>
      <c r="B853" s="20" t="inlineStr">
        <is>
          <t>Yes</t>
        </is>
      </c>
      <c r="C853" s="5" t="inlineStr">
        <is>
          <t>1.0</t>
        </is>
      </c>
      <c r="D853" s="5" t="inlineStr">
        <is>
          <t>GCO</t>
        </is>
      </c>
      <c r="E853" s="5" t="inlineStr">
        <is>
          <t>42847922MDD3003</t>
        </is>
      </c>
      <c r="F853" s="16">
        <f>HYPERLINK("https://vtmf.veevavault.com/ui/#doc_info/31443421/1/0", "42847922MDD3003-BRA-S10-BR10006-IRB/IEC Progress Report-10 Dec 2025 (v1.0)")</f>
        <v/>
      </c>
      <c r="G853" s="5" t="inlineStr">
        <is>
          <t>IRB/IEC and other Approvals</t>
        </is>
      </c>
      <c r="H853" s="5" t="inlineStr">
        <is>
          <t>Trial Status Reporting</t>
        </is>
      </c>
      <c r="I853" s="5" t="inlineStr">
        <is>
          <t>IRB/IEC Progress Report</t>
        </is>
      </c>
      <c r="J853" s="5" t="inlineStr">
        <is>
          <t>Local IRB_Notification letter_final report; 10dec2025</t>
        </is>
      </c>
      <c r="K853" s="6" t="n">
        <v>124</v>
      </c>
      <c r="L853" s="7" t="n">
        <v>46001</v>
      </c>
      <c r="M853" s="11" t="n">
        <v>46125</v>
      </c>
      <c r="N853" s="5" t="inlineStr">
        <is>
          <t>Approved</t>
        </is>
      </c>
      <c r="O853" s="5" t="inlineStr">
        <is>
          <t>Site</t>
        </is>
      </c>
      <c r="P853" s="5" t="inlineStr">
        <is>
          <t>Brazil</t>
        </is>
      </c>
      <c r="Q853" s="13" t="inlineStr">
        <is>
          <t>S10-BR10006</t>
        </is>
      </c>
      <c r="R853" s="5" t="inlineStr">
        <is>
          <t>Briellen Santos</t>
        </is>
      </c>
      <c r="S853" s="8" t="n">
        <v>46125.82246527778</v>
      </c>
    </row>
    <row r="854" hidden="1" ht="43.5" customHeight="1">
      <c r="A854" s="15">
        <f>HYPERLINK("https://vtmf.veevavault.com/ui/#doc_info/31443461/1/0", "VTMF-25371079")</f>
        <v/>
      </c>
      <c r="B854" s="20" t="inlineStr">
        <is>
          <t>Yes</t>
        </is>
      </c>
      <c r="C854" s="5" t="inlineStr">
        <is>
          <t>1.0</t>
        </is>
      </c>
      <c r="D854" s="5" t="inlineStr">
        <is>
          <t>GCO</t>
        </is>
      </c>
      <c r="E854" s="5" t="inlineStr">
        <is>
          <t>42847922MDD3003</t>
        </is>
      </c>
      <c r="F854" s="16">
        <f>HYPERLINK("https://vtmf.veevavault.com/ui/#doc_info/31443461/1/0", "42847922MDD3003-USA-S10-US10040-Relevant Communications-14 Jul 2025 (v1.0)")</f>
        <v/>
      </c>
      <c r="G854" s="5" t="inlineStr">
        <is>
          <t>Site Management</t>
        </is>
      </c>
      <c r="H854" s="5" t="inlineStr">
        <is>
          <t>General</t>
        </is>
      </c>
      <c r="I854" s="5" t="inlineStr">
        <is>
          <t>Relevant Communications</t>
        </is>
      </c>
      <c r="J854" s="5" t="inlineStr">
        <is>
          <t>PI_ Dr_ Daniel Rutrick _ Site S10-US10040_Subject_US100400023 _IQVIA Eligibility Review_Approved</t>
        </is>
      </c>
      <c r="K854" s="6" t="n">
        <v>273</v>
      </c>
      <c r="L854" s="7" t="n">
        <v>45852</v>
      </c>
      <c r="M854" s="11" t="n">
        <v>46125</v>
      </c>
      <c r="N854" s="5" t="inlineStr">
        <is>
          <t>Approved</t>
        </is>
      </c>
      <c r="O854" s="5" t="inlineStr">
        <is>
          <t>Site</t>
        </is>
      </c>
      <c r="P854" s="5" t="inlineStr">
        <is>
          <t>United States</t>
        </is>
      </c>
      <c r="Q854" s="13" t="inlineStr">
        <is>
          <t>S10-US10040</t>
        </is>
      </c>
      <c r="R854" s="5" t="inlineStr">
        <is>
          <t>Debhora Garcia</t>
        </is>
      </c>
      <c r="S854" s="8" t="n">
        <v>46125.83699074074</v>
      </c>
    </row>
    <row r="855" hidden="1" ht="29" customHeight="1">
      <c r="A855" s="15">
        <f>HYPERLINK("https://vtmf.veevavault.com/ui/#doc_info/31443517/1/0", "VTMF-25371137")</f>
        <v/>
      </c>
      <c r="B855" s="20" t="inlineStr">
        <is>
          <t>Yes</t>
        </is>
      </c>
      <c r="C855" s="5" t="inlineStr">
        <is>
          <t>1.0</t>
        </is>
      </c>
      <c r="D855" s="5" t="inlineStr">
        <is>
          <t>GCO</t>
        </is>
      </c>
      <c r="E855" s="5" t="inlineStr">
        <is>
          <t>42847922MDD3003</t>
        </is>
      </c>
      <c r="F855" s="16">
        <f>HYPERLINK("https://vtmf.veevavault.com/ui/#doc_info/31443517/1/0", "42847922MDD3003-SVK-S10-SK10003-Relevant Communications-16 Jul 2025 (v1.0)")</f>
        <v/>
      </c>
      <c r="G855" s="5" t="inlineStr">
        <is>
          <t>Site Management</t>
        </is>
      </c>
      <c r="H855" s="5" t="inlineStr">
        <is>
          <t>General</t>
        </is>
      </c>
      <c r="I855" s="5" t="inlineStr">
        <is>
          <t>Relevant Communications</t>
        </is>
      </c>
      <c r="J855" s="5" t="inlineStr">
        <is>
          <t>PI_ S10-SK10003_PI Abdul Shinwari _Subject SK100030001_IQVIA Eligibility Review_Approved</t>
        </is>
      </c>
      <c r="K855" s="6" t="n">
        <v>271</v>
      </c>
      <c r="L855" s="7" t="n">
        <v>45854</v>
      </c>
      <c r="M855" s="11" t="n">
        <v>46125</v>
      </c>
      <c r="N855" s="5" t="inlineStr">
        <is>
          <t>Approved</t>
        </is>
      </c>
      <c r="O855" s="5" t="inlineStr">
        <is>
          <t>Site</t>
        </is>
      </c>
      <c r="P855" s="5" t="inlineStr">
        <is>
          <t>Slovakia</t>
        </is>
      </c>
      <c r="Q855" s="13" t="inlineStr">
        <is>
          <t>S10-SK10003</t>
        </is>
      </c>
      <c r="R855" s="5" t="inlineStr">
        <is>
          <t>Debhora Garcia</t>
        </is>
      </c>
      <c r="S855" s="8" t="n">
        <v>46125.84402777778</v>
      </c>
    </row>
    <row r="856" hidden="1" ht="29" customHeight="1">
      <c r="A856" s="15">
        <f>HYPERLINK("https://vtmf.veevavault.com/ui/#doc_info/31422005/1/0", "VTMF-25372628")</f>
        <v/>
      </c>
      <c r="B856" s="20" t="inlineStr">
        <is>
          <t>Yes</t>
        </is>
      </c>
      <c r="C856" s="5" t="inlineStr">
        <is>
          <t>1.0</t>
        </is>
      </c>
      <c r="D856" s="5" t="inlineStr">
        <is>
          <t>GCO</t>
        </is>
      </c>
      <c r="E856" s="5" t="inlineStr">
        <is>
          <t>42847922MDD3003</t>
        </is>
      </c>
      <c r="F856" s="16">
        <f>HYPERLINK("https://vtmf.veevavault.com/ui/#doc_info/31422005/1/0", "42847922MDD3003-ARG-S10-AR10012-IRB/IEC Progress Report-03 Mar 2026 (v1.0)")</f>
        <v/>
      </c>
      <c r="G856" s="5" t="inlineStr">
        <is>
          <t>IRB/IEC and other Approvals</t>
        </is>
      </c>
      <c r="H856" s="5" t="inlineStr">
        <is>
          <t>Trial Status Reporting</t>
        </is>
      </c>
      <c r="I856" s="5" t="inlineStr">
        <is>
          <t>IRB/IEC Progress Report</t>
        </is>
      </c>
      <c r="J856" s="5" t="inlineStr">
        <is>
          <t>Progress report Lupo</t>
        </is>
      </c>
      <c r="K856" s="6" t="n">
        <v>41</v>
      </c>
      <c r="L856" s="7" t="n">
        <v>46084</v>
      </c>
      <c r="M856" s="11" t="n">
        <v>46125</v>
      </c>
      <c r="N856" s="5" t="inlineStr">
        <is>
          <t>Approved</t>
        </is>
      </c>
      <c r="O856" s="5" t="inlineStr">
        <is>
          <t>Site</t>
        </is>
      </c>
      <c r="P856" s="5" t="inlineStr">
        <is>
          <t>Argentina</t>
        </is>
      </c>
      <c r="Q856" s="13" t="inlineStr">
        <is>
          <t>S10-AR10012</t>
        </is>
      </c>
      <c r="R856" s="5" t="inlineStr">
        <is>
          <t>LEANDRO LOPEZ</t>
        </is>
      </c>
      <c r="S856" s="8" t="n">
        <v>46121.659375</v>
      </c>
    </row>
    <row r="857" hidden="1" ht="43.5" customHeight="1">
      <c r="A857" s="15">
        <f>HYPERLINK("https://vtmf.veevavault.com/ui/#doc_info/31445234/1/0", "VTMF-25372693")</f>
        <v/>
      </c>
      <c r="B857" s="20" t="inlineStr">
        <is>
          <t>Yes</t>
        </is>
      </c>
      <c r="C857" s="5" t="inlineStr">
        <is>
          <t>1.0</t>
        </is>
      </c>
      <c r="D857" s="5" t="inlineStr">
        <is>
          <t>GCO</t>
        </is>
      </c>
      <c r="E857" s="5" t="inlineStr">
        <is>
          <t>42847922MDD3003</t>
        </is>
      </c>
      <c r="F857" s="16">
        <f>HYPERLINK("https://vtmf.veevavault.com/ui/#doc_info/31445234/1/0", "42847922MDD3003-USA-S10-US10041-Relevant Communications-16 Jul 2025 (v1.0)")</f>
        <v/>
      </c>
      <c r="G857" s="5" t="inlineStr">
        <is>
          <t>Site Management</t>
        </is>
      </c>
      <c r="H857" s="5" t="inlineStr">
        <is>
          <t>General</t>
        </is>
      </c>
      <c r="I857" s="5" t="inlineStr">
        <is>
          <t>Relevant Communications</t>
        </is>
      </c>
      <c r="J857" s="5" t="inlineStr">
        <is>
          <t>PI_ Dr_ Inna Yuryev Golger _ Site_S10-US10041_Subject_ US100410006_IQVIA Eligibility Review_Approved</t>
        </is>
      </c>
      <c r="K857" s="6" t="n">
        <v>271</v>
      </c>
      <c r="L857" s="7" t="n">
        <v>45854</v>
      </c>
      <c r="M857" s="11" t="n">
        <v>46125</v>
      </c>
      <c r="N857" s="5" t="inlineStr">
        <is>
          <t>Approved</t>
        </is>
      </c>
      <c r="O857" s="5" t="inlineStr">
        <is>
          <t>Site</t>
        </is>
      </c>
      <c r="P857" s="5" t="inlineStr">
        <is>
          <t>United States</t>
        </is>
      </c>
      <c r="Q857" s="13" t="inlineStr">
        <is>
          <t>S10-US10041</t>
        </is>
      </c>
      <c r="R857" s="5" t="inlineStr">
        <is>
          <t>Debhora Garcia</t>
        </is>
      </c>
      <c r="S857" s="8" t="n">
        <v>46126.01020833333</v>
      </c>
    </row>
    <row r="858" hidden="1" ht="43.5" customHeight="1">
      <c r="A858" s="15">
        <f>HYPERLINK("https://vtmf.veevavault.com/ui/#doc_info/31445243/1/0", "VTMF-25372709")</f>
        <v/>
      </c>
      <c r="B858" s="20" t="inlineStr">
        <is>
          <t>Yes</t>
        </is>
      </c>
      <c r="C858" s="5" t="inlineStr">
        <is>
          <t>1.0</t>
        </is>
      </c>
      <c r="D858" s="5" t="inlineStr">
        <is>
          <t>GCO</t>
        </is>
      </c>
      <c r="E858" s="5" t="inlineStr">
        <is>
          <t>42847922MDD3003</t>
        </is>
      </c>
      <c r="F858" s="16">
        <f>HYPERLINK("https://vtmf.veevavault.com/ui/#doc_info/31445243/1/0", "42847922MDD3003-USA-S10-US10041-Relevant Communications-16 Jul 2025 (v1.0)")</f>
        <v/>
      </c>
      <c r="G858" s="5" t="inlineStr">
        <is>
          <t>Site Management</t>
        </is>
      </c>
      <c r="H858" s="5" t="inlineStr">
        <is>
          <t>General</t>
        </is>
      </c>
      <c r="I858" s="5" t="inlineStr">
        <is>
          <t>Relevant Communications</t>
        </is>
      </c>
      <c r="J858" s="5" t="inlineStr">
        <is>
          <t>PI_ Dr_ Inna Yuryev Golger _ Site_S10-US10041_Subject_ US100410007_IQVIA Eligibility Review_Approved</t>
        </is>
      </c>
      <c r="K858" s="6" t="n">
        <v>271</v>
      </c>
      <c r="L858" s="7" t="n">
        <v>45854</v>
      </c>
      <c r="M858" s="11" t="n">
        <v>46125</v>
      </c>
      <c r="N858" s="5" t="inlineStr">
        <is>
          <t>Approved</t>
        </is>
      </c>
      <c r="O858" s="5" t="inlineStr">
        <is>
          <t>Site</t>
        </is>
      </c>
      <c r="P858" s="5" t="inlineStr">
        <is>
          <t>United States</t>
        </is>
      </c>
      <c r="Q858" s="13" t="inlineStr">
        <is>
          <t>S10-US10041</t>
        </is>
      </c>
      <c r="R858" s="5" t="inlineStr">
        <is>
          <t>Debhora Garcia</t>
        </is>
      </c>
      <c r="S858" s="8" t="n">
        <v>46126.01363425926</v>
      </c>
    </row>
    <row r="859" hidden="1" ht="43.5" customHeight="1">
      <c r="A859" s="15">
        <f>HYPERLINK("https://vtmf.veevavault.com/ui/#doc_info/31445259/1/0", "VTMF-25372742")</f>
        <v/>
      </c>
      <c r="B859" s="20" t="inlineStr">
        <is>
          <t>Yes</t>
        </is>
      </c>
      <c r="C859" s="5" t="inlineStr">
        <is>
          <t>1.0</t>
        </is>
      </c>
      <c r="D859" s="5" t="inlineStr">
        <is>
          <t>GCO</t>
        </is>
      </c>
      <c r="E859" s="5" t="inlineStr">
        <is>
          <t>42847922MDD3003</t>
        </is>
      </c>
      <c r="F859" s="16">
        <f>HYPERLINK("https://vtmf.veevavault.com/ui/#doc_info/31445259/1/0", "42847922MDD3003-SWE-S10-SE10001-Relevant Communications-28 Jul 2025 (v1.0)")</f>
        <v/>
      </c>
      <c r="G859" s="5" t="inlineStr">
        <is>
          <t>Site Management</t>
        </is>
      </c>
      <c r="H859" s="5" t="inlineStr">
        <is>
          <t>General</t>
        </is>
      </c>
      <c r="I859" s="5" t="inlineStr">
        <is>
          <t>Relevant Communications</t>
        </is>
      </c>
      <c r="J859" s="5" t="inlineStr">
        <is>
          <t>PI_Anders Luts_ Site_S10-SE10001_Subject_SE100010011_IQVIA Eligibility Review_NOT Approved</t>
        </is>
      </c>
      <c r="K859" s="6" t="n">
        <v>259</v>
      </c>
      <c r="L859" s="7" t="n">
        <v>45866</v>
      </c>
      <c r="M859" s="11" t="n">
        <v>46125</v>
      </c>
      <c r="N859" s="5" t="inlineStr">
        <is>
          <t>Approved</t>
        </is>
      </c>
      <c r="O859" s="5" t="inlineStr">
        <is>
          <t>Site</t>
        </is>
      </c>
      <c r="P859" s="5" t="inlineStr">
        <is>
          <t>Sweden</t>
        </is>
      </c>
      <c r="Q859" s="13" t="inlineStr">
        <is>
          <t>S10-SE10001</t>
        </is>
      </c>
      <c r="R859" s="5" t="inlineStr">
        <is>
          <t>Debhora Garcia</t>
        </is>
      </c>
      <c r="S859" s="8" t="n">
        <v>46126.02111111111</v>
      </c>
    </row>
    <row r="860" hidden="1" ht="43.5" customHeight="1">
      <c r="A860" s="15">
        <f>HYPERLINK("https://vtmf.veevavault.com/ui/#doc_info/31445324/1/0", "VTMF-25372749")</f>
        <v/>
      </c>
      <c r="B860" s="20" t="inlineStr">
        <is>
          <t>Yes</t>
        </is>
      </c>
      <c r="C860" s="5" t="inlineStr">
        <is>
          <t>1.0</t>
        </is>
      </c>
      <c r="D860" s="5" t="inlineStr">
        <is>
          <t>GCO</t>
        </is>
      </c>
      <c r="E860" s="5" t="inlineStr">
        <is>
          <t>42847922MDD3003</t>
        </is>
      </c>
      <c r="F860" s="16">
        <f>HYPERLINK("https://vtmf.veevavault.com/ui/#doc_info/31445324/1/0", "42847922MDD3003-ARG-S10-AR10012-Relevant Communications-06 Aug 2025 (v1.0)")</f>
        <v/>
      </c>
      <c r="G860" s="5" t="inlineStr">
        <is>
          <t>Site Management</t>
        </is>
      </c>
      <c r="H860" s="5" t="inlineStr">
        <is>
          <t>General</t>
        </is>
      </c>
      <c r="I860" s="5" t="inlineStr">
        <is>
          <t>Relevant Communications</t>
        </is>
      </c>
      <c r="J860" s="5" t="inlineStr">
        <is>
          <t>Site S10-AR10012_PI_Lupo_ SUBJECT AR100120012_Screening Period Extension Request _ APPROVED</t>
        </is>
      </c>
      <c r="K860" s="6" t="n">
        <v>250</v>
      </c>
      <c r="L860" s="7" t="n">
        <v>45875</v>
      </c>
      <c r="M860" s="11" t="n">
        <v>46125</v>
      </c>
      <c r="N860" s="5" t="inlineStr">
        <is>
          <t>Approved</t>
        </is>
      </c>
      <c r="O860" s="5" t="inlineStr">
        <is>
          <t>Site</t>
        </is>
      </c>
      <c r="P860" s="5" t="inlineStr">
        <is>
          <t>Argentina</t>
        </is>
      </c>
      <c r="Q860" s="13" t="inlineStr">
        <is>
          <t>S10-AR10012</t>
        </is>
      </c>
      <c r="R860" s="5" t="inlineStr">
        <is>
          <t>Debhora Garcia</t>
        </is>
      </c>
      <c r="S860" s="8" t="n">
        <v>46126.02375</v>
      </c>
    </row>
    <row r="861" hidden="1" ht="29" customHeight="1">
      <c r="A861" s="15">
        <f>HYPERLINK("https://vtmf.veevavault.com/ui/#doc_info/31445327/1/0", "VTMF-25372752")</f>
        <v/>
      </c>
      <c r="B861" s="20" t="inlineStr">
        <is>
          <t>Yes</t>
        </is>
      </c>
      <c r="C861" s="5" t="inlineStr">
        <is>
          <t>1.0</t>
        </is>
      </c>
      <c r="D861" s="5" t="inlineStr">
        <is>
          <t>GCO</t>
        </is>
      </c>
      <c r="E861" s="5" t="inlineStr">
        <is>
          <t>42847922MDD3003</t>
        </is>
      </c>
      <c r="F861" s="16">
        <f>HYPERLINK("https://vtmf.veevavault.com/ui/#doc_info/31445327/1/0", "42847922MDD3003-BRA-S10-BR10008-Relevant Communications-02 Sep 2025 (v1.0)")</f>
        <v/>
      </c>
      <c r="G861" s="5" t="inlineStr">
        <is>
          <t>Site Management</t>
        </is>
      </c>
      <c r="H861" s="5" t="inlineStr">
        <is>
          <t>General</t>
        </is>
      </c>
      <c r="I861" s="5" t="inlineStr">
        <is>
          <t>Relevant Communications</t>
        </is>
      </c>
      <c r="J861" s="5" t="inlineStr">
        <is>
          <t>Site S10-BR10008_ Larceda_ Subject BR100080005_ Screening Period Extension Request_ APPROVED</t>
        </is>
      </c>
      <c r="K861" s="6" t="n">
        <v>223</v>
      </c>
      <c r="L861" s="7" t="n">
        <v>45902</v>
      </c>
      <c r="M861" s="11" t="n">
        <v>46125</v>
      </c>
      <c r="N861" s="5" t="inlineStr">
        <is>
          <t>Approved</t>
        </is>
      </c>
      <c r="O861" s="5" t="inlineStr">
        <is>
          <t>Site</t>
        </is>
      </c>
      <c r="P861" s="5" t="inlineStr">
        <is>
          <t>Brazil</t>
        </is>
      </c>
      <c r="Q861" s="13" t="inlineStr">
        <is>
          <t>S10-BR10008</t>
        </is>
      </c>
      <c r="R861" s="5" t="inlineStr">
        <is>
          <t>Debhora Garcia</t>
        </is>
      </c>
      <c r="S861" s="8" t="n">
        <v>46126.02611111111</v>
      </c>
    </row>
    <row r="862" hidden="1" ht="29" customHeight="1">
      <c r="A862" s="15">
        <f>HYPERLINK("https://vtmf.veevavault.com/ui/#doc_info/31445329/1/0", "VTMF-25372764")</f>
        <v/>
      </c>
      <c r="B862" s="20" t="inlineStr">
        <is>
          <t>Yes</t>
        </is>
      </c>
      <c r="C862" s="5" t="inlineStr">
        <is>
          <t>1.0</t>
        </is>
      </c>
      <c r="D862" s="5" t="inlineStr">
        <is>
          <t>GCO</t>
        </is>
      </c>
      <c r="E862" s="5" t="inlineStr">
        <is>
          <t>42847922MDD3003</t>
        </is>
      </c>
      <c r="F862" s="16">
        <f>HYPERLINK("https://vtmf.veevavault.com/ui/#doc_info/31445329/1/0", "42847922MDD3003-USA-S10-US10101-Relevant Communications-02 Sep 2025 (v1.0)")</f>
        <v/>
      </c>
      <c r="G862" s="5" t="inlineStr">
        <is>
          <t>Site Management</t>
        </is>
      </c>
      <c r="H862" s="5" t="inlineStr">
        <is>
          <t>General</t>
        </is>
      </c>
      <c r="I862" s="5" t="inlineStr">
        <is>
          <t>Relevant Communications</t>
        </is>
      </c>
      <c r="J862" s="5" t="inlineStr">
        <is>
          <t>US10101-Maas-Robinson_ US101010006 Screening Period Extension Request_ APPROVED</t>
        </is>
      </c>
      <c r="K862" s="6" t="n">
        <v>223</v>
      </c>
      <c r="L862" s="7" t="n">
        <v>45902</v>
      </c>
      <c r="M862" s="11" t="n">
        <v>46125</v>
      </c>
      <c r="N862" s="5" t="inlineStr">
        <is>
          <t>Approved</t>
        </is>
      </c>
      <c r="O862" s="5" t="inlineStr">
        <is>
          <t>Site</t>
        </is>
      </c>
      <c r="P862" s="5" t="inlineStr">
        <is>
          <t>United States</t>
        </is>
      </c>
      <c r="Q862" s="13" t="inlineStr">
        <is>
          <t>S10-US10101</t>
        </is>
      </c>
      <c r="R862" s="5" t="inlineStr">
        <is>
          <t>Debhora Garcia</t>
        </is>
      </c>
      <c r="S862" s="8" t="n">
        <v>46126.03342592593</v>
      </c>
    </row>
    <row r="863" hidden="1" ht="29" customHeight="1">
      <c r="A863" s="15">
        <f>HYPERLINK("https://vtmf.veevavault.com/ui/#doc_info/31445334/1/0", "VTMF-25372774")</f>
        <v/>
      </c>
      <c r="B863" s="20" t="inlineStr">
        <is>
          <t>Yes</t>
        </is>
      </c>
      <c r="C863" s="5" t="inlineStr">
        <is>
          <t>1.0</t>
        </is>
      </c>
      <c r="D863" s="5" t="inlineStr">
        <is>
          <t>GCO</t>
        </is>
      </c>
      <c r="E863" s="5" t="inlineStr">
        <is>
          <t>42847922MDD3003</t>
        </is>
      </c>
      <c r="F863" s="16">
        <f>HYPERLINK("https://vtmf.veevavault.com/ui/#doc_info/31445334/1/0", "42847922MDD3003-USA-S10-US10119-Relevant Communications-02 Sep 2025 (v1.0)")</f>
        <v/>
      </c>
      <c r="G863" s="5" t="inlineStr">
        <is>
          <t>Site Management</t>
        </is>
      </c>
      <c r="H863" s="5" t="inlineStr">
        <is>
          <t>General</t>
        </is>
      </c>
      <c r="I863" s="5" t="inlineStr">
        <is>
          <t>Relevant Communications</t>
        </is>
      </c>
      <c r="J863" s="5" t="inlineStr">
        <is>
          <t>Site S1010119 _ Dr Karp_ SUBJECT US101190005- Screening Period Extension (14 days)_APPROVED</t>
        </is>
      </c>
      <c r="K863" s="6" t="n">
        <v>223</v>
      </c>
      <c r="L863" s="7" t="n">
        <v>45902</v>
      </c>
      <c r="M863" s="11" t="n">
        <v>46125</v>
      </c>
      <c r="N863" s="5" t="inlineStr">
        <is>
          <t>Approved</t>
        </is>
      </c>
      <c r="O863" s="5" t="inlineStr">
        <is>
          <t>Site</t>
        </is>
      </c>
      <c r="P863" s="5" t="inlineStr">
        <is>
          <t>United States</t>
        </is>
      </c>
      <c r="Q863" s="13" t="inlineStr">
        <is>
          <t>S10-US10119</t>
        </is>
      </c>
      <c r="R863" s="5" t="inlineStr">
        <is>
          <t>Debhora Garcia</t>
        </is>
      </c>
      <c r="S863" s="8" t="n">
        <v>46126.03886574074</v>
      </c>
    </row>
    <row r="864" hidden="1" ht="29" customHeight="1">
      <c r="A864" s="15">
        <f>HYPERLINK("https://vtmf.veevavault.com/ui/#doc_info/31445335/1/0", "VTMF-25372776")</f>
        <v/>
      </c>
      <c r="B864" s="20" t="inlineStr">
        <is>
          <t>Yes</t>
        </is>
      </c>
      <c r="C864" s="5" t="inlineStr">
        <is>
          <t>1.0</t>
        </is>
      </c>
      <c r="D864" s="5" t="inlineStr">
        <is>
          <t>GCO</t>
        </is>
      </c>
      <c r="E864" s="5" t="inlineStr">
        <is>
          <t>42847922MDD3003</t>
        </is>
      </c>
      <c r="F864" s="16">
        <f>HYPERLINK("https://vtmf.veevavault.com/ui/#doc_info/31445335/1/0", "42847922MDD3003-USA-S10-US10119-Relevant Communications-08 Sep 2025 (v1.0)")</f>
        <v/>
      </c>
      <c r="G864" s="5" t="inlineStr">
        <is>
          <t>Site Management</t>
        </is>
      </c>
      <c r="H864" s="5" t="inlineStr">
        <is>
          <t>General</t>
        </is>
      </c>
      <c r="I864" s="5" t="inlineStr">
        <is>
          <t>Relevant Communications</t>
        </is>
      </c>
      <c r="J864" s="5" t="inlineStr">
        <is>
          <t>Site S10-US10119 _ Dr Karp Subject US101190006_ Screening Period Extension Request_ Approved</t>
        </is>
      </c>
      <c r="K864" s="6" t="n">
        <v>217</v>
      </c>
      <c r="L864" s="7" t="n">
        <v>45908</v>
      </c>
      <c r="M864" s="11" t="n">
        <v>46125</v>
      </c>
      <c r="N864" s="5" t="inlineStr">
        <is>
          <t>Approved</t>
        </is>
      </c>
      <c r="O864" s="5" t="inlineStr">
        <is>
          <t>Site</t>
        </is>
      </c>
      <c r="P864" s="5" t="inlineStr">
        <is>
          <t>United States</t>
        </is>
      </c>
      <c r="Q864" s="13" t="inlineStr">
        <is>
          <t>S10-US10119</t>
        </is>
      </c>
      <c r="R864" s="5" t="inlineStr">
        <is>
          <t>Debhora Garcia</t>
        </is>
      </c>
      <c r="S864" s="8" t="n">
        <v>46126.04039351852</v>
      </c>
    </row>
    <row r="865" hidden="1" ht="29" customHeight="1">
      <c r="A865" s="15">
        <f>HYPERLINK("https://vtmf.veevavault.com/ui/#doc_info/31445280/1/0", "VTMF-25372779")</f>
        <v/>
      </c>
      <c r="B865" s="20" t="inlineStr">
        <is>
          <t>Yes</t>
        </is>
      </c>
      <c r="C865" s="5" t="inlineStr">
        <is>
          <t>1.0</t>
        </is>
      </c>
      <c r="D865" s="5" t="inlineStr">
        <is>
          <t>GCO</t>
        </is>
      </c>
      <c r="E865" s="5" t="inlineStr">
        <is>
          <t>42847922MDD3003</t>
        </is>
      </c>
      <c r="F865" s="16">
        <f>HYPERLINK("https://vtmf.veevavault.com/ui/#doc_info/31445280/1/0", "42847922MDD3003-BRA-S10-BR10008-Relevant Communications-10 Sep 2025 (v1.0)")</f>
        <v/>
      </c>
      <c r="G865" s="5" t="inlineStr">
        <is>
          <t>Site Management</t>
        </is>
      </c>
      <c r="H865" s="5" t="inlineStr">
        <is>
          <t>General</t>
        </is>
      </c>
      <c r="I865" s="5" t="inlineStr">
        <is>
          <t>Relevant Communications</t>
        </is>
      </c>
      <c r="J865" s="5" t="inlineStr">
        <is>
          <t>Site S10-BR10008_ Lacerda Subject BR100080007_ Screening Period Extension Request _ APPROVED</t>
        </is>
      </c>
      <c r="K865" s="6" t="n">
        <v>215</v>
      </c>
      <c r="L865" s="7" t="n">
        <v>45910</v>
      </c>
      <c r="M865" s="11" t="n">
        <v>46125</v>
      </c>
      <c r="N865" s="5" t="inlineStr">
        <is>
          <t>Approved</t>
        </is>
      </c>
      <c r="O865" s="5" t="inlineStr">
        <is>
          <t>Site</t>
        </is>
      </c>
      <c r="P865" s="5" t="inlineStr">
        <is>
          <t>Brazil</t>
        </is>
      </c>
      <c r="Q865" s="13" t="inlineStr">
        <is>
          <t>S10-BR10008</t>
        </is>
      </c>
      <c r="R865" s="5" t="inlineStr">
        <is>
          <t>Debhora Garcia</t>
        </is>
      </c>
      <c r="S865" s="8" t="n">
        <v>46126.04167824074</v>
      </c>
    </row>
    <row r="866" hidden="1" ht="29" customHeight="1">
      <c r="A866" s="15">
        <f>HYPERLINK("https://vtmf.veevavault.com/ui/#doc_info/31445413/1/0", "VTMF-25372867")</f>
        <v/>
      </c>
      <c r="B866" s="20" t="inlineStr">
        <is>
          <t>Yes</t>
        </is>
      </c>
      <c r="C866" s="5" t="inlineStr">
        <is>
          <t>1.0</t>
        </is>
      </c>
      <c r="D866" s="5" t="inlineStr">
        <is>
          <t>GCO</t>
        </is>
      </c>
      <c r="E866" s="5" t="inlineStr">
        <is>
          <t>42847922MDD3003</t>
        </is>
      </c>
      <c r="F866" s="16">
        <f>HYPERLINK("https://vtmf.veevavault.com/ui/#doc_info/31445413/1/0", "42847922MDD3003-USA-S10-US10256-Relevant Communications-10 Sep 2025 (v1.0)")</f>
        <v/>
      </c>
      <c r="G866" s="5" t="inlineStr">
        <is>
          <t>Site Management</t>
        </is>
      </c>
      <c r="H866" s="5" t="inlineStr">
        <is>
          <t>General</t>
        </is>
      </c>
      <c r="I866" s="5" t="inlineStr">
        <is>
          <t>Relevant Communications</t>
        </is>
      </c>
      <c r="J866" s="5" t="inlineStr">
        <is>
          <t>Site US10256 CHEEKATI _ Subject US102560015 _ Screening Extension Request _ APPROVED</t>
        </is>
      </c>
      <c r="K866" s="6" t="n">
        <v>215</v>
      </c>
      <c r="L866" s="7" t="n">
        <v>45910</v>
      </c>
      <c r="M866" s="11" t="n">
        <v>46125</v>
      </c>
      <c r="N866" s="5" t="inlineStr">
        <is>
          <t>Approved</t>
        </is>
      </c>
      <c r="O866" s="5" t="inlineStr">
        <is>
          <t>Site</t>
        </is>
      </c>
      <c r="P866" s="5" t="inlineStr">
        <is>
          <t>United States</t>
        </is>
      </c>
      <c r="Q866" s="13" t="inlineStr">
        <is>
          <t>S10-US10256</t>
        </is>
      </c>
      <c r="R866" s="5" t="inlineStr">
        <is>
          <t>Debhora Garcia</t>
        </is>
      </c>
      <c r="S866" s="8" t="n">
        <v>46126.05234953704</v>
      </c>
    </row>
    <row r="867" hidden="1" ht="29" customHeight="1">
      <c r="A867" s="15">
        <f>HYPERLINK("https://vtmf.veevavault.com/ui/#doc_info/31445424/1/0", "VTMF-25372888")</f>
        <v/>
      </c>
      <c r="B867" s="20" t="inlineStr">
        <is>
          <t>Yes</t>
        </is>
      </c>
      <c r="C867" s="5" t="inlineStr">
        <is>
          <t>1.0</t>
        </is>
      </c>
      <c r="D867" s="5" t="inlineStr">
        <is>
          <t>GCO</t>
        </is>
      </c>
      <c r="E867" s="5" t="inlineStr">
        <is>
          <t>42847922MDD3003</t>
        </is>
      </c>
      <c r="F867" s="16">
        <f>HYPERLINK("https://vtmf.veevavault.com/ui/#doc_info/31445424/1/0", "42847922MDD3003-USA-S10-US10256-Relevant Communications-10 Sep 2025 (v1.0)")</f>
        <v/>
      </c>
      <c r="G867" s="5" t="inlineStr">
        <is>
          <t>Site Management</t>
        </is>
      </c>
      <c r="H867" s="5" t="inlineStr">
        <is>
          <t>General</t>
        </is>
      </c>
      <c r="I867" s="5" t="inlineStr">
        <is>
          <t>Relevant Communications</t>
        </is>
      </c>
      <c r="J867" s="5" t="inlineStr">
        <is>
          <t>Site US10256 CHEEKATI _ Subject US102560015 _ Screening Extension Request _ APPROVED</t>
        </is>
      </c>
      <c r="K867" s="6" t="n">
        <v>215</v>
      </c>
      <c r="L867" s="7" t="n">
        <v>45910</v>
      </c>
      <c r="M867" s="11" t="n">
        <v>46125</v>
      </c>
      <c r="N867" s="5" t="inlineStr">
        <is>
          <t>Approved</t>
        </is>
      </c>
      <c r="O867" s="5" t="inlineStr">
        <is>
          <t>Site</t>
        </is>
      </c>
      <c r="P867" s="5" t="inlineStr">
        <is>
          <t>United States</t>
        </is>
      </c>
      <c r="Q867" s="13" t="inlineStr">
        <is>
          <t>S10-US10256</t>
        </is>
      </c>
      <c r="R867" s="5" t="inlineStr">
        <is>
          <t>Debhora Garcia</t>
        </is>
      </c>
      <c r="S867" s="8" t="n">
        <v>46126.05813657407</v>
      </c>
    </row>
    <row r="868" hidden="1" ht="43.5" customHeight="1">
      <c r="A868" s="15">
        <f>HYPERLINK("https://vtmf.veevavault.com/ui/#doc_info/31445506/1/0", "VTMF-25372900")</f>
        <v/>
      </c>
      <c r="B868" s="20" t="inlineStr">
        <is>
          <t>Yes</t>
        </is>
      </c>
      <c r="C868" s="5" t="inlineStr">
        <is>
          <t>1.0</t>
        </is>
      </c>
      <c r="D868" s="5" t="inlineStr">
        <is>
          <t>GCO</t>
        </is>
      </c>
      <c r="E868" s="5" t="inlineStr">
        <is>
          <t>42847922MDD3003</t>
        </is>
      </c>
      <c r="F868" s="16">
        <f>HYPERLINK("https://vtmf.veevavault.com/ui/#doc_info/31445506/1/0", "42847922MDD3003-USA-S10-US10083-Relevant Communications-02 Oct 2025 (v1.0)")</f>
        <v/>
      </c>
      <c r="G868" s="5" t="inlineStr">
        <is>
          <t>Site Management</t>
        </is>
      </c>
      <c r="H868" s="5" t="inlineStr">
        <is>
          <t>General</t>
        </is>
      </c>
      <c r="I868" s="5" t="inlineStr">
        <is>
          <t>Relevant Communications</t>
        </is>
      </c>
      <c r="J868" s="5" t="inlineStr">
        <is>
          <t>S10-US10083_Dr_ Wilson Cueva_ Subject US100830010 Screening Period Extension Request_ APPROVED</t>
        </is>
      </c>
      <c r="K868" s="6" t="n">
        <v>193</v>
      </c>
      <c r="L868" s="7" t="n">
        <v>45932</v>
      </c>
      <c r="M868" s="11" t="n">
        <v>46125</v>
      </c>
      <c r="N868" s="5" t="inlineStr">
        <is>
          <t>Approved</t>
        </is>
      </c>
      <c r="O868" s="5" t="inlineStr">
        <is>
          <t>Site</t>
        </is>
      </c>
      <c r="P868" s="5" t="inlineStr">
        <is>
          <t>United States</t>
        </is>
      </c>
      <c r="Q868" s="13" t="inlineStr">
        <is>
          <t>S10-US10083</t>
        </is>
      </c>
      <c r="R868" s="5" t="inlineStr">
        <is>
          <t>Debhora Garcia</t>
        </is>
      </c>
      <c r="S868" s="8" t="n">
        <v>46126.06122685185</v>
      </c>
    </row>
    <row r="869" hidden="1" ht="29" customHeight="1">
      <c r="A869" s="15">
        <f>HYPERLINK("https://vtmf.veevavault.com/ui/#doc_info/31445432/1/0", "VTMF-25372906")</f>
        <v/>
      </c>
      <c r="B869" s="20" t="inlineStr">
        <is>
          <t>Yes</t>
        </is>
      </c>
      <c r="C869" s="5" t="inlineStr">
        <is>
          <t>1.0</t>
        </is>
      </c>
      <c r="D869" s="5" t="inlineStr">
        <is>
          <t>GCO</t>
        </is>
      </c>
      <c r="E869" s="5" t="inlineStr">
        <is>
          <t>42847922MDD3003</t>
        </is>
      </c>
      <c r="F869" s="16">
        <f>HYPERLINK("https://vtmf.veevavault.com/ui/#doc_info/31445432/1/0", "42847922MDD3003-ITA-S10-IT10005-Relevant Communications-07 Oct 2025 (v1.0)")</f>
        <v/>
      </c>
      <c r="G869" s="5" t="inlineStr">
        <is>
          <t>Site Management</t>
        </is>
      </c>
      <c r="H869" s="5" t="inlineStr">
        <is>
          <t>General</t>
        </is>
      </c>
      <c r="I869" s="5" t="inlineStr">
        <is>
          <t>Relevant Communications</t>
        </is>
      </c>
      <c r="J869" s="5" t="inlineStr">
        <is>
          <t>MDD3003_Italy_Site S10-IT10005_Subject _pt0001_ screening extension request</t>
        </is>
      </c>
      <c r="K869" s="6" t="n">
        <v>188</v>
      </c>
      <c r="L869" s="7" t="n">
        <v>45937</v>
      </c>
      <c r="M869" s="11" t="n">
        <v>46125</v>
      </c>
      <c r="N869" s="5" t="inlineStr">
        <is>
          <t>Approved</t>
        </is>
      </c>
      <c r="O869" s="5" t="inlineStr">
        <is>
          <t>Site</t>
        </is>
      </c>
      <c r="P869" s="5" t="inlineStr">
        <is>
          <t>Italy</t>
        </is>
      </c>
      <c r="Q869" s="13" t="inlineStr">
        <is>
          <t>S10-IT10005</t>
        </is>
      </c>
      <c r="R869" s="5" t="inlineStr">
        <is>
          <t>Debhora Garcia</t>
        </is>
      </c>
      <c r="S869" s="8" t="n">
        <v>46126.06290509259</v>
      </c>
    </row>
    <row r="870" hidden="1" ht="29" customHeight="1">
      <c r="A870" s="15">
        <f>HYPERLINK("https://vtmf.veevavault.com/ui/#doc_info/31445433/1/0", "VTMF-25372912")</f>
        <v/>
      </c>
      <c r="B870" s="20" t="inlineStr">
        <is>
          <t>Yes</t>
        </is>
      </c>
      <c r="C870" s="5" t="inlineStr">
        <is>
          <t>1.0</t>
        </is>
      </c>
      <c r="D870" s="5" t="inlineStr">
        <is>
          <t>GCO</t>
        </is>
      </c>
      <c r="E870" s="5" t="inlineStr">
        <is>
          <t>42847922MDD3003</t>
        </is>
      </c>
      <c r="F870" s="16">
        <f>HYPERLINK("https://vtmf.veevavault.com/ui/#doc_info/31445433/1/0", "42847922MDD3003-ITA-S10-IT10007-Relevant Communications-09 Oct 2025 (v1.0)")</f>
        <v/>
      </c>
      <c r="G870" s="5" t="inlineStr">
        <is>
          <t>Site Management</t>
        </is>
      </c>
      <c r="H870" s="5" t="inlineStr">
        <is>
          <t>General</t>
        </is>
      </c>
      <c r="I870" s="5" t="inlineStr">
        <is>
          <t>Relevant Communications</t>
        </is>
      </c>
      <c r="J870" s="5" t="inlineStr">
        <is>
          <t>MDD3003_Site S10-IT10007_Subject IT10007003_screening extension request_ approved</t>
        </is>
      </c>
      <c r="K870" s="6" t="n">
        <v>186</v>
      </c>
      <c r="L870" s="7" t="n">
        <v>45939</v>
      </c>
      <c r="M870" s="11" t="n">
        <v>46125</v>
      </c>
      <c r="N870" s="5" t="inlineStr">
        <is>
          <t>Approved</t>
        </is>
      </c>
      <c r="O870" s="5" t="inlineStr">
        <is>
          <t>Site</t>
        </is>
      </c>
      <c r="P870" s="5" t="inlineStr">
        <is>
          <t>Italy</t>
        </is>
      </c>
      <c r="Q870" s="13" t="inlineStr">
        <is>
          <t>S10-IT10007</t>
        </is>
      </c>
      <c r="R870" s="5" t="inlineStr">
        <is>
          <t>Debhora Garcia</t>
        </is>
      </c>
      <c r="S870" s="8" t="n">
        <v>46126.06416666666</v>
      </c>
    </row>
    <row r="871" hidden="1" ht="43.5" customHeight="1">
      <c r="A871" s="15">
        <f>HYPERLINK("https://vtmf.veevavault.com/ui/#doc_info/31445434/1/0", "VTMF-25372915")</f>
        <v/>
      </c>
      <c r="B871" s="20" t="inlineStr">
        <is>
          <t>Yes</t>
        </is>
      </c>
      <c r="C871" s="5" t="inlineStr">
        <is>
          <t>1.0</t>
        </is>
      </c>
      <c r="D871" s="5" t="inlineStr">
        <is>
          <t>GCO</t>
        </is>
      </c>
      <c r="E871" s="5" t="inlineStr">
        <is>
          <t>42847922MDD3003</t>
        </is>
      </c>
      <c r="F871" s="16">
        <f>HYPERLINK("https://vtmf.veevavault.com/ui/#doc_info/31445434/1/0", "42847922MDD3003-ARG-S10-AR10012-Relevant Communications-09 Oct 2025 (v1.0)")</f>
        <v/>
      </c>
      <c r="G871" s="5" t="inlineStr">
        <is>
          <t>Site Management</t>
        </is>
      </c>
      <c r="H871" s="5" t="inlineStr">
        <is>
          <t>General</t>
        </is>
      </c>
      <c r="I871" s="5" t="inlineStr">
        <is>
          <t>Relevant Communications</t>
        </is>
      </c>
      <c r="J871" s="5" t="inlineStr">
        <is>
          <t>PI -Christian Maria Rosa Lupo_ Site ID- S10-AR10012 - Subject AR100120014_IQVIA Eligibility Review_Approved</t>
        </is>
      </c>
      <c r="K871" s="6" t="n">
        <v>186</v>
      </c>
      <c r="L871" s="7" t="n">
        <v>45939</v>
      </c>
      <c r="M871" s="11" t="n">
        <v>46125</v>
      </c>
      <c r="N871" s="5" t="inlineStr">
        <is>
          <t>Approved</t>
        </is>
      </c>
      <c r="O871" s="5" t="inlineStr">
        <is>
          <t>Site</t>
        </is>
      </c>
      <c r="P871" s="5" t="inlineStr">
        <is>
          <t>Argentina</t>
        </is>
      </c>
      <c r="Q871" s="13" t="inlineStr">
        <is>
          <t>S10-AR10012</t>
        </is>
      </c>
      <c r="R871" s="5" t="inlineStr">
        <is>
          <t>Debhora Garcia</t>
        </is>
      </c>
      <c r="S871" s="8" t="n">
        <v>46126.06575231482</v>
      </c>
    </row>
    <row r="872" hidden="1" ht="29" customHeight="1">
      <c r="A872" s="15">
        <f>HYPERLINK("https://vtmf.veevavault.com/ui/#doc_info/31445437/1/0", "VTMF-25372969")</f>
        <v/>
      </c>
      <c r="B872" s="20" t="inlineStr">
        <is>
          <t>Yes</t>
        </is>
      </c>
      <c r="C872" s="5" t="inlineStr">
        <is>
          <t>1.0</t>
        </is>
      </c>
      <c r="D872" s="5" t="inlineStr">
        <is>
          <t>GCO</t>
        </is>
      </c>
      <c r="E872" s="5" t="inlineStr">
        <is>
          <t>42847922MDD3003</t>
        </is>
      </c>
      <c r="F872" s="16">
        <f>HYPERLINK("https://vtmf.veevavault.com/ui/#doc_info/31445437/1/0", "42847922MDD3003-USA-S10-US10252-Relevant Communications-10 Oct 2025 (v1.0)")</f>
        <v/>
      </c>
      <c r="G872" s="5" t="inlineStr">
        <is>
          <t>Site Management</t>
        </is>
      </c>
      <c r="H872" s="5" t="inlineStr">
        <is>
          <t>General</t>
        </is>
      </c>
      <c r="I872" s="5" t="inlineStr">
        <is>
          <t>Relevant Communications</t>
        </is>
      </c>
      <c r="J872" s="5" t="inlineStr">
        <is>
          <t>Site S10-US10252 _ Kunovac Subject US102520004 Screening Period Extension Request_ APPROVED</t>
        </is>
      </c>
      <c r="K872" s="6" t="n">
        <v>185</v>
      </c>
      <c r="L872" s="7" t="n">
        <v>45940</v>
      </c>
      <c r="M872" s="11" t="n">
        <v>46125</v>
      </c>
      <c r="N872" s="5" t="inlineStr">
        <is>
          <t>Approved</t>
        </is>
      </c>
      <c r="O872" s="5" t="inlineStr">
        <is>
          <t>Site</t>
        </is>
      </c>
      <c r="P872" s="5" t="inlineStr">
        <is>
          <t>United States</t>
        </is>
      </c>
      <c r="Q872" s="13" t="inlineStr">
        <is>
          <t>S10-US10252</t>
        </is>
      </c>
      <c r="R872" s="5" t="inlineStr">
        <is>
          <t>Debhora Garcia</t>
        </is>
      </c>
      <c r="S872" s="8" t="n">
        <v>46126.06719907407</v>
      </c>
    </row>
    <row r="873" hidden="1" ht="29" customHeight="1">
      <c r="A873" s="15">
        <f>HYPERLINK("https://vtmf.veevavault.com/ui/#doc_info/31445444/1/0", "VTMF-25372980")</f>
        <v/>
      </c>
      <c r="B873" s="20" t="inlineStr">
        <is>
          <t>Yes</t>
        </is>
      </c>
      <c r="C873" s="5" t="inlineStr">
        <is>
          <t>1.0</t>
        </is>
      </c>
      <c r="D873" s="5" t="inlineStr">
        <is>
          <t>GCO</t>
        </is>
      </c>
      <c r="E873" s="5" t="inlineStr">
        <is>
          <t>42847922MDD3003</t>
        </is>
      </c>
      <c r="F873" s="16">
        <f>HYPERLINK("https://vtmf.veevavault.com/ui/#doc_info/31445444/1/0", "42847922MDD3003-ARG-S10-AR10010-Relevant Communications-13 Oct 2025 (v1.0)")</f>
        <v/>
      </c>
      <c r="G873" s="5" t="inlineStr">
        <is>
          <t>Site Management</t>
        </is>
      </c>
      <c r="H873" s="5" t="inlineStr">
        <is>
          <t>General</t>
        </is>
      </c>
      <c r="I873" s="5" t="inlineStr">
        <is>
          <t>Relevant Communications</t>
        </is>
      </c>
      <c r="J873" s="5" t="inlineStr">
        <is>
          <t>Site S10-AR10010_PI_Ruggeri_ SUBJECT AR100100013_ Screening Period Extension Request_ APPROVED</t>
        </is>
      </c>
      <c r="K873" s="6" t="n">
        <v>182</v>
      </c>
      <c r="L873" s="7" t="n">
        <v>45943</v>
      </c>
      <c r="M873" s="11" t="n">
        <v>46125</v>
      </c>
      <c r="N873" s="5" t="inlineStr">
        <is>
          <t>Approved</t>
        </is>
      </c>
      <c r="O873" s="5" t="inlineStr">
        <is>
          <t>Site</t>
        </is>
      </c>
      <c r="P873" s="5" t="inlineStr">
        <is>
          <t>Argentina</t>
        </is>
      </c>
      <c r="Q873" s="13" t="inlineStr">
        <is>
          <t>S10-AR10010</t>
        </is>
      </c>
      <c r="R873" s="5" t="inlineStr">
        <is>
          <t>Debhora Garcia</t>
        </is>
      </c>
      <c r="S873" s="8" t="n">
        <v>46126.07160879629</v>
      </c>
    </row>
    <row r="874" hidden="1" ht="43.5" customHeight="1">
      <c r="A874" s="15">
        <f>HYPERLINK("https://vtmf.veevavault.com/ui/#doc_info/31445575/1/0", "VTMF-25372982")</f>
        <v/>
      </c>
      <c r="B874" s="20" t="inlineStr">
        <is>
          <t>Yes</t>
        </is>
      </c>
      <c r="C874" s="5" t="inlineStr">
        <is>
          <t>1.0</t>
        </is>
      </c>
      <c r="D874" s="5" t="inlineStr">
        <is>
          <t>GCO</t>
        </is>
      </c>
      <c r="E874" s="5" t="inlineStr">
        <is>
          <t>42847922MDD3003</t>
        </is>
      </c>
      <c r="F874" s="16">
        <f>HYPERLINK("https://vtmf.veevavault.com/ui/#doc_info/31445575/1/0", "42847922MDD3003-TUR-S10-TR10015-Relevant Communications-14 Oct 2025 (v1.0)")</f>
        <v/>
      </c>
      <c r="G874" s="5" t="inlineStr">
        <is>
          <t>Site Management</t>
        </is>
      </c>
      <c r="H874" s="5" t="inlineStr">
        <is>
          <t>General</t>
        </is>
      </c>
      <c r="I874" s="5" t="inlineStr">
        <is>
          <t>Relevant Communications</t>
        </is>
      </c>
      <c r="J874" s="5" t="inlineStr">
        <is>
          <t>PI_Bulent Devrim Akcay_ Site_S10-TR10015_Subject_TR100150003_IQVIA Eligibility Review_Approved</t>
        </is>
      </c>
      <c r="K874" s="6" t="n">
        <v>181</v>
      </c>
      <c r="L874" s="7" t="n">
        <v>45944</v>
      </c>
      <c r="M874" s="11" t="n">
        <v>46125</v>
      </c>
      <c r="N874" s="5" t="inlineStr">
        <is>
          <t>Approved</t>
        </is>
      </c>
      <c r="O874" s="5" t="inlineStr">
        <is>
          <t>Site</t>
        </is>
      </c>
      <c r="P874" s="5" t="inlineStr">
        <is>
          <t>Türkiye</t>
        </is>
      </c>
      <c r="Q874" s="13" t="inlineStr">
        <is>
          <t>S10-TR10015</t>
        </is>
      </c>
      <c r="R874" s="5" t="inlineStr">
        <is>
          <t>Debhora Garcia</t>
        </is>
      </c>
      <c r="S874" s="8" t="n">
        <v>46126.07457175926</v>
      </c>
    </row>
    <row r="875" hidden="1" ht="43.5" customHeight="1">
      <c r="A875" s="15">
        <f>HYPERLINK("https://vtmf.veevavault.com/ui/#doc_info/31445577/1/0", "VTMF-25372984")</f>
        <v/>
      </c>
      <c r="B875" s="20" t="inlineStr">
        <is>
          <t>Yes</t>
        </is>
      </c>
      <c r="C875" s="5" t="inlineStr">
        <is>
          <t>1.0</t>
        </is>
      </c>
      <c r="D875" s="5" t="inlineStr">
        <is>
          <t>GCO</t>
        </is>
      </c>
      <c r="E875" s="5" t="inlineStr">
        <is>
          <t>42847922MDD3003</t>
        </is>
      </c>
      <c r="F875" s="16">
        <f>HYPERLINK("https://vtmf.veevavault.com/ui/#doc_info/31445577/1/0", "42847922MDD3003-BRA-S10-BR10023-Relevant Communications-18 Nov 2025 (v1.0)")</f>
        <v/>
      </c>
      <c r="G875" s="5" t="inlineStr">
        <is>
          <t>Site Management</t>
        </is>
      </c>
      <c r="H875" s="5" t="inlineStr">
        <is>
          <t>General</t>
        </is>
      </c>
      <c r="I875" s="5" t="inlineStr">
        <is>
          <t>Relevant Communications</t>
        </is>
      </c>
      <c r="J875" s="5" t="inlineStr">
        <is>
          <t>PI_Giovanna Burigo_ Site_S10-BR10023_Subject_BR100230007_IQVIA Eligibility Review_Approved</t>
        </is>
      </c>
      <c r="K875" s="6" t="n">
        <v>146</v>
      </c>
      <c r="L875" s="7" t="n">
        <v>45979</v>
      </c>
      <c r="M875" s="11" t="n">
        <v>46125</v>
      </c>
      <c r="N875" s="5" t="inlineStr">
        <is>
          <t>Approved</t>
        </is>
      </c>
      <c r="O875" s="5" t="inlineStr">
        <is>
          <t>Site</t>
        </is>
      </c>
      <c r="P875" s="5" t="inlineStr">
        <is>
          <t>Brazil</t>
        </is>
      </c>
      <c r="Q875" s="13" t="inlineStr">
        <is>
          <t>S10-BR10023</t>
        </is>
      </c>
      <c r="R875" s="5" t="inlineStr">
        <is>
          <t>Debhora Garcia</t>
        </is>
      </c>
      <c r="S875" s="8" t="n">
        <v>46126.07572916667</v>
      </c>
    </row>
    <row r="876" hidden="1" ht="43.5" customHeight="1">
      <c r="A876" s="15">
        <f>HYPERLINK("https://vtmf.veevavault.com/ui/#doc_info/31445579/1/0", "VTMF-25372990")</f>
        <v/>
      </c>
      <c r="B876" s="20" t="inlineStr">
        <is>
          <t>Yes</t>
        </is>
      </c>
      <c r="C876" s="5" t="inlineStr">
        <is>
          <t>1.0</t>
        </is>
      </c>
      <c r="D876" s="5" t="inlineStr">
        <is>
          <t>GCO</t>
        </is>
      </c>
      <c r="E876" s="5" t="inlineStr">
        <is>
          <t>42847922MDD3003</t>
        </is>
      </c>
      <c r="F876" s="16">
        <f>HYPERLINK("https://vtmf.veevavault.com/ui/#doc_info/31445579/1/0", "42847922MDD3003-ARG-S10-AR10012-Relevant Communications-18 Nov 2025 (v1.0)")</f>
        <v/>
      </c>
      <c r="G876" s="5" t="inlineStr">
        <is>
          <t>Site Management</t>
        </is>
      </c>
      <c r="H876" s="5" t="inlineStr">
        <is>
          <t>General</t>
        </is>
      </c>
      <c r="I876" s="5" t="inlineStr">
        <is>
          <t>Relevant Communications</t>
        </is>
      </c>
      <c r="J876" s="5" t="inlineStr">
        <is>
          <t>PI_ Christian Maria Rosa Lupo_ Site_S10-AR10012_Subject_AR100120015_IQVIA Eligibility Review_ Approved</t>
        </is>
      </c>
      <c r="K876" s="6" t="n">
        <v>146</v>
      </c>
      <c r="L876" s="7" t="n">
        <v>45979</v>
      </c>
      <c r="M876" s="11" t="n">
        <v>46125</v>
      </c>
      <c r="N876" s="5" t="inlineStr">
        <is>
          <t>Approved</t>
        </is>
      </c>
      <c r="O876" s="5" t="inlineStr">
        <is>
          <t>Site</t>
        </is>
      </c>
      <c r="P876" s="5" t="inlineStr">
        <is>
          <t>Argentina</t>
        </is>
      </c>
      <c r="Q876" s="13" t="inlineStr">
        <is>
          <t>S10-AR10012</t>
        </is>
      </c>
      <c r="R876" s="5" t="inlineStr">
        <is>
          <t>Debhora Garcia</t>
        </is>
      </c>
      <c r="S876" s="8" t="n">
        <v>46126.08297453704</v>
      </c>
    </row>
    <row r="877" hidden="1" ht="43.5" customHeight="1">
      <c r="A877" s="15">
        <f>HYPERLINK("https://vtmf.veevavault.com/ui/#doc_info/31445591/1/0", "VTMF-25373018")</f>
        <v/>
      </c>
      <c r="B877" s="20" t="inlineStr">
        <is>
          <t>Yes</t>
        </is>
      </c>
      <c r="C877" s="5" t="inlineStr">
        <is>
          <t>1.0</t>
        </is>
      </c>
      <c r="D877" s="5" t="inlineStr">
        <is>
          <t>GCO</t>
        </is>
      </c>
      <c r="E877" s="5" t="inlineStr">
        <is>
          <t>42847922MDD3003</t>
        </is>
      </c>
      <c r="F877" s="16">
        <f>HYPERLINK("https://vtmf.veevavault.com/ui/#doc_info/31445591/1/0", "42847922MDD3003-SWE-S10-SE10002-Relevant Communications-19 Nov 2025 (v1.0)")</f>
        <v/>
      </c>
      <c r="G877" s="5" t="inlineStr">
        <is>
          <t>Site Management</t>
        </is>
      </c>
      <c r="H877" s="5" t="inlineStr">
        <is>
          <t>General</t>
        </is>
      </c>
      <c r="I877" s="5" t="inlineStr">
        <is>
          <t>Relevant Communications</t>
        </is>
      </c>
      <c r="J877" s="5" t="inlineStr">
        <is>
          <t>PI_Peter Bosson_ Site_S10-SE10002_Subject_SE100020026_IQVIA Eligibility Review_Approved</t>
        </is>
      </c>
      <c r="K877" s="6" t="n">
        <v>145</v>
      </c>
      <c r="L877" s="7" t="n">
        <v>45980</v>
      </c>
      <c r="M877" s="11" t="n">
        <v>46125</v>
      </c>
      <c r="N877" s="5" t="inlineStr">
        <is>
          <t>Approved</t>
        </is>
      </c>
      <c r="O877" s="5" t="inlineStr">
        <is>
          <t>Site</t>
        </is>
      </c>
      <c r="P877" s="5" t="inlineStr">
        <is>
          <t>Sweden</t>
        </is>
      </c>
      <c r="Q877" s="13" t="inlineStr">
        <is>
          <t>S10-SE10002</t>
        </is>
      </c>
      <c r="R877" s="5" t="inlineStr">
        <is>
          <t>Debhora Garcia</t>
        </is>
      </c>
      <c r="S877" s="8" t="n">
        <v>46126.09292824074</v>
      </c>
    </row>
    <row r="878" hidden="1" ht="29" customHeight="1">
      <c r="A878" s="15">
        <f>HYPERLINK("https://vtmf.veevavault.com/ui/#doc_info/31445669/1/0", "VTMF-25373122")</f>
        <v/>
      </c>
      <c r="B878" s="20" t="inlineStr">
        <is>
          <t>Yes</t>
        </is>
      </c>
      <c r="C878" s="5" t="inlineStr">
        <is>
          <t>1.0</t>
        </is>
      </c>
      <c r="D878" s="5" t="inlineStr">
        <is>
          <t>GCO</t>
        </is>
      </c>
      <c r="E878" s="5" t="inlineStr">
        <is>
          <t>42847922MDD3003</t>
        </is>
      </c>
      <c r="F878" s="16">
        <f>HYPERLINK("https://vtmf.veevavault.com/ui/#doc_info/31445669/1/0", "42847922MDD3003-PRT-S10-PT10008-Relevant Communications-24 Nov 2025 (v1.0)")</f>
        <v/>
      </c>
      <c r="G878" s="5" t="inlineStr">
        <is>
          <t>Site Management</t>
        </is>
      </c>
      <c r="H878" s="5" t="inlineStr">
        <is>
          <t>General</t>
        </is>
      </c>
      <c r="I878" s="5" t="inlineStr">
        <is>
          <t>Relevant Communications</t>
        </is>
      </c>
      <c r="J878" s="5" t="inlineStr">
        <is>
          <t>42847922MDD3003 - PT100080003 Screening period extension request_ approved</t>
        </is>
      </c>
      <c r="K878" s="6" t="n">
        <v>140</v>
      </c>
      <c r="L878" s="7" t="n">
        <v>45985</v>
      </c>
      <c r="M878" s="11" t="n">
        <v>46125</v>
      </c>
      <c r="N878" s="5" t="inlineStr">
        <is>
          <t>Approved</t>
        </is>
      </c>
      <c r="O878" s="5" t="inlineStr">
        <is>
          <t>Site</t>
        </is>
      </c>
      <c r="P878" s="5" t="inlineStr">
        <is>
          <t>Portugal</t>
        </is>
      </c>
      <c r="Q878" s="13" t="inlineStr">
        <is>
          <t>S10-PT10008</t>
        </is>
      </c>
      <c r="R878" s="5" t="inlineStr">
        <is>
          <t>Debhora Garcia</t>
        </is>
      </c>
      <c r="S878" s="8" t="n">
        <v>46126.10362268519</v>
      </c>
    </row>
    <row r="879" hidden="1" ht="29" customHeight="1">
      <c r="A879" s="15">
        <f>HYPERLINK("https://vtmf.veevavault.com/ui/#doc_info/31445817/1/0", "VTMF-25373213")</f>
        <v/>
      </c>
      <c r="B879" s="20" t="inlineStr">
        <is>
          <t>Yes</t>
        </is>
      </c>
      <c r="C879" s="5" t="inlineStr">
        <is>
          <t>1.0</t>
        </is>
      </c>
      <c r="D879" s="5" t="inlineStr">
        <is>
          <t>GCO</t>
        </is>
      </c>
      <c r="E879" s="5" t="inlineStr">
        <is>
          <t>42847922MDD3003</t>
        </is>
      </c>
      <c r="F879" s="16">
        <f>HYPERLINK("https://vtmf.veevavault.com/ui/#doc_info/31445817/1/0", "42847922MDD3003-TUR-S10-TR10012-Relevant Communications-24 Nov 2025 (v1.0)")</f>
        <v/>
      </c>
      <c r="G879" s="5" t="inlineStr">
        <is>
          <t>Site Management</t>
        </is>
      </c>
      <c r="H879" s="5" t="inlineStr">
        <is>
          <t>General</t>
        </is>
      </c>
      <c r="I879" s="5" t="inlineStr">
        <is>
          <t>Relevant Communications</t>
        </is>
      </c>
      <c r="J879" s="5" t="inlineStr">
        <is>
          <t>TURKIYE-TR10012- SubjectTR100120008- Screening Period Extension</t>
        </is>
      </c>
      <c r="K879" s="6" t="n">
        <v>140</v>
      </c>
      <c r="L879" s="7" t="n">
        <v>45985</v>
      </c>
      <c r="M879" s="11" t="n">
        <v>46125</v>
      </c>
      <c r="N879" s="5" t="inlineStr">
        <is>
          <t>Approved</t>
        </is>
      </c>
      <c r="O879" s="5" t="inlineStr">
        <is>
          <t>Site</t>
        </is>
      </c>
      <c r="P879" s="5" t="inlineStr">
        <is>
          <t>Türkiye</t>
        </is>
      </c>
      <c r="Q879" s="13" t="inlineStr">
        <is>
          <t>S10-TR10012</t>
        </is>
      </c>
      <c r="R879" s="5" t="inlineStr">
        <is>
          <t>Debhora Garcia</t>
        </is>
      </c>
      <c r="S879" s="8" t="n">
        <v>46126.13084490741</v>
      </c>
    </row>
    <row r="880" hidden="1" ht="43.5" customHeight="1">
      <c r="A880" s="15">
        <f>HYPERLINK("https://vtmf.veevavault.com/ui/#doc_info/31445819/1/0", "VTMF-25373216")</f>
        <v/>
      </c>
      <c r="B880" s="20" t="inlineStr">
        <is>
          <t>Yes</t>
        </is>
      </c>
      <c r="C880" s="5" t="inlineStr">
        <is>
          <t>1.0</t>
        </is>
      </c>
      <c r="D880" s="5" t="inlineStr">
        <is>
          <t>GCO</t>
        </is>
      </c>
      <c r="E880" s="5" t="inlineStr">
        <is>
          <t>42847922MDD3003</t>
        </is>
      </c>
      <c r="F880" s="16">
        <f>HYPERLINK("https://vtmf.veevavault.com/ui/#doc_info/31445819/1/0", "42847922MDD3003-CZE-S10-CZ10004-Relevant Communications-25 Nov 2025 (v1.0)")</f>
        <v/>
      </c>
      <c r="G880" s="5" t="inlineStr">
        <is>
          <t>Site Management</t>
        </is>
      </c>
      <c r="H880" s="5" t="inlineStr">
        <is>
          <t>General</t>
        </is>
      </c>
      <c r="I880" s="5" t="inlineStr">
        <is>
          <t>Relevant Communications</t>
        </is>
      </c>
      <c r="J880" s="5" t="inlineStr">
        <is>
          <t>PI_ Erik Herman_ Site_S10-CZ10004_Subject_CZ100040004_ IQVIA Eligibility Review_ Approved</t>
        </is>
      </c>
      <c r="K880" s="6" t="n">
        <v>139</v>
      </c>
      <c r="L880" s="7" t="n">
        <v>45986</v>
      </c>
      <c r="M880" s="11" t="n">
        <v>46125</v>
      </c>
      <c r="N880" s="5" t="inlineStr">
        <is>
          <t>Approved</t>
        </is>
      </c>
      <c r="O880" s="5" t="inlineStr">
        <is>
          <t>Site</t>
        </is>
      </c>
      <c r="P880" s="5" t="inlineStr">
        <is>
          <t>Czech Republic</t>
        </is>
      </c>
      <c r="Q880" s="13" t="inlineStr">
        <is>
          <t>S10-CZ10004</t>
        </is>
      </c>
      <c r="R880" s="5" t="inlineStr">
        <is>
          <t>Debhora Garcia</t>
        </is>
      </c>
      <c r="S880" s="8" t="n">
        <v>46126.13196759259</v>
      </c>
    </row>
    <row r="881" hidden="1" ht="29" customHeight="1">
      <c r="A881" s="15">
        <f>HYPERLINK("https://vtmf.veevavault.com/ui/#doc_info/31445822/1/0", "VTMF-25373232")</f>
        <v/>
      </c>
      <c r="B881" s="20" t="inlineStr">
        <is>
          <t>Yes</t>
        </is>
      </c>
      <c r="C881" s="5" t="inlineStr">
        <is>
          <t>1.0</t>
        </is>
      </c>
      <c r="D881" s="5" t="inlineStr">
        <is>
          <t>GCO</t>
        </is>
      </c>
      <c r="E881" s="5" t="inlineStr">
        <is>
          <t>42847922MDD3003</t>
        </is>
      </c>
      <c r="F881" s="16">
        <f>HYPERLINK("https://vtmf.veevavault.com/ui/#doc_info/31445822/1/0", "42847922MDD3003-BRA-S10-BR10002-Relevant Communications-26 Nov 2025 (v1.0)")</f>
        <v/>
      </c>
      <c r="G881" s="5" t="inlineStr">
        <is>
          <t>Site Management</t>
        </is>
      </c>
      <c r="H881" s="5" t="inlineStr">
        <is>
          <t>General</t>
        </is>
      </c>
      <c r="I881" s="5" t="inlineStr">
        <is>
          <t>Relevant Communications</t>
        </is>
      </c>
      <c r="J881" s="5" t="inlineStr">
        <is>
          <t>PI_Sandra Ruschel_ Site_S10-BR10002_Subject_ BR100020033 _IQVIA Eligibility Review_Approved</t>
        </is>
      </c>
      <c r="K881" s="6" t="n">
        <v>138</v>
      </c>
      <c r="L881" s="7" t="n">
        <v>45987</v>
      </c>
      <c r="M881" s="11" t="n">
        <v>46125</v>
      </c>
      <c r="N881" s="5" t="inlineStr">
        <is>
          <t>Approved</t>
        </is>
      </c>
      <c r="O881" s="5" t="inlineStr">
        <is>
          <t>Site</t>
        </is>
      </c>
      <c r="P881" s="5" t="inlineStr">
        <is>
          <t>Brazil</t>
        </is>
      </c>
      <c r="Q881" s="13" t="inlineStr">
        <is>
          <t>S10-BR10002</t>
        </is>
      </c>
      <c r="R881" s="5" t="inlineStr">
        <is>
          <t>Debhora Garcia</t>
        </is>
      </c>
      <c r="S881" s="8" t="n">
        <v>46126.13393518519</v>
      </c>
    </row>
    <row r="882" hidden="1" ht="29" customHeight="1">
      <c r="A882" s="15">
        <f>HYPERLINK("https://vtmf.veevavault.com/ui/#doc_info/31445826/1/0", "VTMF-25373238")</f>
        <v/>
      </c>
      <c r="B882" s="20" t="inlineStr">
        <is>
          <t>Yes</t>
        </is>
      </c>
      <c r="C882" s="5" t="inlineStr">
        <is>
          <t>1.0</t>
        </is>
      </c>
      <c r="D882" s="5" t="inlineStr">
        <is>
          <t>GCO</t>
        </is>
      </c>
      <c r="E882" s="5" t="inlineStr">
        <is>
          <t>42847922MDD3003</t>
        </is>
      </c>
      <c r="F882" s="16">
        <f>HYPERLINK("https://vtmf.veevavault.com/ui/#doc_info/31445826/1/0", "42847922MDD3003-PRT-S10-PT10012-Relevant Communications-26 Nov 2025 (v1.0)")</f>
        <v/>
      </c>
      <c r="G882" s="5" t="inlineStr">
        <is>
          <t>Site Management</t>
        </is>
      </c>
      <c r="H882" s="5" t="inlineStr">
        <is>
          <t>General</t>
        </is>
      </c>
      <c r="I882" s="5" t="inlineStr">
        <is>
          <t>Relevant Communications</t>
        </is>
      </c>
      <c r="J882" s="5" t="inlineStr">
        <is>
          <t>PI - Antonio Talina _Site ID_ S10-PT10012 - PT100120002_IQVIA Eligibility Review_ Screen failed</t>
        </is>
      </c>
      <c r="K882" s="6" t="n">
        <v>138</v>
      </c>
      <c r="L882" s="7" t="n">
        <v>45987</v>
      </c>
      <c r="M882" s="11" t="n">
        <v>46125</v>
      </c>
      <c r="N882" s="5" t="inlineStr">
        <is>
          <t>Approved</t>
        </is>
      </c>
      <c r="O882" s="5" t="inlineStr">
        <is>
          <t>Site</t>
        </is>
      </c>
      <c r="P882" s="5" t="inlineStr">
        <is>
          <t>Portugal</t>
        </is>
      </c>
      <c r="Q882" s="13" t="inlineStr">
        <is>
          <t>S10-PT10012</t>
        </is>
      </c>
      <c r="R882" s="5" t="inlineStr">
        <is>
          <t>Debhora Garcia</t>
        </is>
      </c>
      <c r="S882" s="8" t="n">
        <v>46126.1352662037</v>
      </c>
    </row>
    <row r="883" hidden="1" ht="29" customHeight="1">
      <c r="A883" s="15">
        <f>HYPERLINK("https://vtmf.veevavault.com/ui/#doc_info/31445834/1/0", "VTMF-25373250")</f>
        <v/>
      </c>
      <c r="B883" s="20" t="inlineStr">
        <is>
          <t>Yes</t>
        </is>
      </c>
      <c r="C883" s="5" t="inlineStr">
        <is>
          <t>1.0</t>
        </is>
      </c>
      <c r="D883" s="5" t="inlineStr">
        <is>
          <t>GCO</t>
        </is>
      </c>
      <c r="E883" s="5" t="inlineStr">
        <is>
          <t>42847922MDD3003</t>
        </is>
      </c>
      <c r="F883" s="16">
        <f>HYPERLINK("https://vtmf.veevavault.com/ui/#doc_info/31445834/1/0", "42847922MDD3003-USA-S10-US10027-Relevant Communications-22 Dec 2025 (v1.0)")</f>
        <v/>
      </c>
      <c r="G883" s="5" t="inlineStr">
        <is>
          <t>Site Management</t>
        </is>
      </c>
      <c r="H883" s="5" t="inlineStr">
        <is>
          <t>General</t>
        </is>
      </c>
      <c r="I883" s="5" t="inlineStr">
        <is>
          <t>Relevant Communications</t>
        </is>
      </c>
      <c r="J883" s="5" t="inlineStr">
        <is>
          <t>S10-US10027_ PI Conrad _ Subject US100270010 _Screening Period Extension Request _ APPROVED</t>
        </is>
      </c>
      <c r="K883" s="6" t="n">
        <v>112</v>
      </c>
      <c r="L883" s="7" t="n">
        <v>46013</v>
      </c>
      <c r="M883" s="11" t="n">
        <v>46125</v>
      </c>
      <c r="N883" s="5" t="inlineStr">
        <is>
          <t>Approved</t>
        </is>
      </c>
      <c r="O883" s="5" t="inlineStr">
        <is>
          <t>Site</t>
        </is>
      </c>
      <c r="P883" s="5" t="inlineStr">
        <is>
          <t>United States</t>
        </is>
      </c>
      <c r="Q883" s="13" t="inlineStr">
        <is>
          <t>S10-US10027</t>
        </is>
      </c>
      <c r="R883" s="5" t="inlineStr">
        <is>
          <t>Debhora Garcia</t>
        </is>
      </c>
      <c r="S883" s="8" t="n">
        <v>46126.13805555556</v>
      </c>
    </row>
    <row r="884" hidden="1" ht="43.5" customHeight="1">
      <c r="A884" s="15">
        <f>HYPERLINK("https://vtmf.veevavault.com/ui/#doc_info/31445836/1/0", "VTMF-25373256")</f>
        <v/>
      </c>
      <c r="B884" s="20" t="inlineStr">
        <is>
          <t>Yes</t>
        </is>
      </c>
      <c r="C884" s="5" t="inlineStr">
        <is>
          <t>1.0</t>
        </is>
      </c>
      <c r="D884" s="5" t="inlineStr">
        <is>
          <t>GCO</t>
        </is>
      </c>
      <c r="E884" s="5" t="inlineStr">
        <is>
          <t>42847922MDD3003</t>
        </is>
      </c>
      <c r="F884" s="16">
        <f>HYPERLINK("https://vtmf.veevavault.com/ui/#doc_info/31445836/1/0", "42847922MDD3003-USA-S10-US10101-Relevant Communications-02 Jan 2026 (v1.0)")</f>
        <v/>
      </c>
      <c r="G884" s="5" t="inlineStr">
        <is>
          <t>Site Management</t>
        </is>
      </c>
      <c r="H884" s="5" t="inlineStr">
        <is>
          <t>General</t>
        </is>
      </c>
      <c r="I884" s="5" t="inlineStr">
        <is>
          <t>Relevant Communications</t>
        </is>
      </c>
      <c r="J884" s="5" t="inlineStr">
        <is>
          <t>Site S10-US10101_PI Saundra Maass Robinson__Subject US101010012 _ Screening Period Extension_ APPROVED</t>
        </is>
      </c>
      <c r="K884" s="6" t="n">
        <v>101</v>
      </c>
      <c r="L884" s="7" t="n">
        <v>46024</v>
      </c>
      <c r="M884" s="11" t="n">
        <v>46125</v>
      </c>
      <c r="N884" s="5" t="inlineStr">
        <is>
          <t>Approved</t>
        </is>
      </c>
      <c r="O884" s="5" t="inlineStr">
        <is>
          <t>Site</t>
        </is>
      </c>
      <c r="P884" s="5" t="inlineStr">
        <is>
          <t>United States</t>
        </is>
      </c>
      <c r="Q884" s="13" t="inlineStr">
        <is>
          <t>S10-US10101</t>
        </is>
      </c>
      <c r="R884" s="5" t="inlineStr">
        <is>
          <t>Debhora Garcia</t>
        </is>
      </c>
      <c r="S884" s="8" t="n">
        <v>46126.14032407408</v>
      </c>
    </row>
    <row r="885" hidden="1" ht="29" customHeight="1">
      <c r="A885" s="15">
        <f>HYPERLINK("https://vtmf.veevavault.com/ui/#doc_info/31445839/1/0", "VTMF-25373260")</f>
        <v/>
      </c>
      <c r="B885" s="20" t="inlineStr">
        <is>
          <t>Yes</t>
        </is>
      </c>
      <c r="C885" s="5" t="inlineStr">
        <is>
          <t>1.0</t>
        </is>
      </c>
      <c r="D885" s="5" t="inlineStr">
        <is>
          <t>GCO</t>
        </is>
      </c>
      <c r="E885" s="5" t="inlineStr">
        <is>
          <t>42847922MDD3003</t>
        </is>
      </c>
      <c r="F885" s="16">
        <f>HYPERLINK("https://vtmf.veevavault.com/ui/#doc_info/31445839/1/0", "42847922MDD3003-USA-S10-US10101-Relevant Communications-02 Jan 2026 (v1.0)")</f>
        <v/>
      </c>
      <c r="G885" s="5" t="inlineStr">
        <is>
          <t>Site Management</t>
        </is>
      </c>
      <c r="H885" s="5" t="inlineStr">
        <is>
          <t>General</t>
        </is>
      </c>
      <c r="I885" s="5" t="inlineStr">
        <is>
          <t>Relevant Communications</t>
        </is>
      </c>
      <c r="J885" s="5" t="inlineStr">
        <is>
          <t>Site 10101-_ PI_ Maass Robinson_ Subject 101010011 Screening Period Extension Request_ Approved</t>
        </is>
      </c>
      <c r="K885" s="6" t="n">
        <v>101</v>
      </c>
      <c r="L885" s="7" t="n">
        <v>46024</v>
      </c>
      <c r="M885" s="11" t="n">
        <v>46125</v>
      </c>
      <c r="N885" s="5" t="inlineStr">
        <is>
          <t>Approved</t>
        </is>
      </c>
      <c r="O885" s="5" t="inlineStr">
        <is>
          <t>Site</t>
        </is>
      </c>
      <c r="P885" s="5" t="inlineStr">
        <is>
          <t>United States</t>
        </is>
      </c>
      <c r="Q885" s="13" t="inlineStr">
        <is>
          <t>S10-US10101</t>
        </is>
      </c>
      <c r="R885" s="5" t="inlineStr">
        <is>
          <t>Debhora Garcia</t>
        </is>
      </c>
      <c r="S885" s="8" t="n">
        <v>46126.14192129629</v>
      </c>
    </row>
    <row r="886" hidden="1" ht="29" customHeight="1">
      <c r="A886" s="15">
        <f>HYPERLINK("https://vtmf.veevavault.com/ui/#doc_info/31445842/1/0", "VTMF-25373265")</f>
        <v/>
      </c>
      <c r="B886" s="20" t="inlineStr">
        <is>
          <t>Yes</t>
        </is>
      </c>
      <c r="C886" s="5" t="inlineStr">
        <is>
          <t>1.0</t>
        </is>
      </c>
      <c r="D886" s="5" t="inlineStr">
        <is>
          <t>GCO</t>
        </is>
      </c>
      <c r="E886" s="5" t="inlineStr">
        <is>
          <t>42847922MDD3003</t>
        </is>
      </c>
      <c r="F886" s="16">
        <f>HYPERLINK("https://vtmf.veevavault.com/ui/#doc_info/31445842/1/0", "42847922MDD3003-USA-S10-US10040-Relevant Communications-08 Jan 2026 (v1.0)")</f>
        <v/>
      </c>
      <c r="G886" s="5" t="inlineStr">
        <is>
          <t>Site Management</t>
        </is>
      </c>
      <c r="H886" s="5" t="inlineStr">
        <is>
          <t>General</t>
        </is>
      </c>
      <c r="I886" s="5" t="inlineStr">
        <is>
          <t>Relevant Communications</t>
        </is>
      </c>
      <c r="J886" s="5" t="inlineStr">
        <is>
          <t>PI Daniel Rutrick_Site S10-US10040_Subject US100400042_ IQVIA Eligibility Review_Approved</t>
        </is>
      </c>
      <c r="K886" s="6" t="n">
        <v>95</v>
      </c>
      <c r="L886" s="7" t="n">
        <v>46030</v>
      </c>
      <c r="M886" s="11" t="n">
        <v>46125</v>
      </c>
      <c r="N886" s="5" t="inlineStr">
        <is>
          <t>Approved</t>
        </is>
      </c>
      <c r="O886" s="5" t="inlineStr">
        <is>
          <t>Site</t>
        </is>
      </c>
      <c r="P886" s="5" t="inlineStr">
        <is>
          <t>United States</t>
        </is>
      </c>
      <c r="Q886" s="13" t="inlineStr">
        <is>
          <t>S10-US10040</t>
        </is>
      </c>
      <c r="R886" s="5" t="inlineStr">
        <is>
          <t>Debhora Garcia</t>
        </is>
      </c>
      <c r="S886" s="8" t="n">
        <v>46126.14311342593</v>
      </c>
    </row>
    <row r="887" hidden="1" ht="29" customHeight="1">
      <c r="A887" s="15">
        <f>HYPERLINK("https://vtmf.veevavault.com/ui/#doc_info/31445847/1/0", "VTMF-25373274")</f>
        <v/>
      </c>
      <c r="B887" s="20" t="inlineStr">
        <is>
          <t>Yes</t>
        </is>
      </c>
      <c r="C887" s="5" t="inlineStr">
        <is>
          <t>1.0</t>
        </is>
      </c>
      <c r="D887" s="5" t="inlineStr">
        <is>
          <t>GCO</t>
        </is>
      </c>
      <c r="E887" s="5" t="inlineStr">
        <is>
          <t>42847922MDD3003</t>
        </is>
      </c>
      <c r="F887" s="16">
        <f>HYPERLINK("https://vtmf.veevavault.com/ui/#doc_info/31445847/1/0", "42847922MDD3003-USA-S10-US10015-Relevant Communications-08 Jan 2026 (v1.0)")</f>
        <v/>
      </c>
      <c r="G887" s="5" t="inlineStr">
        <is>
          <t>Site Management</t>
        </is>
      </c>
      <c r="H887" s="5" t="inlineStr">
        <is>
          <t>General</t>
        </is>
      </c>
      <c r="I887" s="5" t="inlineStr">
        <is>
          <t>Relevant Communications</t>
        </is>
      </c>
      <c r="J887" s="5" t="inlineStr">
        <is>
          <t>PI Jesse Carr_ Site S10-US10015_Subject US100150015_IQVIA Eligibility Review_ Approved</t>
        </is>
      </c>
      <c r="K887" s="6" t="n">
        <v>95</v>
      </c>
      <c r="L887" s="7" t="n">
        <v>46030</v>
      </c>
      <c r="M887" s="11" t="n">
        <v>46125</v>
      </c>
      <c r="N887" s="5" t="inlineStr">
        <is>
          <t>Approved</t>
        </is>
      </c>
      <c r="O887" s="5" t="inlineStr">
        <is>
          <t>Site</t>
        </is>
      </c>
      <c r="P887" s="5" t="inlineStr">
        <is>
          <t>United States</t>
        </is>
      </c>
      <c r="Q887" s="13" t="inlineStr">
        <is>
          <t>S10-US10015</t>
        </is>
      </c>
      <c r="R887" s="5" t="inlineStr">
        <is>
          <t>Debhora Garcia</t>
        </is>
      </c>
      <c r="S887" s="8" t="n">
        <v>46126.14469907407</v>
      </c>
    </row>
    <row r="888" hidden="1" ht="29" customHeight="1">
      <c r="A888" s="15">
        <f>HYPERLINK("https://vtmf.veevavault.com/ui/#doc_info/31445763/1/0", "VTMF-25373275")</f>
        <v/>
      </c>
      <c r="B888" s="20" t="inlineStr">
        <is>
          <t>Yes</t>
        </is>
      </c>
      <c r="C888" s="5" t="inlineStr">
        <is>
          <t>1.0</t>
        </is>
      </c>
      <c r="D888" s="5" t="inlineStr">
        <is>
          <t>GCO</t>
        </is>
      </c>
      <c r="E888" s="5" t="inlineStr">
        <is>
          <t>42847922MDD3003</t>
        </is>
      </c>
      <c r="F888" s="16">
        <f>HYPERLINK("https://vtmf.veevavault.com/ui/#doc_info/31445763/1/0", "42847922MDD3003-SRB-S10-RS10006-Relevant Communications-08 Jan 2026 (v1.0)")</f>
        <v/>
      </c>
      <c r="G888" s="5" t="inlineStr">
        <is>
          <t>Site Management</t>
        </is>
      </c>
      <c r="H888" s="5" t="inlineStr">
        <is>
          <t>General</t>
        </is>
      </c>
      <c r="I888" s="5" t="inlineStr">
        <is>
          <t>Relevant Communications</t>
        </is>
      </c>
      <c r="J888" s="5" t="inlineStr">
        <is>
          <t>PI Milan Stanojkovic_ Site S10-RS10006_Subject RS100060003_IQVIA Eligibility Review_ Approved</t>
        </is>
      </c>
      <c r="K888" s="6" t="n">
        <v>95</v>
      </c>
      <c r="L888" s="7" t="n">
        <v>46030</v>
      </c>
      <c r="M888" s="11" t="n">
        <v>46125</v>
      </c>
      <c r="N888" s="5" t="inlineStr">
        <is>
          <t>Approved</t>
        </is>
      </c>
      <c r="O888" s="5" t="inlineStr">
        <is>
          <t>Site</t>
        </is>
      </c>
      <c r="P888" s="5" t="inlineStr">
        <is>
          <t>Serbia</t>
        </is>
      </c>
      <c r="Q888" s="13" t="inlineStr">
        <is>
          <t>S10-RS10006</t>
        </is>
      </c>
      <c r="R888" s="5" t="inlineStr">
        <is>
          <t>Debhora Garcia</t>
        </is>
      </c>
      <c r="S888" s="8" t="n">
        <v>46126.14599537037</v>
      </c>
    </row>
    <row r="889" hidden="1" ht="29" customHeight="1">
      <c r="A889" s="15">
        <f>HYPERLINK("https://vtmf.veevavault.com/ui/#doc_info/31445764/1/0", "VTMF-25373279")</f>
        <v/>
      </c>
      <c r="B889" s="20" t="inlineStr">
        <is>
          <t>Yes</t>
        </is>
      </c>
      <c r="C889" s="5" t="inlineStr">
        <is>
          <t>1.0</t>
        </is>
      </c>
      <c r="D889" s="5" t="inlineStr">
        <is>
          <t>GCO</t>
        </is>
      </c>
      <c r="E889" s="5" t="inlineStr">
        <is>
          <t>42847922MDD3003</t>
        </is>
      </c>
      <c r="F889" s="16">
        <f>HYPERLINK("https://vtmf.veevavault.com/ui/#doc_info/31445764/1/0", "42847922MDD3003-ARG-S10-AR10012-Relevant Communications-09 Jan 2026 (v1.0)")</f>
        <v/>
      </c>
      <c r="G889" s="5" t="inlineStr">
        <is>
          <t>Site Management</t>
        </is>
      </c>
      <c r="H889" s="5" t="inlineStr">
        <is>
          <t>General</t>
        </is>
      </c>
      <c r="I889" s="5" t="inlineStr">
        <is>
          <t>Relevant Communications</t>
        </is>
      </c>
      <c r="J889" s="5" t="inlineStr">
        <is>
          <t>Site S10-AR10012_PI Lupo_ SUBJECT AR100120018_ Screening Period Extension Request_ Approved</t>
        </is>
      </c>
      <c r="K889" s="6" t="n">
        <v>94</v>
      </c>
      <c r="L889" s="7" t="n">
        <v>46031</v>
      </c>
      <c r="M889" s="11" t="n">
        <v>46125</v>
      </c>
      <c r="N889" s="5" t="inlineStr">
        <is>
          <t>Approved</t>
        </is>
      </c>
      <c r="O889" s="5" t="inlineStr">
        <is>
          <t>Site</t>
        </is>
      </c>
      <c r="P889" s="5" t="inlineStr">
        <is>
          <t>Argentina</t>
        </is>
      </c>
      <c r="Q889" s="13" t="inlineStr">
        <is>
          <t>S10-AR10012</t>
        </is>
      </c>
      <c r="R889" s="5" t="inlineStr">
        <is>
          <t>Debhora Garcia</t>
        </is>
      </c>
      <c r="S889" s="8" t="n">
        <v>46126.14712962963</v>
      </c>
    </row>
    <row r="890" hidden="1" ht="29" customHeight="1">
      <c r="A890" s="15">
        <f>HYPERLINK("https://vtmf.veevavault.com/ui/#doc_info/31445765/1/0", "VTMF-25373281")</f>
        <v/>
      </c>
      <c r="B890" s="20" t="inlineStr">
        <is>
          <t>Yes</t>
        </is>
      </c>
      <c r="C890" s="5" t="inlineStr">
        <is>
          <t>1.0</t>
        </is>
      </c>
      <c r="D890" s="5" t="inlineStr">
        <is>
          <t>GCO</t>
        </is>
      </c>
      <c r="E890" s="5" t="inlineStr">
        <is>
          <t>42847922MDD3003</t>
        </is>
      </c>
      <c r="F890" s="16">
        <f>HYPERLINK("https://vtmf.veevavault.com/ui/#doc_info/31445765/1/0", "42847922MDD3003-USA-S10-US10040-Relevant Communications-14 Jan 2026 (v1.0)")</f>
        <v/>
      </c>
      <c r="G890" s="5" t="inlineStr">
        <is>
          <t>Site Management</t>
        </is>
      </c>
      <c r="H890" s="5" t="inlineStr">
        <is>
          <t>General</t>
        </is>
      </c>
      <c r="I890" s="5" t="inlineStr">
        <is>
          <t>Relevant Communications</t>
        </is>
      </c>
      <c r="J890" s="5" t="inlineStr">
        <is>
          <t>Site US10040_ PI-Daniel Rutrick_ Subject US100400041_IQVIA Eligibility Review_ Approved</t>
        </is>
      </c>
      <c r="K890" s="6" t="n">
        <v>89</v>
      </c>
      <c r="L890" s="7" t="n">
        <v>46036</v>
      </c>
      <c r="M890" s="11" t="n">
        <v>46125</v>
      </c>
      <c r="N890" s="5" t="inlineStr">
        <is>
          <t>Approved</t>
        </is>
      </c>
      <c r="O890" s="5" t="inlineStr">
        <is>
          <t>Site</t>
        </is>
      </c>
      <c r="P890" s="5" t="inlineStr">
        <is>
          <t>United States</t>
        </is>
      </c>
      <c r="Q890" s="13" t="inlineStr">
        <is>
          <t>S10-US10040</t>
        </is>
      </c>
      <c r="R890" s="5" t="inlineStr">
        <is>
          <t>Debhora Garcia</t>
        </is>
      </c>
      <c r="S890" s="8" t="n">
        <v>46126.14849537037</v>
      </c>
    </row>
    <row r="891" hidden="1" ht="29" customHeight="1">
      <c r="A891" s="15">
        <f>HYPERLINK("https://vtmf.veevavault.com/ui/#doc_info/31445766/1/0", "VTMF-25373283")</f>
        <v/>
      </c>
      <c r="B891" s="20" t="inlineStr">
        <is>
          <t>Yes</t>
        </is>
      </c>
      <c r="C891" s="5" t="inlineStr">
        <is>
          <t>1.0</t>
        </is>
      </c>
      <c r="D891" s="5" t="inlineStr">
        <is>
          <t>GCO</t>
        </is>
      </c>
      <c r="E891" s="5" t="inlineStr">
        <is>
          <t>42847922MDD3003</t>
        </is>
      </c>
      <c r="F891" s="16">
        <f>HYPERLINK("https://vtmf.veevavault.com/ui/#doc_info/31445766/1/0", "42847922MDD3003-USA-S10-US10256-Relevant Communications-14 Jan 2026 (v1.0)")</f>
        <v/>
      </c>
      <c r="G891" s="5" t="inlineStr">
        <is>
          <t>Site Management</t>
        </is>
      </c>
      <c r="H891" s="5" t="inlineStr">
        <is>
          <t>General</t>
        </is>
      </c>
      <c r="I891" s="5" t="inlineStr">
        <is>
          <t>Relevant Communications</t>
        </is>
      </c>
      <c r="J891" s="5" t="inlineStr">
        <is>
          <t>Site US10256 Cheekati Subject US102560021 Screening Period Extension Request_ APPROVED</t>
        </is>
      </c>
      <c r="K891" s="6" t="n">
        <v>89</v>
      </c>
      <c r="L891" s="7" t="n">
        <v>46036</v>
      </c>
      <c r="M891" s="11" t="n">
        <v>46125</v>
      </c>
      <c r="N891" s="5" t="inlineStr">
        <is>
          <t>Approved</t>
        </is>
      </c>
      <c r="O891" s="5" t="inlineStr">
        <is>
          <t>Site</t>
        </is>
      </c>
      <c r="P891" s="5" t="inlineStr">
        <is>
          <t>United States</t>
        </is>
      </c>
      <c r="Q891" s="13" t="inlineStr">
        <is>
          <t>S10-US10256</t>
        </is>
      </c>
      <c r="R891" s="5" t="inlineStr">
        <is>
          <t>Debhora Garcia</t>
        </is>
      </c>
      <c r="S891" s="8" t="n">
        <v>46126.1496875</v>
      </c>
    </row>
    <row r="892" hidden="1" ht="29" customHeight="1">
      <c r="A892" s="15">
        <f>HYPERLINK("https://vtmf.veevavault.com/ui/#doc_info/31445770/1/0", "VTMF-25373290")</f>
        <v/>
      </c>
      <c r="B892" s="20" t="inlineStr">
        <is>
          <t>Yes</t>
        </is>
      </c>
      <c r="C892" s="5" t="inlineStr">
        <is>
          <t>1.0</t>
        </is>
      </c>
      <c r="D892" s="5" t="inlineStr">
        <is>
          <t>GCO</t>
        </is>
      </c>
      <c r="E892" s="5" t="inlineStr">
        <is>
          <t>42847922MDD3003</t>
        </is>
      </c>
      <c r="F892" s="16">
        <f>HYPERLINK("https://vtmf.veevavault.com/ui/#doc_info/31445770/1/0", "42847922MDD3003-USA-S10-US10212-Relevant Communications-16 Jan 2026 (v1.0)")</f>
        <v/>
      </c>
      <c r="G892" s="5" t="inlineStr">
        <is>
          <t>Site Management</t>
        </is>
      </c>
      <c r="H892" s="5" t="inlineStr">
        <is>
          <t>General</t>
        </is>
      </c>
      <c r="I892" s="5" t="inlineStr">
        <is>
          <t>Relevant Communications</t>
        </is>
      </c>
      <c r="J892" s="5" t="inlineStr">
        <is>
          <t>S10-US10212_ PI Zaidi _ Subject US102120022 _Screening Period Extension Request _APPROVED</t>
        </is>
      </c>
      <c r="K892" s="6" t="n">
        <v>87</v>
      </c>
      <c r="L892" s="7" t="n">
        <v>46038</v>
      </c>
      <c r="M892" s="11" t="n">
        <v>46125</v>
      </c>
      <c r="N892" s="5" t="inlineStr">
        <is>
          <t>Approved</t>
        </is>
      </c>
      <c r="O892" s="5" t="inlineStr">
        <is>
          <t>Site</t>
        </is>
      </c>
      <c r="P892" s="5" t="inlineStr">
        <is>
          <t>United States</t>
        </is>
      </c>
      <c r="Q892" s="13" t="inlineStr">
        <is>
          <t>S10-US10212</t>
        </is>
      </c>
      <c r="R892" s="5" t="inlineStr">
        <is>
          <t>Debhora Garcia</t>
        </is>
      </c>
      <c r="S892" s="8" t="n">
        <v>46126.15097222223</v>
      </c>
    </row>
    <row r="893" hidden="1" ht="29" customHeight="1">
      <c r="A893" s="15">
        <f>HYPERLINK("https://vtmf.veevavault.com/ui/#doc_info/31445773/1/0", "VTMF-25373298")</f>
        <v/>
      </c>
      <c r="B893" s="20" t="inlineStr">
        <is>
          <t>Yes</t>
        </is>
      </c>
      <c r="C893" s="5" t="inlineStr">
        <is>
          <t>1.0</t>
        </is>
      </c>
      <c r="D893" s="5" t="inlineStr">
        <is>
          <t>GCO</t>
        </is>
      </c>
      <c r="E893" s="5" t="inlineStr">
        <is>
          <t>42847922MDD3003</t>
        </is>
      </c>
      <c r="F893" s="16">
        <f>HYPERLINK("https://vtmf.veevavault.com/ui/#doc_info/31445773/1/0", "42847922MDD3003-USA-S10-US10256-Relevant Communications-16 Jan 2026 (v1.0)")</f>
        <v/>
      </c>
      <c r="G893" s="5" t="inlineStr">
        <is>
          <t>Site Management</t>
        </is>
      </c>
      <c r="H893" s="5" t="inlineStr">
        <is>
          <t>General</t>
        </is>
      </c>
      <c r="I893" s="5" t="inlineStr">
        <is>
          <t>Relevant Communications</t>
        </is>
      </c>
      <c r="J893" s="5" t="inlineStr">
        <is>
          <t>US10256 Cheekati _ Subject US102560022 _ Screening Period Extension Request_ APPROVED</t>
        </is>
      </c>
      <c r="K893" s="6" t="n">
        <v>87</v>
      </c>
      <c r="L893" s="7" t="n">
        <v>46038</v>
      </c>
      <c r="M893" s="11" t="n">
        <v>46125</v>
      </c>
      <c r="N893" s="5" t="inlineStr">
        <is>
          <t>Approved</t>
        </is>
      </c>
      <c r="O893" s="5" t="inlineStr">
        <is>
          <t>Site</t>
        </is>
      </c>
      <c r="P893" s="5" t="inlineStr">
        <is>
          <t>United States</t>
        </is>
      </c>
      <c r="Q893" s="13" t="inlineStr">
        <is>
          <t>S10-US10256</t>
        </is>
      </c>
      <c r="R893" s="5" t="inlineStr">
        <is>
          <t>Debhora Garcia</t>
        </is>
      </c>
      <c r="S893" s="8" t="n">
        <v>46126.15203703703</v>
      </c>
    </row>
    <row r="894" hidden="1" ht="29" customHeight="1">
      <c r="A894" s="15">
        <f>HYPERLINK("https://vtmf.veevavault.com/ui/#doc_info/31445777/1/0", "VTMF-25373307")</f>
        <v/>
      </c>
      <c r="B894" s="20" t="inlineStr">
        <is>
          <t>Yes</t>
        </is>
      </c>
      <c r="C894" s="5" t="inlineStr">
        <is>
          <t>1.0</t>
        </is>
      </c>
      <c r="D894" s="5" t="inlineStr">
        <is>
          <t>GCO</t>
        </is>
      </c>
      <c r="E894" s="5" t="inlineStr">
        <is>
          <t>42847922MDD3003</t>
        </is>
      </c>
      <c r="F894" s="16">
        <f>HYPERLINK("https://vtmf.veevavault.com/ui/#doc_info/31445777/1/0", "42847922MDD3003-USA-S10-US10257-Relevant Communications-18 Jan 2026 (v1.0)")</f>
        <v/>
      </c>
      <c r="G894" s="5" t="inlineStr">
        <is>
          <t>Site Management</t>
        </is>
      </c>
      <c r="H894" s="5" t="inlineStr">
        <is>
          <t>General</t>
        </is>
      </c>
      <c r="I894" s="5" t="inlineStr">
        <is>
          <t>Relevant Communications</t>
        </is>
      </c>
      <c r="J894" s="5" t="inlineStr">
        <is>
          <t>PI Thomas Lester_Site S10-US10257_Subject US102570015_ IQVIA Eligibility Review_Approved</t>
        </is>
      </c>
      <c r="K894" s="6" t="n">
        <v>85</v>
      </c>
      <c r="L894" s="7" t="n">
        <v>46040</v>
      </c>
      <c r="M894" s="11" t="n">
        <v>46125</v>
      </c>
      <c r="N894" s="5" t="inlineStr">
        <is>
          <t>Approved</t>
        </is>
      </c>
      <c r="O894" s="5" t="inlineStr">
        <is>
          <t>Site</t>
        </is>
      </c>
      <c r="P894" s="5" t="inlineStr">
        <is>
          <t>United States</t>
        </is>
      </c>
      <c r="Q894" s="13" t="inlineStr">
        <is>
          <t>S10-US10257</t>
        </is>
      </c>
      <c r="R894" s="5" t="inlineStr">
        <is>
          <t>Debhora Garcia</t>
        </is>
      </c>
      <c r="S894" s="8" t="n">
        <v>46126.15336805556</v>
      </c>
    </row>
    <row r="895" hidden="1" ht="43.5" customHeight="1">
      <c r="A895" s="15">
        <f>HYPERLINK("https://vtmf.veevavault.com/ui/#doc_info/31445874/1/0", "VTMF-25373315")</f>
        <v/>
      </c>
      <c r="B895" s="20" t="inlineStr">
        <is>
          <t>Yes</t>
        </is>
      </c>
      <c r="C895" s="5" t="inlineStr">
        <is>
          <t>1.0</t>
        </is>
      </c>
      <c r="D895" s="5" t="inlineStr">
        <is>
          <t>GCO</t>
        </is>
      </c>
      <c r="E895" s="5" t="inlineStr">
        <is>
          <t>42847922MDD3003</t>
        </is>
      </c>
      <c r="F895" s="16">
        <f>HYPERLINK("https://vtmf.veevavault.com/ui/#doc_info/31445874/1/0", "42847922MDD3003-POL-S10-PL10011-Relevant Communications-19 Jan 2026 (v1.0)")</f>
        <v/>
      </c>
      <c r="G895" s="5" t="inlineStr">
        <is>
          <t>Site Management</t>
        </is>
      </c>
      <c r="H895" s="5" t="inlineStr">
        <is>
          <t>General</t>
        </is>
      </c>
      <c r="I895" s="5" t="inlineStr">
        <is>
          <t>Relevant Communications</t>
        </is>
      </c>
      <c r="J895" s="5" t="inlineStr">
        <is>
          <t>PI_ Bozena Pawelczyk_ Site_S10-PL10011_Subject_PL100110009_IQVIA Eligibility Review_Approved</t>
        </is>
      </c>
      <c r="K895" s="6" t="n">
        <v>84</v>
      </c>
      <c r="L895" s="7" t="n">
        <v>46041</v>
      </c>
      <c r="M895" s="11" t="n">
        <v>46125</v>
      </c>
      <c r="N895" s="5" t="inlineStr">
        <is>
          <t>Approved</t>
        </is>
      </c>
      <c r="O895" s="5" t="inlineStr">
        <is>
          <t>Site</t>
        </is>
      </c>
      <c r="P895" s="5" t="inlineStr">
        <is>
          <t>Poland</t>
        </is>
      </c>
      <c r="Q895" s="13" t="inlineStr">
        <is>
          <t>S10-PL10011</t>
        </is>
      </c>
      <c r="R895" s="5" t="inlineStr">
        <is>
          <t>Debhora Garcia</t>
        </is>
      </c>
      <c r="S895" s="8" t="n">
        <v>46126.15493055555</v>
      </c>
    </row>
    <row r="896" hidden="1" ht="43.5" customHeight="1">
      <c r="A896" s="15">
        <f>HYPERLINK("https://vtmf.veevavault.com/ui/#doc_info/31445880/1/0", "VTMF-25373324")</f>
        <v/>
      </c>
      <c r="B896" s="20" t="inlineStr">
        <is>
          <t>Yes</t>
        </is>
      </c>
      <c r="C896" s="5" t="inlineStr">
        <is>
          <t>1.0</t>
        </is>
      </c>
      <c r="D896" s="5" t="inlineStr">
        <is>
          <t>GCO</t>
        </is>
      </c>
      <c r="E896" s="5" t="inlineStr">
        <is>
          <t>42847922MDD3003</t>
        </is>
      </c>
      <c r="F896" s="16">
        <f>HYPERLINK("https://vtmf.veevavault.com/ui/#doc_info/31445880/1/0", "42847922MDD3003-USA-S10-US10188-Relevant Communications-10 Feb 2026 (v1.0)")</f>
        <v/>
      </c>
      <c r="G896" s="5" t="inlineStr">
        <is>
          <t>Site Management</t>
        </is>
      </c>
      <c r="H896" s="5" t="inlineStr">
        <is>
          <t>General</t>
        </is>
      </c>
      <c r="I896" s="5" t="inlineStr">
        <is>
          <t>Relevant Communications</t>
        </is>
      </c>
      <c r="J896" s="5" t="inlineStr">
        <is>
          <t>Site US10188 - Dr Rado Subject US101880009_ Screening Period Extension Request can NOT be approved 30 Day</t>
        </is>
      </c>
      <c r="K896" s="6" t="n">
        <v>62</v>
      </c>
      <c r="L896" s="7" t="n">
        <v>46063</v>
      </c>
      <c r="M896" s="11" t="n">
        <v>46125</v>
      </c>
      <c r="N896" s="5" t="inlineStr">
        <is>
          <t>Approved</t>
        </is>
      </c>
      <c r="O896" s="5" t="inlineStr">
        <is>
          <t>Site</t>
        </is>
      </c>
      <c r="P896" s="5" t="inlineStr">
        <is>
          <t>United States</t>
        </is>
      </c>
      <c r="Q896" s="13" t="inlineStr">
        <is>
          <t>S10-US10188</t>
        </is>
      </c>
      <c r="R896" s="5" t="inlineStr">
        <is>
          <t>Debhora Garcia</t>
        </is>
      </c>
      <c r="S896" s="8" t="n">
        <v>46126.15704861111</v>
      </c>
    </row>
    <row r="897" hidden="1" ht="29" customHeight="1">
      <c r="A897" s="15">
        <f>HYPERLINK("https://vtmf.veevavault.com/ui/#doc_info/31445886/1/0", "VTMF-25373331")</f>
        <v/>
      </c>
      <c r="B897" s="20" t="inlineStr">
        <is>
          <t>Yes</t>
        </is>
      </c>
      <c r="C897" s="5" t="inlineStr">
        <is>
          <t>1.0</t>
        </is>
      </c>
      <c r="D897" s="5" t="inlineStr">
        <is>
          <t>GCO</t>
        </is>
      </c>
      <c r="E897" s="5" t="inlineStr">
        <is>
          <t>42847922MDD3003</t>
        </is>
      </c>
      <c r="F897" s="16">
        <f>HYPERLINK("https://vtmf.veevavault.com/ui/#doc_info/31445886/1/0", "42847922MDD3003-POL-S10-PL10004-Relevant Communications-12 Feb 2026 (v1.0)")</f>
        <v/>
      </c>
      <c r="G897" s="5" t="inlineStr">
        <is>
          <t>Site Management</t>
        </is>
      </c>
      <c r="H897" s="5" t="inlineStr">
        <is>
          <t>General</t>
        </is>
      </c>
      <c r="I897" s="5" t="inlineStr">
        <is>
          <t>Relevant Communications</t>
        </is>
      </c>
      <c r="J897" s="5" t="inlineStr">
        <is>
          <t>PL10004_ PL100040011 - Screening Extension Request_ approved</t>
        </is>
      </c>
      <c r="K897" s="6" t="n">
        <v>60</v>
      </c>
      <c r="L897" s="7" t="n">
        <v>46065</v>
      </c>
      <c r="M897" s="11" t="n">
        <v>46125</v>
      </c>
      <c r="N897" s="5" t="inlineStr">
        <is>
          <t>Approved</t>
        </is>
      </c>
      <c r="O897" s="5" t="inlineStr">
        <is>
          <t>Site</t>
        </is>
      </c>
      <c r="P897" s="5" t="inlineStr">
        <is>
          <t>Poland</t>
        </is>
      </c>
      <c r="Q897" s="13" t="inlineStr">
        <is>
          <t>S10-PL10004</t>
        </is>
      </c>
      <c r="R897" s="5" t="inlineStr">
        <is>
          <t>Debhora Garcia</t>
        </is>
      </c>
      <c r="S897" s="8" t="n">
        <v>46126.15832175926</v>
      </c>
    </row>
    <row r="898" hidden="1" ht="29" customHeight="1">
      <c r="A898" s="15">
        <f>HYPERLINK("https://vtmf.veevavault.com/ui/#doc_info/31445888/1/0", "VTMF-25373334")</f>
        <v/>
      </c>
      <c r="B898" s="20" t="inlineStr">
        <is>
          <t>Yes</t>
        </is>
      </c>
      <c r="C898" s="5" t="inlineStr">
        <is>
          <t>1.0</t>
        </is>
      </c>
      <c r="D898" s="5" t="inlineStr">
        <is>
          <t>GCO</t>
        </is>
      </c>
      <c r="E898" s="5" t="inlineStr">
        <is>
          <t>42847922MDD3003</t>
        </is>
      </c>
      <c r="F898" s="16">
        <f>HYPERLINK("https://vtmf.veevavault.com/ui/#doc_info/31445888/1/0", "42847922MDD3003-USA-S10-US10257-Relevant Communications-18 Feb 2026 (v1.0)")</f>
        <v/>
      </c>
      <c r="G898" s="5" t="inlineStr">
        <is>
          <t>Site Management</t>
        </is>
      </c>
      <c r="H898" s="5" t="inlineStr">
        <is>
          <t>General</t>
        </is>
      </c>
      <c r="I898" s="5" t="inlineStr">
        <is>
          <t>Relevant Communications</t>
        </is>
      </c>
      <c r="J898" s="5" t="inlineStr">
        <is>
          <t>Site US10257_ PI Dr Lester_ Subject US102570019_ Screening Period Extension Request_ APPROVED</t>
        </is>
      </c>
      <c r="K898" s="6" t="n">
        <v>54</v>
      </c>
      <c r="L898" s="7" t="n">
        <v>46071</v>
      </c>
      <c r="M898" s="11" t="n">
        <v>46125</v>
      </c>
      <c r="N898" s="5" t="inlineStr">
        <is>
          <t>Approved</t>
        </is>
      </c>
      <c r="O898" s="5" t="inlineStr">
        <is>
          <t>Site</t>
        </is>
      </c>
      <c r="P898" s="5" t="inlineStr">
        <is>
          <t>United States</t>
        </is>
      </c>
      <c r="Q898" s="13" t="inlineStr">
        <is>
          <t>S10-US10257</t>
        </is>
      </c>
      <c r="R898" s="5" t="inlineStr">
        <is>
          <t>Debhora Garcia</t>
        </is>
      </c>
      <c r="S898" s="8" t="n">
        <v>46126.15934027778</v>
      </c>
    </row>
    <row r="899" hidden="1" ht="29" customHeight="1">
      <c r="A899" s="15">
        <f>HYPERLINK("https://vtmf.veevavault.com/ui/#doc_info/31445893/1/0", "VTMF-25373338")</f>
        <v/>
      </c>
      <c r="B899" s="20" t="inlineStr">
        <is>
          <t>Yes</t>
        </is>
      </c>
      <c r="C899" s="5" t="inlineStr">
        <is>
          <t>1.0</t>
        </is>
      </c>
      <c r="D899" s="5" t="inlineStr">
        <is>
          <t>GCO</t>
        </is>
      </c>
      <c r="E899" s="5" t="inlineStr">
        <is>
          <t>42847922MDD3003</t>
        </is>
      </c>
      <c r="F899" s="16">
        <f>HYPERLINK("https://vtmf.veevavault.com/ui/#doc_info/31445893/1/0", "42847922MDD3003-USA-S10-US10257-Relevant Communications-12 Mar 2026 (v1.0)")</f>
        <v/>
      </c>
      <c r="G899" s="5" t="inlineStr">
        <is>
          <t>Site Management</t>
        </is>
      </c>
      <c r="H899" s="5" t="inlineStr">
        <is>
          <t>General</t>
        </is>
      </c>
      <c r="I899" s="5" t="inlineStr">
        <is>
          <t>Relevant Communications</t>
        </is>
      </c>
      <c r="J899" s="5" t="inlineStr">
        <is>
          <t>Site S10-US10257_ PI Dr Lester_ Subject US102570024 Screening Period Extension Request- APPROVED</t>
        </is>
      </c>
      <c r="K899" s="6" t="n">
        <v>32</v>
      </c>
      <c r="L899" s="7" t="n">
        <v>46093</v>
      </c>
      <c r="M899" s="11" t="n">
        <v>46125</v>
      </c>
      <c r="N899" s="5" t="inlineStr">
        <is>
          <t>Approved</t>
        </is>
      </c>
      <c r="O899" s="5" t="inlineStr">
        <is>
          <t>Site</t>
        </is>
      </c>
      <c r="P899" s="5" t="inlineStr">
        <is>
          <t>United States</t>
        </is>
      </c>
      <c r="Q899" s="13" t="inlineStr">
        <is>
          <t>S10-US10257</t>
        </is>
      </c>
      <c r="R899" s="5" t="inlineStr">
        <is>
          <t>Debhora Garcia</t>
        </is>
      </c>
      <c r="S899" s="8" t="n">
        <v>46126.16052083333</v>
      </c>
    </row>
    <row r="900" hidden="1" ht="29" customHeight="1">
      <c r="A900" s="15">
        <f>HYPERLINK("https://vtmf.veevavault.com/ui/#doc_info/31459208/1/0", "VTMF-25384724")</f>
        <v/>
      </c>
      <c r="B900" s="20" t="inlineStr">
        <is>
          <t>Yes</t>
        </is>
      </c>
      <c r="C900" s="5" t="inlineStr">
        <is>
          <t>1.0</t>
        </is>
      </c>
      <c r="D900" s="5" t="inlineStr">
        <is>
          <t>GCO</t>
        </is>
      </c>
      <c r="E900" s="5" t="inlineStr">
        <is>
          <t>42847922MDD3003</t>
        </is>
      </c>
      <c r="F900" s="16">
        <f>HYPERLINK("https://vtmf.veevavault.com/ui/#doc_info/31459208/1/0", "42847922MDD3003-USA-S10-US10118-Relevant Communications-20 Dec 2024 (v1.0)")</f>
        <v/>
      </c>
      <c r="G900" s="5" t="inlineStr">
        <is>
          <t>Site Management</t>
        </is>
      </c>
      <c r="H900" s="5" t="inlineStr">
        <is>
          <t>General</t>
        </is>
      </c>
      <c r="I900" s="5" t="inlineStr">
        <is>
          <t>Relevant Communications</t>
        </is>
      </c>
      <c r="J900" s="5" t="inlineStr">
        <is>
          <t>Medication not prohibited_S10-US10118 Subject US101180001</t>
        </is>
      </c>
      <c r="K900" s="6" t="n">
        <v>481</v>
      </c>
      <c r="L900" s="7" t="n">
        <v>45646</v>
      </c>
      <c r="M900" s="11" t="n">
        <v>46127</v>
      </c>
      <c r="N900" s="5" t="inlineStr">
        <is>
          <t>Approved</t>
        </is>
      </c>
      <c r="O900" s="5" t="inlineStr">
        <is>
          <t>Site</t>
        </is>
      </c>
      <c r="P900" s="5" t="inlineStr">
        <is>
          <t>United States</t>
        </is>
      </c>
      <c r="Q900" s="13" t="inlineStr">
        <is>
          <t>S10-US10118</t>
        </is>
      </c>
      <c r="R900" s="5" t="inlineStr">
        <is>
          <t>Aurora Barbera</t>
        </is>
      </c>
      <c r="S900" s="8" t="n">
        <v>46127.53748842593</v>
      </c>
    </row>
    <row r="901" hidden="1" ht="29" customHeight="1">
      <c r="A901" s="15">
        <f>HYPERLINK("https://vtmf.veevavault.com/ui/#doc_info/31459415/1/0", "VTMF-25384903")</f>
        <v/>
      </c>
      <c r="B901" s="20" t="inlineStr">
        <is>
          <t>Yes</t>
        </is>
      </c>
      <c r="C901" s="5" t="inlineStr">
        <is>
          <t>1.0</t>
        </is>
      </c>
      <c r="D901" s="5" t="inlineStr">
        <is>
          <t>GCO</t>
        </is>
      </c>
      <c r="E901" s="5" t="inlineStr">
        <is>
          <t>42847922MDD3003</t>
        </is>
      </c>
      <c r="F901" s="16">
        <f>HYPERLINK("https://vtmf.veevavault.com/ui/#doc_info/31459415/1/0", "42847922MDD3003-USA-S10-US10002-Relevant Communications-03 Jan 2025 (v1.0)")</f>
        <v/>
      </c>
      <c r="G901" s="5" t="inlineStr">
        <is>
          <t>Site Management</t>
        </is>
      </c>
      <c r="H901" s="5" t="inlineStr">
        <is>
          <t>General</t>
        </is>
      </c>
      <c r="I901" s="5" t="inlineStr">
        <is>
          <t>Relevant Communications</t>
        </is>
      </c>
      <c r="J901" s="5" t="inlineStr">
        <is>
          <t>item pending to conduct SAFER Interview 2_S10-US10002 Subject US100020003</t>
        </is>
      </c>
      <c r="K901" s="6" t="n">
        <v>467</v>
      </c>
      <c r="L901" s="7" t="n">
        <v>45660</v>
      </c>
      <c r="M901" s="11" t="n">
        <v>46127</v>
      </c>
      <c r="N901" s="5" t="inlineStr">
        <is>
          <t>Approved</t>
        </is>
      </c>
      <c r="O901" s="5" t="inlineStr">
        <is>
          <t>Site</t>
        </is>
      </c>
      <c r="P901" s="5" t="inlineStr">
        <is>
          <t>United States</t>
        </is>
      </c>
      <c r="Q901" s="13" t="inlineStr">
        <is>
          <t>S10-US10002</t>
        </is>
      </c>
      <c r="R901" s="5" t="inlineStr">
        <is>
          <t>Aurora Barbera</t>
        </is>
      </c>
      <c r="S901" s="8" t="n">
        <v>46127.57121527778</v>
      </c>
    </row>
    <row r="902" hidden="1" ht="29" customHeight="1">
      <c r="A902" s="15">
        <f>HYPERLINK("https://vtmf.veevavault.com/ui/#doc_info/31459431/1/0", "VTMF-25384919")</f>
        <v/>
      </c>
      <c r="B902" s="20" t="inlineStr">
        <is>
          <t>Yes</t>
        </is>
      </c>
      <c r="C902" s="5" t="inlineStr">
        <is>
          <t>1.0</t>
        </is>
      </c>
      <c r="D902" s="5" t="inlineStr">
        <is>
          <t>GCO</t>
        </is>
      </c>
      <c r="E902" s="5" t="inlineStr">
        <is>
          <t>42847922MDD3003</t>
        </is>
      </c>
      <c r="F902" s="16">
        <f>HYPERLINK("https://vtmf.veevavault.com/ui/#doc_info/31459431/1/0", "42847922MDD3003-BRA-S10-BR10002-Relevant Communications-04 Jan 2025 (v1.0)")</f>
        <v/>
      </c>
      <c r="G902" s="5" t="inlineStr">
        <is>
          <t>Site Management</t>
        </is>
      </c>
      <c r="H902" s="5" t="inlineStr">
        <is>
          <t>General</t>
        </is>
      </c>
      <c r="I902" s="5" t="inlineStr">
        <is>
          <t>Relevant Communications</t>
        </is>
      </c>
      <c r="J902" s="5" t="inlineStr">
        <is>
          <t>Visit Part 1 screening_S10-BR10002 Subject BR100020003</t>
        </is>
      </c>
      <c r="K902" s="6" t="n">
        <v>466</v>
      </c>
      <c r="L902" s="7" t="n">
        <v>45661</v>
      </c>
      <c r="M902" s="11" t="n">
        <v>46127</v>
      </c>
      <c r="N902" s="5" t="inlineStr">
        <is>
          <t>Approved</t>
        </is>
      </c>
      <c r="O902" s="5" t="inlineStr">
        <is>
          <t>Site</t>
        </is>
      </c>
      <c r="P902" s="5" t="inlineStr">
        <is>
          <t>Brazil</t>
        </is>
      </c>
      <c r="Q902" s="13" t="inlineStr">
        <is>
          <t>S10-BR10002</t>
        </is>
      </c>
      <c r="R902" s="5" t="inlineStr">
        <is>
          <t>Aurora Barbera</t>
        </is>
      </c>
      <c r="S902" s="8" t="n">
        <v>46127.57324074074</v>
      </c>
    </row>
    <row r="903" hidden="1" ht="29" customHeight="1">
      <c r="A903" s="15">
        <f>HYPERLINK("https://vtmf.veevavault.com/ui/#doc_info/31459443/1/0", "VTMF-25384936")</f>
        <v/>
      </c>
      <c r="B903" s="20" t="inlineStr">
        <is>
          <t>Yes</t>
        </is>
      </c>
      <c r="C903" s="5" t="inlineStr">
        <is>
          <t>1.0</t>
        </is>
      </c>
      <c r="D903" s="5" t="inlineStr">
        <is>
          <t>GCO</t>
        </is>
      </c>
      <c r="E903" s="5" t="inlineStr">
        <is>
          <t>42847922MDD3003</t>
        </is>
      </c>
      <c r="F903" s="16">
        <f>HYPERLINK("https://vtmf.veevavault.com/ui/#doc_info/31459443/1/0", "42847922MDD3003-USA-S10-US10064-Relevant Communications-06 Jan 2025 (v1.0)")</f>
        <v/>
      </c>
      <c r="G903" s="5" t="inlineStr">
        <is>
          <t>Site Management</t>
        </is>
      </c>
      <c r="H903" s="5" t="inlineStr">
        <is>
          <t>General</t>
        </is>
      </c>
      <c r="I903" s="5" t="inlineStr">
        <is>
          <t>Relevant Communications</t>
        </is>
      </c>
      <c r="J903" s="5" t="inlineStr">
        <is>
          <t>Eligibility approved_S10-US10064 Dr Venereo Subject US100640014</t>
        </is>
      </c>
      <c r="K903" s="6" t="n">
        <v>464</v>
      </c>
      <c r="L903" s="7" t="n">
        <v>45663</v>
      </c>
      <c r="M903" s="11" t="n">
        <v>46127</v>
      </c>
      <c r="N903" s="5" t="inlineStr">
        <is>
          <t>Approved</t>
        </is>
      </c>
      <c r="O903" s="5" t="inlineStr">
        <is>
          <t>Site</t>
        </is>
      </c>
      <c r="P903" s="5" t="inlineStr">
        <is>
          <t>United States</t>
        </is>
      </c>
      <c r="Q903" s="13" t="inlineStr">
        <is>
          <t>S10-US10064</t>
        </is>
      </c>
      <c r="R903" s="5" t="inlineStr">
        <is>
          <t>Aurora Barbera</t>
        </is>
      </c>
      <c r="S903" s="8" t="n">
        <v>46127.57550925926</v>
      </c>
    </row>
    <row r="904" hidden="1" ht="29" customHeight="1">
      <c r="A904" s="15">
        <f>HYPERLINK("https://vtmf.veevavault.com/ui/#doc_info/31459451/1/0", "VTMF-25384944")</f>
        <v/>
      </c>
      <c r="B904" s="20" t="inlineStr">
        <is>
          <t>Yes</t>
        </is>
      </c>
      <c r="C904" s="5" t="inlineStr">
        <is>
          <t>1.0</t>
        </is>
      </c>
      <c r="D904" s="5" t="inlineStr">
        <is>
          <t>GCO</t>
        </is>
      </c>
      <c r="E904" s="5" t="inlineStr">
        <is>
          <t>42847922MDD3003</t>
        </is>
      </c>
      <c r="F904" s="16">
        <f>HYPERLINK("https://vtmf.veevavault.com/ui/#doc_info/31459451/1/0", "42847922MDD3003-BRA-S10-BR10002-Relevant Communications-07 Jan 2025 (v1.0)")</f>
        <v/>
      </c>
      <c r="G904" s="5" t="inlineStr">
        <is>
          <t>Site Management</t>
        </is>
      </c>
      <c r="H904" s="5" t="inlineStr">
        <is>
          <t>General</t>
        </is>
      </c>
      <c r="I904" s="5" t="inlineStr">
        <is>
          <t>Relevant Communications</t>
        </is>
      </c>
      <c r="J904" s="5" t="inlineStr">
        <is>
          <t>Visit Part 1 screening_S10-BR10002 Dr Ruschel Subject BR100020003</t>
        </is>
      </c>
      <c r="K904" s="6" t="n">
        <v>463</v>
      </c>
      <c r="L904" s="7" t="n">
        <v>45664</v>
      </c>
      <c r="M904" s="11" t="n">
        <v>46127</v>
      </c>
      <c r="N904" s="5" t="inlineStr">
        <is>
          <t>Approved</t>
        </is>
      </c>
      <c r="O904" s="5" t="inlineStr">
        <is>
          <t>Site</t>
        </is>
      </c>
      <c r="P904" s="5" t="inlineStr">
        <is>
          <t>Brazil</t>
        </is>
      </c>
      <c r="Q904" s="13" t="inlineStr">
        <is>
          <t>S10-BR10002</t>
        </is>
      </c>
      <c r="R904" s="5" t="inlineStr">
        <is>
          <t>Aurora Barbera</t>
        </is>
      </c>
      <c r="S904" s="8" t="n">
        <v>46127.57696759259</v>
      </c>
    </row>
    <row r="905" hidden="1" ht="29" customHeight="1">
      <c r="A905" s="15">
        <f>HYPERLINK("https://vtmf.veevavault.com/ui/#doc_info/31459512/1/0", "VTMF-25384966")</f>
        <v/>
      </c>
      <c r="B905" s="20" t="inlineStr">
        <is>
          <t>Yes</t>
        </is>
      </c>
      <c r="C905" s="5" t="inlineStr">
        <is>
          <t>1.0</t>
        </is>
      </c>
      <c r="D905" s="5" t="inlineStr">
        <is>
          <t>GCO</t>
        </is>
      </c>
      <c r="E905" s="5" t="inlineStr">
        <is>
          <t>42847922MDD3003</t>
        </is>
      </c>
      <c r="F905" s="16">
        <f>HYPERLINK("https://vtmf.veevavault.com/ui/#doc_info/31459512/1/0", "42847922MDD3003-USA-S10-US10007-Relevant Communications-10 Jan 2025 (v1.0)")</f>
        <v/>
      </c>
      <c r="G905" s="5" t="inlineStr">
        <is>
          <t>Site Management</t>
        </is>
      </c>
      <c r="H905" s="5" t="inlineStr">
        <is>
          <t>General</t>
        </is>
      </c>
      <c r="I905" s="5" t="inlineStr">
        <is>
          <t>Relevant Communications</t>
        </is>
      </c>
      <c r="J905" s="5" t="inlineStr">
        <is>
          <t>Eligibility approved_S10-US10007 Dr Vatakis Subject US100070010</t>
        </is>
      </c>
      <c r="K905" s="6" t="n">
        <v>460</v>
      </c>
      <c r="L905" s="7" t="n">
        <v>45667</v>
      </c>
      <c r="M905" s="11" t="n">
        <v>46127</v>
      </c>
      <c r="N905" s="5" t="inlineStr">
        <is>
          <t>Approved</t>
        </is>
      </c>
      <c r="O905" s="5" t="inlineStr">
        <is>
          <t>Site</t>
        </is>
      </c>
      <c r="P905" s="5" t="inlineStr">
        <is>
          <t>United States</t>
        </is>
      </c>
      <c r="Q905" s="13" t="inlineStr">
        <is>
          <t>S10-US10007</t>
        </is>
      </c>
      <c r="R905" s="5" t="inlineStr">
        <is>
          <t>Aurora Barbera</t>
        </is>
      </c>
      <c r="S905" s="8" t="n">
        <v>46127.57879629629</v>
      </c>
    </row>
    <row r="906" hidden="1" ht="29" customHeight="1">
      <c r="A906" s="15">
        <f>HYPERLINK("https://vtmf.veevavault.com/ui/#doc_info/31459519/1/0", "VTMF-25384973")</f>
        <v/>
      </c>
      <c r="B906" s="20" t="inlineStr">
        <is>
          <t>Yes</t>
        </is>
      </c>
      <c r="C906" s="5" t="inlineStr">
        <is>
          <t>1.0</t>
        </is>
      </c>
      <c r="D906" s="5" t="inlineStr">
        <is>
          <t>GCO</t>
        </is>
      </c>
      <c r="E906" s="5" t="inlineStr">
        <is>
          <t>42847922MDD3003</t>
        </is>
      </c>
      <c r="F906" s="16">
        <f>HYPERLINK("https://vtmf.veevavault.com/ui/#doc_info/31459519/1/0", "42847922MDD3003-USA-S10-US10007-Relevant Communications-13 Jan 2025 (v1.0)")</f>
        <v/>
      </c>
      <c r="G906" s="5" t="inlineStr">
        <is>
          <t>Site Management</t>
        </is>
      </c>
      <c r="H906" s="5" t="inlineStr">
        <is>
          <t>General</t>
        </is>
      </c>
      <c r="I906" s="5" t="inlineStr">
        <is>
          <t>Relevant Communications</t>
        </is>
      </c>
      <c r="J906" s="5" t="inlineStr">
        <is>
          <t>Eligibility approved_S10-US10007 Dr Vatakis Subject US100070011</t>
        </is>
      </c>
      <c r="K906" s="6" t="n">
        <v>457</v>
      </c>
      <c r="L906" s="7" t="n">
        <v>45670</v>
      </c>
      <c r="M906" s="11" t="n">
        <v>46127</v>
      </c>
      <c r="N906" s="5" t="inlineStr">
        <is>
          <t>Approved</t>
        </is>
      </c>
      <c r="O906" s="5" t="inlineStr">
        <is>
          <t>Site</t>
        </is>
      </c>
      <c r="P906" s="5" t="inlineStr">
        <is>
          <t>United States</t>
        </is>
      </c>
      <c r="Q906" s="13" t="inlineStr">
        <is>
          <t>S10-US10007</t>
        </is>
      </c>
      <c r="R906" s="5" t="inlineStr">
        <is>
          <t>Aurora Barbera</t>
        </is>
      </c>
      <c r="S906" s="8" t="n">
        <v>46127.58015046296</v>
      </c>
    </row>
    <row r="907" hidden="1" ht="29" customHeight="1">
      <c r="A907" s="15">
        <f>HYPERLINK("https://vtmf.veevavault.com/ui/#doc_info/31459530/1/0", "VTMF-25384993")</f>
        <v/>
      </c>
      <c r="B907" s="20" t="inlineStr">
        <is>
          <t>Yes</t>
        </is>
      </c>
      <c r="C907" s="5" t="inlineStr">
        <is>
          <t>1.0</t>
        </is>
      </c>
      <c r="D907" s="5" t="inlineStr">
        <is>
          <t>GCO</t>
        </is>
      </c>
      <c r="E907" s="5" t="inlineStr">
        <is>
          <t>42847922MDD3003</t>
        </is>
      </c>
      <c r="F907" s="16">
        <f>HYPERLINK("https://vtmf.veevavault.com/ui/#doc_info/31459530/1/0", "42847922MDD3003-ARG-S10-AR10014-Relevant Communications-21 Jan 2025 (v1.0)")</f>
        <v/>
      </c>
      <c r="G907" s="5" t="inlineStr">
        <is>
          <t>Site Management</t>
        </is>
      </c>
      <c r="H907" s="5" t="inlineStr">
        <is>
          <t>General</t>
        </is>
      </c>
      <c r="I907" s="5" t="inlineStr">
        <is>
          <t>Relevant Communications</t>
        </is>
      </c>
      <c r="J907" s="5" t="inlineStr">
        <is>
          <t>Eligibility approved_S10-AR10014 Dr Buteler Subject AR100140006</t>
        </is>
      </c>
      <c r="K907" s="6" t="n">
        <v>449</v>
      </c>
      <c r="L907" s="7" t="n">
        <v>45678</v>
      </c>
      <c r="M907" s="11" t="n">
        <v>46127</v>
      </c>
      <c r="N907" s="5" t="inlineStr">
        <is>
          <t>Approved</t>
        </is>
      </c>
      <c r="O907" s="5" t="inlineStr">
        <is>
          <t>Site</t>
        </is>
      </c>
      <c r="P907" s="5" t="inlineStr">
        <is>
          <t>Argentina</t>
        </is>
      </c>
      <c r="Q907" s="13" t="inlineStr">
        <is>
          <t>S10-AR10014</t>
        </is>
      </c>
      <c r="R907" s="5" t="inlineStr">
        <is>
          <t>Aurora Barbera</t>
        </is>
      </c>
      <c r="S907" s="8" t="n">
        <v>46127.58180555556</v>
      </c>
    </row>
    <row r="908" hidden="1" ht="29" customHeight="1">
      <c r="A908" s="15">
        <f>HYPERLINK("https://vtmf.veevavault.com/ui/#doc_info/31459536/1/0", "VTMF-25385004")</f>
        <v/>
      </c>
      <c r="B908" s="20" t="inlineStr">
        <is>
          <t>Yes</t>
        </is>
      </c>
      <c r="C908" s="5" t="inlineStr">
        <is>
          <t>1.0</t>
        </is>
      </c>
      <c r="D908" s="5" t="inlineStr">
        <is>
          <t>GCO</t>
        </is>
      </c>
      <c r="E908" s="5" t="inlineStr">
        <is>
          <t>42847922MDD3003</t>
        </is>
      </c>
      <c r="F908" s="16">
        <f>HYPERLINK("https://vtmf.veevavault.com/ui/#doc_info/31459536/1/0", "42847922MDD3003-USA-S10-US10120-Relevant Communications-24 Jan 2025 (v1.0)")</f>
        <v/>
      </c>
      <c r="G908" s="5" t="inlineStr">
        <is>
          <t>Site Management</t>
        </is>
      </c>
      <c r="H908" s="5" t="inlineStr">
        <is>
          <t>General</t>
        </is>
      </c>
      <c r="I908" s="5" t="inlineStr">
        <is>
          <t>Relevant Communications</t>
        </is>
      </c>
      <c r="J908" s="5" t="inlineStr">
        <is>
          <t>Open EDC queries_S10-US10120 Subject US101200008</t>
        </is>
      </c>
      <c r="K908" s="6" t="n">
        <v>446</v>
      </c>
      <c r="L908" s="7" t="n">
        <v>45681</v>
      </c>
      <c r="M908" s="11" t="n">
        <v>46127</v>
      </c>
      <c r="N908" s="5" t="inlineStr">
        <is>
          <t>Approved</t>
        </is>
      </c>
      <c r="O908" s="5" t="inlineStr">
        <is>
          <t>Site</t>
        </is>
      </c>
      <c r="P908" s="5" t="inlineStr">
        <is>
          <t>United States</t>
        </is>
      </c>
      <c r="Q908" s="13" t="inlineStr">
        <is>
          <t>S10-US10120</t>
        </is>
      </c>
      <c r="R908" s="5" t="inlineStr">
        <is>
          <t>Aurora Barbera</t>
        </is>
      </c>
      <c r="S908" s="8" t="n">
        <v>46127.58334490741</v>
      </c>
    </row>
    <row r="909" hidden="1" ht="29" customHeight="1">
      <c r="A909" s="15">
        <f>HYPERLINK("https://vtmf.veevavault.com/ui/#doc_info/31459540/1/0", "VTMF-25385021")</f>
        <v/>
      </c>
      <c r="B909" s="20" t="inlineStr">
        <is>
          <t>Yes</t>
        </is>
      </c>
      <c r="C909" s="5" t="inlineStr">
        <is>
          <t>1.0</t>
        </is>
      </c>
      <c r="D909" s="5" t="inlineStr">
        <is>
          <t>GCO</t>
        </is>
      </c>
      <c r="E909" s="5" t="inlineStr">
        <is>
          <t>42847922MDD3003</t>
        </is>
      </c>
      <c r="F909" s="16">
        <f>HYPERLINK("https://vtmf.veevavault.com/ui/#doc_info/31459540/1/0", "42847922MDD3003-USA-S10-US10120-Relevant Communications-24 Jan 2025 (v1.0)")</f>
        <v/>
      </c>
      <c r="G909" s="5" t="inlineStr">
        <is>
          <t>Site Management</t>
        </is>
      </c>
      <c r="H909" s="5" t="inlineStr">
        <is>
          <t>General</t>
        </is>
      </c>
      <c r="I909" s="5" t="inlineStr">
        <is>
          <t>Relevant Communications</t>
        </is>
      </c>
      <c r="J909" s="5" t="inlineStr">
        <is>
          <t>Visit part 1 screening_S10-US10120 Subject US101200008</t>
        </is>
      </c>
      <c r="K909" s="6" t="n">
        <v>446</v>
      </c>
      <c r="L909" s="7" t="n">
        <v>45681</v>
      </c>
      <c r="M909" s="11" t="n">
        <v>46127</v>
      </c>
      <c r="N909" s="5" t="inlineStr">
        <is>
          <t>Approved</t>
        </is>
      </c>
      <c r="O909" s="5" t="inlineStr">
        <is>
          <t>Site</t>
        </is>
      </c>
      <c r="P909" s="5" t="inlineStr">
        <is>
          <t>United States</t>
        </is>
      </c>
      <c r="Q909" s="13" t="inlineStr">
        <is>
          <t>S10-US10120</t>
        </is>
      </c>
      <c r="R909" s="5" t="inlineStr">
        <is>
          <t>Aurora Barbera</t>
        </is>
      </c>
      <c r="S909" s="8" t="n">
        <v>46127.58502314815</v>
      </c>
    </row>
    <row r="910" hidden="1" ht="29" customHeight="1">
      <c r="A910" s="15">
        <f>HYPERLINK("https://vtmf.veevavault.com/ui/#doc_info/31459564/1/0", "VTMF-25385087")</f>
        <v/>
      </c>
      <c r="B910" s="20" t="inlineStr">
        <is>
          <t>Yes</t>
        </is>
      </c>
      <c r="C910" s="5" t="inlineStr">
        <is>
          <t>1.0</t>
        </is>
      </c>
      <c r="D910" s="5" t="inlineStr">
        <is>
          <t>GCO</t>
        </is>
      </c>
      <c r="E910" s="5" t="inlineStr">
        <is>
          <t>42847922MDD3003</t>
        </is>
      </c>
      <c r="F910" s="16">
        <f>HYPERLINK("https://vtmf.veevavault.com/ui/#doc_info/31459564/1/0", "42847922MDD3003-BRA-S10-BR10002-Relevant Communications-24 Jan 2025 (v1.0)")</f>
        <v/>
      </c>
      <c r="G910" s="5" t="inlineStr">
        <is>
          <t>Site Management</t>
        </is>
      </c>
      <c r="H910" s="5" t="inlineStr">
        <is>
          <t>General</t>
        </is>
      </c>
      <c r="I910" s="5" t="inlineStr">
        <is>
          <t>Relevant Communications</t>
        </is>
      </c>
      <c r="J910" s="5" t="inlineStr">
        <is>
          <t>Visit part 1 retest_S10-BR10002 Subject BR100020007</t>
        </is>
      </c>
      <c r="K910" s="6" t="n">
        <v>446</v>
      </c>
      <c r="L910" s="7" t="n">
        <v>45681</v>
      </c>
      <c r="M910" s="11" t="n">
        <v>46127</v>
      </c>
      <c r="N910" s="5" t="inlineStr">
        <is>
          <t>Approved</t>
        </is>
      </c>
      <c r="O910" s="5" t="inlineStr">
        <is>
          <t>Site</t>
        </is>
      </c>
      <c r="P910" s="5" t="inlineStr">
        <is>
          <t>Brazil</t>
        </is>
      </c>
      <c r="Q910" s="13" t="inlineStr">
        <is>
          <t>S10-BR10002</t>
        </is>
      </c>
      <c r="R910" s="5" t="inlineStr">
        <is>
          <t>Aurora Barbera</t>
        </is>
      </c>
      <c r="S910" s="8" t="n">
        <v>46127.59166666667</v>
      </c>
    </row>
    <row r="911" hidden="1" ht="29" customHeight="1">
      <c r="A911" s="15">
        <f>HYPERLINK("https://vtmf.veevavault.com/ui/#doc_info/31459569/1/0", "VTMF-25385110")</f>
        <v/>
      </c>
      <c r="B911" s="20" t="inlineStr">
        <is>
          <t>Yes</t>
        </is>
      </c>
      <c r="C911" s="5" t="inlineStr">
        <is>
          <t>1.0</t>
        </is>
      </c>
      <c r="D911" s="5" t="inlineStr">
        <is>
          <t>GCO</t>
        </is>
      </c>
      <c r="E911" s="5" t="inlineStr">
        <is>
          <t>42847922MDD3003</t>
        </is>
      </c>
      <c r="F911" s="16">
        <f>HYPERLINK("https://vtmf.veevavault.com/ui/#doc_info/31459569/1/0", "42847922MDD3003-BRA-S10-BR10002-Relevant Communications-30 Jan 2025 (v1.0)")</f>
        <v/>
      </c>
      <c r="G911" s="5" t="inlineStr">
        <is>
          <t>Site Management</t>
        </is>
      </c>
      <c r="H911" s="5" t="inlineStr">
        <is>
          <t>General</t>
        </is>
      </c>
      <c r="I911" s="5" t="inlineStr">
        <is>
          <t>Relevant Communications</t>
        </is>
      </c>
      <c r="J911" s="5" t="inlineStr">
        <is>
          <t>Visit part 1 DB Baseline_S10-BR10002 Subject BR100020003</t>
        </is>
      </c>
      <c r="K911" s="6" t="n">
        <v>440</v>
      </c>
      <c r="L911" s="7" t="n">
        <v>45687</v>
      </c>
      <c r="M911" s="11" t="n">
        <v>46127</v>
      </c>
      <c r="N911" s="5" t="inlineStr">
        <is>
          <t>Approved</t>
        </is>
      </c>
      <c r="O911" s="5" t="inlineStr">
        <is>
          <t>Site</t>
        </is>
      </c>
      <c r="P911" s="5" t="inlineStr">
        <is>
          <t>Brazil</t>
        </is>
      </c>
      <c r="Q911" s="13" t="inlineStr">
        <is>
          <t>S10-BR10002</t>
        </is>
      </c>
      <c r="R911" s="5" t="inlineStr">
        <is>
          <t>Aurora Barbera</t>
        </is>
      </c>
      <c r="S911" s="8" t="n">
        <v>46127.59356481482</v>
      </c>
    </row>
    <row r="912" hidden="1" ht="29" customHeight="1">
      <c r="A912" s="15">
        <f>HYPERLINK("https://vtmf.veevavault.com/ui/#doc_info/31459574/1/0", "VTMF-25385124")</f>
        <v/>
      </c>
      <c r="B912" s="20" t="inlineStr">
        <is>
          <t>Yes</t>
        </is>
      </c>
      <c r="C912" s="5" t="inlineStr">
        <is>
          <t>1.0</t>
        </is>
      </c>
      <c r="D912" s="5" t="inlineStr">
        <is>
          <t>GCO</t>
        </is>
      </c>
      <c r="E912" s="5" t="inlineStr">
        <is>
          <t>42847922MDD3003</t>
        </is>
      </c>
      <c r="F912" s="16">
        <f>HYPERLINK("https://vtmf.veevavault.com/ui/#doc_info/31459574/1/0", "42847922MDD3003-USA-S10-US10187-Relevant Communications-31 Jan 2025 (v1.0)")</f>
        <v/>
      </c>
      <c r="G912" s="5" t="inlineStr">
        <is>
          <t>Site Management</t>
        </is>
      </c>
      <c r="H912" s="5" t="inlineStr">
        <is>
          <t>General</t>
        </is>
      </c>
      <c r="I912" s="5" t="inlineStr">
        <is>
          <t>Relevant Communications</t>
        </is>
      </c>
      <c r="J912" s="5" t="inlineStr">
        <is>
          <t>Screening extension approved_S10-US10187 Subject US101870002</t>
        </is>
      </c>
      <c r="K912" s="6" t="n">
        <v>439</v>
      </c>
      <c r="L912" s="7" t="n">
        <v>45688</v>
      </c>
      <c r="M912" s="11" t="n">
        <v>46127</v>
      </c>
      <c r="N912" s="5" t="inlineStr">
        <is>
          <t>Approved</t>
        </is>
      </c>
      <c r="O912" s="5" t="inlineStr">
        <is>
          <t>Site</t>
        </is>
      </c>
      <c r="P912" s="5" t="inlineStr">
        <is>
          <t>United States</t>
        </is>
      </c>
      <c r="Q912" s="13" t="inlineStr">
        <is>
          <t>S10-US10187</t>
        </is>
      </c>
      <c r="R912" s="5" t="inlineStr">
        <is>
          <t>Aurora Barbera</t>
        </is>
      </c>
      <c r="S912" s="8" t="n">
        <v>46127.59539351852</v>
      </c>
    </row>
    <row r="913" hidden="1" ht="29" customHeight="1">
      <c r="A913" s="15">
        <f>HYPERLINK("https://vtmf.veevavault.com/ui/#doc_info/31459579/1/0", "VTMF-25385138")</f>
        <v/>
      </c>
      <c r="B913" s="20" t="inlineStr">
        <is>
          <t>Yes</t>
        </is>
      </c>
      <c r="C913" s="5" t="inlineStr">
        <is>
          <t>1.0</t>
        </is>
      </c>
      <c r="D913" s="5" t="inlineStr">
        <is>
          <t>GCO</t>
        </is>
      </c>
      <c r="E913" s="5" t="inlineStr">
        <is>
          <t>42847922MDD3003</t>
        </is>
      </c>
      <c r="F913" s="16">
        <f>HYPERLINK("https://vtmf.veevavault.com/ui/#doc_info/31459579/1/0", "42847922MDD3003-USA-S10-US10092-Relevant Communications-31 Jan 2025 (v1.0)")</f>
        <v/>
      </c>
      <c r="G913" s="5" t="inlineStr">
        <is>
          <t>Site Management</t>
        </is>
      </c>
      <c r="H913" s="5" t="inlineStr">
        <is>
          <t>General</t>
        </is>
      </c>
      <c r="I913" s="5" t="inlineStr">
        <is>
          <t>Relevant Communications</t>
        </is>
      </c>
      <c r="J913" s="5" t="inlineStr">
        <is>
          <t>Visit part 2 screening_S10-US10092 Subject US100920004</t>
        </is>
      </c>
      <c r="K913" s="6" t="n">
        <v>439</v>
      </c>
      <c r="L913" s="7" t="n">
        <v>45688</v>
      </c>
      <c r="M913" s="11" t="n">
        <v>46127</v>
      </c>
      <c r="N913" s="5" t="inlineStr">
        <is>
          <t>Approved</t>
        </is>
      </c>
      <c r="O913" s="5" t="inlineStr">
        <is>
          <t>Site</t>
        </is>
      </c>
      <c r="P913" s="5" t="inlineStr">
        <is>
          <t>United States</t>
        </is>
      </c>
      <c r="Q913" s="13" t="inlineStr">
        <is>
          <t>S10-US10092</t>
        </is>
      </c>
      <c r="R913" s="5" t="inlineStr">
        <is>
          <t>Aurora Barbera</t>
        </is>
      </c>
      <c r="S913" s="8" t="n">
        <v>46127.59686342593</v>
      </c>
    </row>
    <row r="914" hidden="1" ht="29" customHeight="1">
      <c r="A914" s="15">
        <f>HYPERLINK("https://vtmf.veevavault.com/ui/#doc_info/31459589/1/0", "VTMF-25385151")</f>
        <v/>
      </c>
      <c r="B914" s="20" t="inlineStr">
        <is>
          <t>Yes</t>
        </is>
      </c>
      <c r="C914" s="5" t="inlineStr">
        <is>
          <t>1.0</t>
        </is>
      </c>
      <c r="D914" s="5" t="inlineStr">
        <is>
          <t>GCO</t>
        </is>
      </c>
      <c r="E914" s="5" t="inlineStr">
        <is>
          <t>42847922MDD3003</t>
        </is>
      </c>
      <c r="F914" s="16">
        <f>HYPERLINK("https://vtmf.veevavault.com/ui/#doc_info/31459589/1/0", "42847922MDD3003-USA-S10-US10187-Relevant Communications-03 Feb 2025 (v1.0)")</f>
        <v/>
      </c>
      <c r="G914" s="5" t="inlineStr">
        <is>
          <t>Site Management</t>
        </is>
      </c>
      <c r="H914" s="5" t="inlineStr">
        <is>
          <t>General</t>
        </is>
      </c>
      <c r="I914" s="5" t="inlineStr">
        <is>
          <t>Relevant Communications</t>
        </is>
      </c>
      <c r="J914" s="5" t="inlineStr">
        <is>
          <t>Eligibility not approved_S10-US10187 Dr Purselle Subject US101870002</t>
        </is>
      </c>
      <c r="K914" s="6" t="n">
        <v>436</v>
      </c>
      <c r="L914" s="7" t="n">
        <v>45691</v>
      </c>
      <c r="M914" s="11" t="n">
        <v>46127</v>
      </c>
      <c r="N914" s="5" t="inlineStr">
        <is>
          <t>Approved</t>
        </is>
      </c>
      <c r="O914" s="5" t="inlineStr">
        <is>
          <t>Site</t>
        </is>
      </c>
      <c r="P914" s="5" t="inlineStr">
        <is>
          <t>United States</t>
        </is>
      </c>
      <c r="Q914" s="13" t="inlineStr">
        <is>
          <t>S10-US10187</t>
        </is>
      </c>
      <c r="R914" s="5" t="inlineStr">
        <is>
          <t>Aurora Barbera</t>
        </is>
      </c>
      <c r="S914" s="8" t="n">
        <v>46127.5984375</v>
      </c>
    </row>
    <row r="915" hidden="1" ht="29" customHeight="1">
      <c r="A915" s="15">
        <f>HYPERLINK("https://vtmf.veevavault.com/ui/#doc_info/31459595/1/0", "VTMF-25385161")</f>
        <v/>
      </c>
      <c r="B915" s="20" t="inlineStr">
        <is>
          <t>Yes</t>
        </is>
      </c>
      <c r="C915" s="5" t="inlineStr">
        <is>
          <t>1.0</t>
        </is>
      </c>
      <c r="D915" s="5" t="inlineStr">
        <is>
          <t>GCO</t>
        </is>
      </c>
      <c r="E915" s="5" t="inlineStr">
        <is>
          <t>42847922MDD3003</t>
        </is>
      </c>
      <c r="F915" s="16">
        <f>HYPERLINK("https://vtmf.veevavault.com/ui/#doc_info/31459595/1/0", "42847922MDD3003-USA-S10-US10120-Relevant Communications-03 Feb 2025 (v1.0)")</f>
        <v/>
      </c>
      <c r="G915" s="5" t="inlineStr">
        <is>
          <t>Site Management</t>
        </is>
      </c>
      <c r="H915" s="5" t="inlineStr">
        <is>
          <t>General</t>
        </is>
      </c>
      <c r="I915" s="5" t="inlineStr">
        <is>
          <t>Relevant Communications</t>
        </is>
      </c>
      <c r="J915" s="5" t="inlineStr">
        <is>
          <t>Eligibility approved_S10-US10120 Dr Knutson Subject US101200009</t>
        </is>
      </c>
      <c r="K915" s="6" t="n">
        <v>436</v>
      </c>
      <c r="L915" s="7" t="n">
        <v>45691</v>
      </c>
      <c r="M915" s="11" t="n">
        <v>46127</v>
      </c>
      <c r="N915" s="5" t="inlineStr">
        <is>
          <t>Approved</t>
        </is>
      </c>
      <c r="O915" s="5" t="inlineStr">
        <is>
          <t>Site</t>
        </is>
      </c>
      <c r="P915" s="5" t="inlineStr">
        <is>
          <t>United States</t>
        </is>
      </c>
      <c r="Q915" s="13" t="inlineStr">
        <is>
          <t>S10-US10120</t>
        </is>
      </c>
      <c r="R915" s="5" t="inlineStr">
        <is>
          <t>Aurora Barbera</t>
        </is>
      </c>
      <c r="S915" s="8" t="n">
        <v>46127.60034722222</v>
      </c>
    </row>
    <row r="916" hidden="1" ht="29" customHeight="1">
      <c r="A916" s="15">
        <f>HYPERLINK("https://vtmf.veevavault.com/ui/#doc_info/31459904/1/0", "VTMF-25385175")</f>
        <v/>
      </c>
      <c r="B916" s="20" t="inlineStr">
        <is>
          <t>Yes</t>
        </is>
      </c>
      <c r="C916" s="5" t="inlineStr">
        <is>
          <t>1.0</t>
        </is>
      </c>
      <c r="D916" s="5" t="inlineStr">
        <is>
          <t>GCO</t>
        </is>
      </c>
      <c r="E916" s="5" t="inlineStr">
        <is>
          <t>42847922MDD3003</t>
        </is>
      </c>
      <c r="F916" s="16">
        <f>HYPERLINK("https://vtmf.veevavault.com/ui/#doc_info/31459904/1/0", "42847922MDD3003-USA-S10-US10218-Relevant Communications-05 Feb 2025 (v1.0)")</f>
        <v/>
      </c>
      <c r="G916" s="5" t="inlineStr">
        <is>
          <t>Site Management</t>
        </is>
      </c>
      <c r="H916" s="5" t="inlineStr">
        <is>
          <t>General</t>
        </is>
      </c>
      <c r="I916" s="5" t="inlineStr">
        <is>
          <t>Relevant Communications</t>
        </is>
      </c>
      <c r="J916" s="5" t="inlineStr">
        <is>
          <t>Eligibility approved_S10-US10218 Dr Asim Nisar Subject US102180010</t>
        </is>
      </c>
      <c r="K916" s="6" t="n">
        <v>434</v>
      </c>
      <c r="L916" s="7" t="n">
        <v>45693</v>
      </c>
      <c r="M916" s="11" t="n">
        <v>46127</v>
      </c>
      <c r="N916" s="5" t="inlineStr">
        <is>
          <t>Approved</t>
        </is>
      </c>
      <c r="O916" s="5" t="inlineStr">
        <is>
          <t>Site</t>
        </is>
      </c>
      <c r="P916" s="5" t="inlineStr">
        <is>
          <t>United States</t>
        </is>
      </c>
      <c r="Q916" s="13" t="inlineStr">
        <is>
          <t>S10-US10218</t>
        </is>
      </c>
      <c r="R916" s="5" t="inlineStr">
        <is>
          <t>Aurora Barbera</t>
        </is>
      </c>
      <c r="S916" s="8" t="n">
        <v>46127.60177083333</v>
      </c>
    </row>
    <row r="917" hidden="1" ht="29" customHeight="1">
      <c r="A917" s="15">
        <f>HYPERLINK("https://vtmf.veevavault.com/ui/#doc_info/31460235/1/0", "VTMF-25385556")</f>
        <v/>
      </c>
      <c r="B917" s="20" t="inlineStr">
        <is>
          <t>Yes</t>
        </is>
      </c>
      <c r="C917" s="5" t="inlineStr">
        <is>
          <t>1.0</t>
        </is>
      </c>
      <c r="D917" s="5" t="inlineStr">
        <is>
          <t>GCO</t>
        </is>
      </c>
      <c r="E917" s="5" t="inlineStr">
        <is>
          <t>42847922MDD3003</t>
        </is>
      </c>
      <c r="F917" s="16">
        <f>HYPERLINK("https://vtmf.veevavault.com/ui/#doc_info/31460235/1/0", "42847922MDD3003-BRA-S10-BR10002-Relevant Communications-06 Feb 2025 (v1.0)")</f>
        <v/>
      </c>
      <c r="G917" s="5" t="inlineStr">
        <is>
          <t>Site Management</t>
        </is>
      </c>
      <c r="H917" s="5" t="inlineStr">
        <is>
          <t>General</t>
        </is>
      </c>
      <c r="I917" s="5" t="inlineStr">
        <is>
          <t>Relevant Communications</t>
        </is>
      </c>
      <c r="J917" s="5" t="inlineStr">
        <is>
          <t>Eligibility approved_S10-BR10002 Dr Ruschel Subject BR100020011</t>
        </is>
      </c>
      <c r="K917" s="6" t="n">
        <v>433</v>
      </c>
      <c r="L917" s="7" t="n">
        <v>45694</v>
      </c>
      <c r="M917" s="11" t="n">
        <v>46127</v>
      </c>
      <c r="N917" s="5" t="inlineStr">
        <is>
          <t>Approved</t>
        </is>
      </c>
      <c r="O917" s="5" t="inlineStr">
        <is>
          <t>Site</t>
        </is>
      </c>
      <c r="P917" s="5" t="inlineStr">
        <is>
          <t>Brazil</t>
        </is>
      </c>
      <c r="Q917" s="13" t="inlineStr">
        <is>
          <t>S10-BR10002</t>
        </is>
      </c>
      <c r="R917" s="5" t="inlineStr">
        <is>
          <t>Aurora Barbera</t>
        </is>
      </c>
      <c r="S917" s="8" t="n">
        <v>46127.63870370371</v>
      </c>
    </row>
    <row r="918" hidden="1" ht="29" customHeight="1">
      <c r="A918" s="15">
        <f>HYPERLINK("https://vtmf.veevavault.com/ui/#doc_info/31460247/1/0", "VTMF-25385572")</f>
        <v/>
      </c>
      <c r="B918" s="20" t="inlineStr">
        <is>
          <t>Yes</t>
        </is>
      </c>
      <c r="C918" s="5" t="inlineStr">
        <is>
          <t>1.0</t>
        </is>
      </c>
      <c r="D918" s="5" t="inlineStr">
        <is>
          <t>GCO</t>
        </is>
      </c>
      <c r="E918" s="5" t="inlineStr">
        <is>
          <t>42847922MDD3003</t>
        </is>
      </c>
      <c r="F918" s="16">
        <f>HYPERLINK("https://vtmf.veevavault.com/ui/#doc_info/31460247/1/0", "42847922MDD3003-BRA-S10-BR10002-Relevant Communications-10 Feb 2025 (v1.0)")</f>
        <v/>
      </c>
      <c r="G918" s="5" t="inlineStr">
        <is>
          <t>Site Management</t>
        </is>
      </c>
      <c r="H918" s="5" t="inlineStr">
        <is>
          <t>General</t>
        </is>
      </c>
      <c r="I918" s="5" t="inlineStr">
        <is>
          <t>Relevant Communications</t>
        </is>
      </c>
      <c r="J918" s="5" t="inlineStr">
        <is>
          <t>Eligibility approved_S10-BR10002 Dr Ruschel Subject BR100020010</t>
        </is>
      </c>
      <c r="K918" s="6" t="n">
        <v>429</v>
      </c>
      <c r="L918" s="7" t="n">
        <v>45698</v>
      </c>
      <c r="M918" s="11" t="n">
        <v>46127</v>
      </c>
      <c r="N918" s="5" t="inlineStr">
        <is>
          <t>Approved</t>
        </is>
      </c>
      <c r="O918" s="5" t="inlineStr">
        <is>
          <t>Site</t>
        </is>
      </c>
      <c r="P918" s="5" t="inlineStr">
        <is>
          <t>Brazil</t>
        </is>
      </c>
      <c r="Q918" s="13" t="inlineStr">
        <is>
          <t>S10-BR10002</t>
        </is>
      </c>
      <c r="R918" s="5" t="inlineStr">
        <is>
          <t>Aurora Barbera</t>
        </is>
      </c>
      <c r="S918" s="8" t="n">
        <v>46127.64034722222</v>
      </c>
    </row>
    <row r="919" hidden="1" ht="29" customHeight="1">
      <c r="A919" s="15">
        <f>HYPERLINK("https://vtmf.veevavault.com/ui/#doc_info/31460255/1/0", "VTMF-25385600")</f>
        <v/>
      </c>
      <c r="B919" s="20" t="inlineStr">
        <is>
          <t>Yes</t>
        </is>
      </c>
      <c r="C919" s="5" t="inlineStr">
        <is>
          <t>1.0</t>
        </is>
      </c>
      <c r="D919" s="5" t="inlineStr">
        <is>
          <t>GCO</t>
        </is>
      </c>
      <c r="E919" s="5" t="inlineStr">
        <is>
          <t>42847922MDD3003</t>
        </is>
      </c>
      <c r="F919" s="16">
        <f>HYPERLINK("https://vtmf.veevavault.com/ui/#doc_info/31460255/1/0", "42847922MDD3003-USA-S10-US10040-Relevant Communications-18 Feb 2025 (v1.0)")</f>
        <v/>
      </c>
      <c r="G919" s="5" t="inlineStr">
        <is>
          <t>Site Management</t>
        </is>
      </c>
      <c r="H919" s="5" t="inlineStr">
        <is>
          <t>General</t>
        </is>
      </c>
      <c r="I919" s="5" t="inlineStr">
        <is>
          <t>Relevant Communications</t>
        </is>
      </c>
      <c r="J919" s="5" t="inlineStr">
        <is>
          <t>Continuation to part 2_S10-US10040 Subject US100400006</t>
        </is>
      </c>
      <c r="K919" s="6" t="n">
        <v>421</v>
      </c>
      <c r="L919" s="7" t="n">
        <v>45706</v>
      </c>
      <c r="M919" s="11" t="n">
        <v>46127</v>
      </c>
      <c r="N919" s="5" t="inlineStr">
        <is>
          <t>Approved</t>
        </is>
      </c>
      <c r="O919" s="5" t="inlineStr">
        <is>
          <t>Site</t>
        </is>
      </c>
      <c r="P919" s="5" t="inlineStr">
        <is>
          <t>United States</t>
        </is>
      </c>
      <c r="Q919" s="13" t="inlineStr">
        <is>
          <t>S10-US10040</t>
        </is>
      </c>
      <c r="R919" s="5" t="inlineStr">
        <is>
          <t>Aurora Barbera</t>
        </is>
      </c>
      <c r="S919" s="8" t="n">
        <v>46127.64188657407</v>
      </c>
    </row>
    <row r="920" hidden="1" ht="29" customHeight="1">
      <c r="A920" s="15">
        <f>HYPERLINK("https://vtmf.veevavault.com/ui/#doc_info/31460264/1/0", "VTMF-25385621")</f>
        <v/>
      </c>
      <c r="B920" s="20" t="inlineStr">
        <is>
          <t>Yes</t>
        </is>
      </c>
      <c r="C920" s="5" t="inlineStr">
        <is>
          <t>1.0</t>
        </is>
      </c>
      <c r="D920" s="5" t="inlineStr">
        <is>
          <t>GCO</t>
        </is>
      </c>
      <c r="E920" s="5" t="inlineStr">
        <is>
          <t>42847922MDD3003</t>
        </is>
      </c>
      <c r="F920" s="16">
        <f>HYPERLINK("https://vtmf.veevavault.com/ui/#doc_info/31460264/1/0", "42847922MDD3003-BRA-S10-BR10002-Relevant Communications-18 Feb 2025 (v1.0)")</f>
        <v/>
      </c>
      <c r="G920" s="5" t="inlineStr">
        <is>
          <t>Site Management</t>
        </is>
      </c>
      <c r="H920" s="5" t="inlineStr">
        <is>
          <t>General</t>
        </is>
      </c>
      <c r="I920" s="5" t="inlineStr">
        <is>
          <t>Relevant Communications</t>
        </is>
      </c>
      <c r="J920" s="5" t="inlineStr">
        <is>
          <t>Eligibility approved_S10-BR10002 Dr Ruschel Subject BR100020013</t>
        </is>
      </c>
      <c r="K920" s="6" t="n">
        <v>421</v>
      </c>
      <c r="L920" s="7" t="n">
        <v>45706</v>
      </c>
      <c r="M920" s="11" t="n">
        <v>46127</v>
      </c>
      <c r="N920" s="5" t="inlineStr">
        <is>
          <t>Approved</t>
        </is>
      </c>
      <c r="O920" s="5" t="inlineStr">
        <is>
          <t>Site</t>
        </is>
      </c>
      <c r="P920" s="5" t="inlineStr">
        <is>
          <t>Brazil</t>
        </is>
      </c>
      <c r="Q920" s="13" t="inlineStr">
        <is>
          <t>S10-BR10002</t>
        </is>
      </c>
      <c r="R920" s="5" t="inlineStr">
        <is>
          <t>Aurora Barbera</t>
        </is>
      </c>
      <c r="S920" s="8" t="n">
        <v>46127.64354166666</v>
      </c>
    </row>
    <row r="921" hidden="1" ht="29" customHeight="1">
      <c r="A921" s="15">
        <f>HYPERLINK("https://vtmf.veevavault.com/ui/#doc_info/31460268/1/0", "VTMF-25385628")</f>
        <v/>
      </c>
      <c r="B921" s="20" t="inlineStr">
        <is>
          <t>Yes</t>
        </is>
      </c>
      <c r="C921" s="5" t="inlineStr">
        <is>
          <t>1.0</t>
        </is>
      </c>
      <c r="D921" s="5" t="inlineStr">
        <is>
          <t>GCO</t>
        </is>
      </c>
      <c r="E921" s="5" t="inlineStr">
        <is>
          <t>42847922MDD3003</t>
        </is>
      </c>
      <c r="F921" s="16">
        <f>HYPERLINK("https://vtmf.veevavault.com/ui/#doc_info/31460268/1/0", "42847922MDD3003-USA-S10-US10219-Relevant Communications-20 Feb 2025 (v1.0)")</f>
        <v/>
      </c>
      <c r="G921" s="5" t="inlineStr">
        <is>
          <t>Site Management</t>
        </is>
      </c>
      <c r="H921" s="5" t="inlineStr">
        <is>
          <t>General</t>
        </is>
      </c>
      <c r="I921" s="5" t="inlineStr">
        <is>
          <t>Relevant Communications</t>
        </is>
      </c>
      <c r="J921" s="5" t="inlineStr">
        <is>
          <t>Eligibility approved_S10-US10219 Dr Betancourt Subject US102190011</t>
        </is>
      </c>
      <c r="K921" s="6" t="n">
        <v>419</v>
      </c>
      <c r="L921" s="7" t="n">
        <v>45708</v>
      </c>
      <c r="M921" s="11" t="n">
        <v>46127</v>
      </c>
      <c r="N921" s="5" t="inlineStr">
        <is>
          <t>Approved</t>
        </is>
      </c>
      <c r="O921" s="5" t="inlineStr">
        <is>
          <t>Site</t>
        </is>
      </c>
      <c r="P921" s="5" t="inlineStr">
        <is>
          <t>United States</t>
        </is>
      </c>
      <c r="Q921" s="13" t="inlineStr">
        <is>
          <t>S10-US10219</t>
        </is>
      </c>
      <c r="R921" s="5" t="inlineStr">
        <is>
          <t>Aurora Barbera</t>
        </is>
      </c>
      <c r="S921" s="8" t="n">
        <v>46127.64496527778</v>
      </c>
    </row>
    <row r="922" hidden="1" ht="29" customHeight="1">
      <c r="A922" s="15">
        <f>HYPERLINK("https://vtmf.veevavault.com/ui/#doc_info/31460276/1/0", "VTMF-25385639")</f>
        <v/>
      </c>
      <c r="B922" s="20" t="inlineStr">
        <is>
          <t>Yes</t>
        </is>
      </c>
      <c r="C922" s="5" t="inlineStr">
        <is>
          <t>1.0</t>
        </is>
      </c>
      <c r="D922" s="5" t="inlineStr">
        <is>
          <t>GCO</t>
        </is>
      </c>
      <c r="E922" s="5" t="inlineStr">
        <is>
          <t>42847922MDD3003</t>
        </is>
      </c>
      <c r="F922" s="16">
        <f>HYPERLINK("https://vtmf.veevavault.com/ui/#doc_info/31460276/1/0", "42847922MDD3003-USA-S10-US10007-Relevant Communications-20 Feb 2025 (v1.0)")</f>
        <v/>
      </c>
      <c r="G922" s="5" t="inlineStr">
        <is>
          <t>Site Management</t>
        </is>
      </c>
      <c r="H922" s="5" t="inlineStr">
        <is>
          <t>General</t>
        </is>
      </c>
      <c r="I922" s="5" t="inlineStr">
        <is>
          <t>Relevant Communications</t>
        </is>
      </c>
      <c r="J922" s="5" t="inlineStr">
        <is>
          <t>Eligibility approved_S10-US10007 Dr Vatakis Subject US100070012</t>
        </is>
      </c>
      <c r="K922" s="6" t="n">
        <v>419</v>
      </c>
      <c r="L922" s="7" t="n">
        <v>45708</v>
      </c>
      <c r="M922" s="11" t="n">
        <v>46127</v>
      </c>
      <c r="N922" s="5" t="inlineStr">
        <is>
          <t>Approved</t>
        </is>
      </c>
      <c r="O922" s="5" t="inlineStr">
        <is>
          <t>Site</t>
        </is>
      </c>
      <c r="P922" s="5" t="inlineStr">
        <is>
          <t>United States</t>
        </is>
      </c>
      <c r="Q922" s="13" t="inlineStr">
        <is>
          <t>S10-US10007</t>
        </is>
      </c>
      <c r="R922" s="5" t="inlineStr">
        <is>
          <t>Aurora Barbera</t>
        </is>
      </c>
      <c r="S922" s="8" t="n">
        <v>46127.64644675926</v>
      </c>
    </row>
    <row r="923" hidden="1" ht="29" customHeight="1">
      <c r="A923" s="15">
        <f>HYPERLINK("https://vtmf.veevavault.com/ui/#doc_info/31460284/1/0", "VTMF-25385653")</f>
        <v/>
      </c>
      <c r="B923" s="20" t="inlineStr">
        <is>
          <t>Yes</t>
        </is>
      </c>
      <c r="C923" s="5" t="inlineStr">
        <is>
          <t>1.0</t>
        </is>
      </c>
      <c r="D923" s="5" t="inlineStr">
        <is>
          <t>GCO</t>
        </is>
      </c>
      <c r="E923" s="5" t="inlineStr">
        <is>
          <t>42847922MDD3003</t>
        </is>
      </c>
      <c r="F923" s="16">
        <f>HYPERLINK("https://vtmf.veevavault.com/ui/#doc_info/31460284/1/0", "42847922MDD3003-USA-S10-US10092-Relevant Communications-25 Feb 2025 (v1.0)")</f>
        <v/>
      </c>
      <c r="G923" s="5" t="inlineStr">
        <is>
          <t>Site Management</t>
        </is>
      </c>
      <c r="H923" s="5" t="inlineStr">
        <is>
          <t>General</t>
        </is>
      </c>
      <c r="I923" s="5" t="inlineStr">
        <is>
          <t>Relevant Communications</t>
        </is>
      </c>
      <c r="J923" s="5" t="inlineStr">
        <is>
          <t>V7, V1 results not available_S10-US10092 Subject US100920004</t>
        </is>
      </c>
      <c r="K923" s="6" t="n">
        <v>414</v>
      </c>
      <c r="L923" s="7" t="n">
        <v>45713</v>
      </c>
      <c r="M923" s="11" t="n">
        <v>46127</v>
      </c>
      <c r="N923" s="5" t="inlineStr">
        <is>
          <t>Approved</t>
        </is>
      </c>
      <c r="O923" s="5" t="inlineStr">
        <is>
          <t>Site</t>
        </is>
      </c>
      <c r="P923" s="5" t="inlineStr">
        <is>
          <t>United States</t>
        </is>
      </c>
      <c r="Q923" s="13" t="inlineStr">
        <is>
          <t>S10-US10092</t>
        </is>
      </c>
      <c r="R923" s="5" t="inlineStr">
        <is>
          <t>Aurora Barbera</t>
        </is>
      </c>
      <c r="S923" s="8" t="n">
        <v>46127.64769675926</v>
      </c>
    </row>
    <row r="924" hidden="1" ht="29" customHeight="1">
      <c r="A924" s="15">
        <f>HYPERLINK("https://vtmf.veevavault.com/ui/#doc_info/31460291/1/0", "VTMF-25385672")</f>
        <v/>
      </c>
      <c r="B924" s="20" t="inlineStr">
        <is>
          <t>Yes</t>
        </is>
      </c>
      <c r="C924" s="5" t="inlineStr">
        <is>
          <t>1.0</t>
        </is>
      </c>
      <c r="D924" s="5" t="inlineStr">
        <is>
          <t>GCO</t>
        </is>
      </c>
      <c r="E924" s="5" t="inlineStr">
        <is>
          <t>42847922MDD3003</t>
        </is>
      </c>
      <c r="F924" s="16">
        <f>HYPERLINK("https://vtmf.veevavault.com/ui/#doc_info/31460291/1/0", "42847922MDD3003-USA-S10-US10036-Relevant Communications-03 Mar 2025 (v1.0)")</f>
        <v/>
      </c>
      <c r="G924" s="5" t="inlineStr">
        <is>
          <t>Site Management</t>
        </is>
      </c>
      <c r="H924" s="5" t="inlineStr">
        <is>
          <t>General</t>
        </is>
      </c>
      <c r="I924" s="5" t="inlineStr">
        <is>
          <t>Relevant Communications</t>
        </is>
      </c>
      <c r="J924" s="5" t="inlineStr">
        <is>
          <t>Eligibility approved_S10-US10036 Dr Bravo Subject US100360006</t>
        </is>
      </c>
      <c r="K924" s="6" t="n">
        <v>408</v>
      </c>
      <c r="L924" s="7" t="n">
        <v>45719</v>
      </c>
      <c r="M924" s="11" t="n">
        <v>46127</v>
      </c>
      <c r="N924" s="5" t="inlineStr">
        <is>
          <t>Approved</t>
        </is>
      </c>
      <c r="O924" s="5" t="inlineStr">
        <is>
          <t>Site</t>
        </is>
      </c>
      <c r="P924" s="5" t="inlineStr">
        <is>
          <t>United States</t>
        </is>
      </c>
      <c r="Q924" s="13" t="inlineStr">
        <is>
          <t>S10-US10036</t>
        </is>
      </c>
      <c r="R924" s="5" t="inlineStr">
        <is>
          <t>Aurora Barbera</t>
        </is>
      </c>
      <c r="S924" s="8" t="n">
        <v>46127.64966435185</v>
      </c>
    </row>
    <row r="925" hidden="1" ht="29" customHeight="1">
      <c r="A925" s="15">
        <f>HYPERLINK("https://vtmf.veevavault.com/ui/#doc_info/31460402/1/0", "VTMF-25385685")</f>
        <v/>
      </c>
      <c r="B925" s="20" t="inlineStr">
        <is>
          <t>Yes</t>
        </is>
      </c>
      <c r="C925" s="5" t="inlineStr">
        <is>
          <t>1.0</t>
        </is>
      </c>
      <c r="D925" s="5" t="inlineStr">
        <is>
          <t>GCO</t>
        </is>
      </c>
      <c r="E925" s="5" t="inlineStr">
        <is>
          <t>42847922MDD3003</t>
        </is>
      </c>
      <c r="F925" s="16">
        <f>HYPERLINK("https://vtmf.veevavault.com/ui/#doc_info/31460402/1/0", "42847922MDD3003-USA-S10-US10005-Relevant Communications-05 Mar 2025 (v1.0)")</f>
        <v/>
      </c>
      <c r="G925" s="5" t="inlineStr">
        <is>
          <t>Site Management</t>
        </is>
      </c>
      <c r="H925" s="5" t="inlineStr">
        <is>
          <t>General</t>
        </is>
      </c>
      <c r="I925" s="5" t="inlineStr">
        <is>
          <t>Relevant Communications</t>
        </is>
      </c>
      <c r="J925" s="5" t="inlineStr">
        <is>
          <t>mPD for Baseline_S10-US10005 Subject US100050002</t>
        </is>
      </c>
      <c r="K925" s="6" t="n">
        <v>406</v>
      </c>
      <c r="L925" s="7" t="n">
        <v>45721</v>
      </c>
      <c r="M925" s="11" t="n">
        <v>46127</v>
      </c>
      <c r="N925" s="5" t="inlineStr">
        <is>
          <t>Approved</t>
        </is>
      </c>
      <c r="O925" s="5" t="inlineStr">
        <is>
          <t>Site</t>
        </is>
      </c>
      <c r="P925" s="5" t="inlineStr">
        <is>
          <t>United States</t>
        </is>
      </c>
      <c r="Q925" s="13" t="inlineStr">
        <is>
          <t>S10-US10005</t>
        </is>
      </c>
      <c r="R925" s="5" t="inlineStr">
        <is>
          <t>Aurora Barbera</t>
        </is>
      </c>
      <c r="S925" s="8" t="n">
        <v>46127.65082175926</v>
      </c>
    </row>
    <row r="926" hidden="1" ht="29" customHeight="1">
      <c r="A926" s="15">
        <f>HYPERLINK("https://vtmf.veevavault.com/ui/#doc_info/31460409/1/0", "VTMF-25385698")</f>
        <v/>
      </c>
      <c r="B926" s="20" t="inlineStr">
        <is>
          <t>Yes</t>
        </is>
      </c>
      <c r="C926" s="5" t="inlineStr">
        <is>
          <t>1.0</t>
        </is>
      </c>
      <c r="D926" s="5" t="inlineStr">
        <is>
          <t>GCO</t>
        </is>
      </c>
      <c r="E926" s="5" t="inlineStr">
        <is>
          <t>42847922MDD3003</t>
        </is>
      </c>
      <c r="F926" s="16">
        <f>HYPERLINK("https://vtmf.veevavault.com/ui/#doc_info/31460409/1/0", "42847922MDD3003-USA-S10-US10058-Relevant Communications-20 Mar 2025 (v1.0)")</f>
        <v/>
      </c>
      <c r="G926" s="5" t="inlineStr">
        <is>
          <t>Site Management</t>
        </is>
      </c>
      <c r="H926" s="5" t="inlineStr">
        <is>
          <t>General</t>
        </is>
      </c>
      <c r="I926" s="5" t="inlineStr">
        <is>
          <t>Relevant Communications</t>
        </is>
      </c>
      <c r="J926" s="5" t="inlineStr">
        <is>
          <t>notes from on-site visit 18-Mar_S10-US10058</t>
        </is>
      </c>
      <c r="K926" s="6" t="n">
        <v>391</v>
      </c>
      <c r="L926" s="7" t="n">
        <v>45736</v>
      </c>
      <c r="M926" s="11" t="n">
        <v>46127</v>
      </c>
      <c r="N926" s="5" t="inlineStr">
        <is>
          <t>Approved</t>
        </is>
      </c>
      <c r="O926" s="5" t="inlineStr">
        <is>
          <t>Site</t>
        </is>
      </c>
      <c r="P926" s="5" t="inlineStr">
        <is>
          <t>United States</t>
        </is>
      </c>
      <c r="Q926" s="13" t="inlineStr">
        <is>
          <t>S10-US10058</t>
        </is>
      </c>
      <c r="R926" s="5" t="inlineStr">
        <is>
          <t>Aurora Barbera</t>
        </is>
      </c>
      <c r="S926" s="8" t="n">
        <v>46127.6522800926</v>
      </c>
    </row>
    <row r="927" hidden="1" ht="29" customHeight="1">
      <c r="A927" s="15">
        <f>HYPERLINK("https://vtmf.veevavault.com/ui/#doc_info/31460415/1/0", "VTMF-25385710")</f>
        <v/>
      </c>
      <c r="B927" s="20" t="inlineStr">
        <is>
          <t>Yes</t>
        </is>
      </c>
      <c r="C927" s="5" t="inlineStr">
        <is>
          <t>1.0</t>
        </is>
      </c>
      <c r="D927" s="5" t="inlineStr">
        <is>
          <t>GCO</t>
        </is>
      </c>
      <c r="E927" s="5" t="inlineStr">
        <is>
          <t>42847922MDD3003</t>
        </is>
      </c>
      <c r="F927" s="16">
        <f>HYPERLINK("https://vtmf.veevavault.com/ui/#doc_info/31460415/1/0", "42847922MDD3003-USA-S10-US10219-Relevant Communications-20 Mar 2025 (v1.0)")</f>
        <v/>
      </c>
      <c r="G927" s="5" t="inlineStr">
        <is>
          <t>Site Management</t>
        </is>
      </c>
      <c r="H927" s="5" t="inlineStr">
        <is>
          <t>General</t>
        </is>
      </c>
      <c r="I927" s="5" t="inlineStr">
        <is>
          <t>Relevant Communications</t>
        </is>
      </c>
      <c r="J927" s="5" t="inlineStr">
        <is>
          <t>on-site visit notes 19-Mar_S10-US10219</t>
        </is>
      </c>
      <c r="K927" s="6" t="n">
        <v>391</v>
      </c>
      <c r="L927" s="7" t="n">
        <v>45736</v>
      </c>
      <c r="M927" s="11" t="n">
        <v>46127</v>
      </c>
      <c r="N927" s="5" t="inlineStr">
        <is>
          <t>Approved</t>
        </is>
      </c>
      <c r="O927" s="5" t="inlineStr">
        <is>
          <t>Site</t>
        </is>
      </c>
      <c r="P927" s="5" t="inlineStr">
        <is>
          <t>United States</t>
        </is>
      </c>
      <c r="Q927" s="13" t="inlineStr">
        <is>
          <t>S10-US10219</t>
        </is>
      </c>
      <c r="R927" s="5" t="inlineStr">
        <is>
          <t>Aurora Barbera</t>
        </is>
      </c>
      <c r="S927" s="8" t="n">
        <v>46127.65369212963</v>
      </c>
    </row>
    <row r="928" hidden="1" ht="29" customHeight="1">
      <c r="A928" s="15">
        <f>HYPERLINK("https://vtmf.veevavault.com/ui/#doc_info/31460423/1/0", "VTMF-25385724")</f>
        <v/>
      </c>
      <c r="B928" s="20" t="inlineStr">
        <is>
          <t>Yes</t>
        </is>
      </c>
      <c r="C928" s="5" t="inlineStr">
        <is>
          <t>1.0</t>
        </is>
      </c>
      <c r="D928" s="5" t="inlineStr">
        <is>
          <t>GCO</t>
        </is>
      </c>
      <c r="E928" s="5" t="inlineStr">
        <is>
          <t>42847922MDD3003</t>
        </is>
      </c>
      <c r="F928" s="16">
        <f>HYPERLINK("https://vtmf.veevavault.com/ui/#doc_info/31460423/1/0", "42847922MDD3003-USA-S10-US10218-Relevant Communications-24 Mar 2025 (v1.0)")</f>
        <v/>
      </c>
      <c r="G928" s="5" t="inlineStr">
        <is>
          <t>Site Management</t>
        </is>
      </c>
      <c r="H928" s="5" t="inlineStr">
        <is>
          <t>General</t>
        </is>
      </c>
      <c r="I928" s="5" t="inlineStr">
        <is>
          <t>Relevant Communications</t>
        </is>
      </c>
      <c r="J928" s="5" t="inlineStr">
        <is>
          <t>Eligibility approved_S10-US10218 Dr Asim Nisar Subject US102180015</t>
        </is>
      </c>
      <c r="K928" s="6" t="n">
        <v>387</v>
      </c>
      <c r="L928" s="7" t="n">
        <v>45740</v>
      </c>
      <c r="M928" s="11" t="n">
        <v>46127</v>
      </c>
      <c r="N928" s="5" t="inlineStr">
        <is>
          <t>Approved</t>
        </is>
      </c>
      <c r="O928" s="5" t="inlineStr">
        <is>
          <t>Site</t>
        </is>
      </c>
      <c r="P928" s="5" t="inlineStr">
        <is>
          <t>United States</t>
        </is>
      </c>
      <c r="Q928" s="13" t="inlineStr">
        <is>
          <t>S10-US10218</t>
        </is>
      </c>
      <c r="R928" s="5" t="inlineStr">
        <is>
          <t>Aurora Barbera</t>
        </is>
      </c>
      <c r="S928" s="8" t="n">
        <v>46127.65517361111</v>
      </c>
    </row>
    <row r="929" hidden="1" ht="29" customHeight="1">
      <c r="A929" s="15">
        <f>HYPERLINK("https://vtmf.veevavault.com/ui/#doc_info/31460428/1/0", "VTMF-25385738")</f>
        <v/>
      </c>
      <c r="B929" s="20" t="inlineStr">
        <is>
          <t>Yes</t>
        </is>
      </c>
      <c r="C929" s="5" t="inlineStr">
        <is>
          <t>1.0</t>
        </is>
      </c>
      <c r="D929" s="5" t="inlineStr">
        <is>
          <t>GCO</t>
        </is>
      </c>
      <c r="E929" s="5" t="inlineStr">
        <is>
          <t>42847922MDD3003</t>
        </is>
      </c>
      <c r="F929" s="16">
        <f>HYPERLINK("https://vtmf.veevavault.com/ui/#doc_info/31460428/1/0", "42847922MDD3003-USA-S10-US10013-Relevant Communications-26 Mar 2025 (v1.0)")</f>
        <v/>
      </c>
      <c r="G929" s="5" t="inlineStr">
        <is>
          <t>Site Management</t>
        </is>
      </c>
      <c r="H929" s="5" t="inlineStr">
        <is>
          <t>General</t>
        </is>
      </c>
      <c r="I929" s="5" t="inlineStr">
        <is>
          <t>Relevant Communications</t>
        </is>
      </c>
      <c r="J929" s="5" t="inlineStr">
        <is>
          <t>Eligibility approved_S10-US10013 Dr Thase Subject US100130005</t>
        </is>
      </c>
      <c r="K929" s="6" t="n">
        <v>385</v>
      </c>
      <c r="L929" s="7" t="n">
        <v>45742</v>
      </c>
      <c r="M929" s="11" t="n">
        <v>46127</v>
      </c>
      <c r="N929" s="5" t="inlineStr">
        <is>
          <t>Approved</t>
        </is>
      </c>
      <c r="O929" s="5" t="inlineStr">
        <is>
          <t>Site</t>
        </is>
      </c>
      <c r="P929" s="5" t="inlineStr">
        <is>
          <t>United States</t>
        </is>
      </c>
      <c r="Q929" s="13" t="inlineStr">
        <is>
          <t>S10-US10013</t>
        </is>
      </c>
      <c r="R929" s="5" t="inlineStr">
        <is>
          <t>Aurora Barbera</t>
        </is>
      </c>
      <c r="S929" s="8" t="n">
        <v>46127.65667824074</v>
      </c>
    </row>
    <row r="930" hidden="1" ht="29" customHeight="1">
      <c r="A930" s="15">
        <f>HYPERLINK("https://vtmf.veevavault.com/ui/#doc_info/31460440/1/0", "VTMF-25385759")</f>
        <v/>
      </c>
      <c r="B930" s="20" t="inlineStr">
        <is>
          <t>Yes</t>
        </is>
      </c>
      <c r="C930" s="5" t="inlineStr">
        <is>
          <t>1.0</t>
        </is>
      </c>
      <c r="D930" s="5" t="inlineStr">
        <is>
          <t>GCO</t>
        </is>
      </c>
      <c r="E930" s="5" t="inlineStr">
        <is>
          <t>42847922MDD3003</t>
        </is>
      </c>
      <c r="F930" s="16">
        <f>HYPERLINK("https://vtmf.veevavault.com/ui/#doc_info/31460440/1/0", "42847922MDD3003-ESP-S10-ES10003-Relevant Communications-16 Apr 2025 (v1.0)")</f>
        <v/>
      </c>
      <c r="G930" s="5" t="inlineStr">
        <is>
          <t>Site Management</t>
        </is>
      </c>
      <c r="H930" s="5" t="inlineStr">
        <is>
          <t>General</t>
        </is>
      </c>
      <c r="I930" s="5" t="inlineStr">
        <is>
          <t>Relevant Communications</t>
        </is>
      </c>
      <c r="J930" s="5" t="inlineStr">
        <is>
          <t>Eligibility approved_S10-ES10003 Dr Ros Cucurull Subject ES100030001</t>
        </is>
      </c>
      <c r="K930" s="6" t="n">
        <v>364</v>
      </c>
      <c r="L930" s="7" t="n">
        <v>45763</v>
      </c>
      <c r="M930" s="11" t="n">
        <v>46127</v>
      </c>
      <c r="N930" s="5" t="inlineStr">
        <is>
          <t>Approved</t>
        </is>
      </c>
      <c r="O930" s="5" t="inlineStr">
        <is>
          <t>Site</t>
        </is>
      </c>
      <c r="P930" s="5" t="inlineStr">
        <is>
          <t>Spain</t>
        </is>
      </c>
      <c r="Q930" s="13" t="inlineStr">
        <is>
          <t>S10-ES10003</t>
        </is>
      </c>
      <c r="R930" s="5" t="inlineStr">
        <is>
          <t>Aurora Barbera</t>
        </is>
      </c>
      <c r="S930" s="8" t="n">
        <v>46127.65802083333</v>
      </c>
    </row>
    <row r="931" hidden="1" ht="29" customHeight="1">
      <c r="A931" s="15">
        <f>HYPERLINK("https://vtmf.veevavault.com/ui/#doc_info/31460444/1/0", "VTMF-25385809")</f>
        <v/>
      </c>
      <c r="B931" s="20" t="inlineStr">
        <is>
          <t>Yes</t>
        </is>
      </c>
      <c r="C931" s="5" t="inlineStr">
        <is>
          <t>1.0</t>
        </is>
      </c>
      <c r="D931" s="5" t="inlineStr">
        <is>
          <t>GCO</t>
        </is>
      </c>
      <c r="E931" s="5" t="inlineStr">
        <is>
          <t>42847922MDD3003</t>
        </is>
      </c>
      <c r="F931" s="16">
        <f>HYPERLINK("https://vtmf.veevavault.com/ui/#doc_info/31460444/1/0", "42847922MDD3003-USA-S10-US10085-Relevant Communications-06 Jun 2025 (v1.0)")</f>
        <v/>
      </c>
      <c r="G931" s="5" t="inlineStr">
        <is>
          <t>Site Management</t>
        </is>
      </c>
      <c r="H931" s="5" t="inlineStr">
        <is>
          <t>General</t>
        </is>
      </c>
      <c r="I931" s="5" t="inlineStr">
        <is>
          <t>Relevant Communications</t>
        </is>
      </c>
      <c r="J931" s="5" t="inlineStr">
        <is>
          <t>on-site visit notes_S10-US10085</t>
        </is>
      </c>
      <c r="K931" s="6" t="n">
        <v>313</v>
      </c>
      <c r="L931" s="7" t="n">
        <v>45814</v>
      </c>
      <c r="M931" s="11" t="n">
        <v>46127</v>
      </c>
      <c r="N931" s="5" t="inlineStr">
        <is>
          <t>Approved</t>
        </is>
      </c>
      <c r="O931" s="5" t="inlineStr">
        <is>
          <t>Site</t>
        </is>
      </c>
      <c r="P931" s="5" t="inlineStr">
        <is>
          <t>United States</t>
        </is>
      </c>
      <c r="Q931" s="13" t="inlineStr">
        <is>
          <t>S10-US10085</t>
        </is>
      </c>
      <c r="R931" s="5" t="inlineStr">
        <is>
          <t>Aurora Barbera</t>
        </is>
      </c>
      <c r="S931" s="8" t="n">
        <v>46127.65934027778</v>
      </c>
    </row>
    <row r="932" hidden="1" ht="29" customHeight="1">
      <c r="A932" s="15">
        <f>HYPERLINK("https://vtmf.veevavault.com/ui/#doc_info/31460452/1/0", "VTMF-25385822")</f>
        <v/>
      </c>
      <c r="B932" s="20" t="inlineStr">
        <is>
          <t>Yes</t>
        </is>
      </c>
      <c r="C932" s="5" t="inlineStr">
        <is>
          <t>1.0</t>
        </is>
      </c>
      <c r="D932" s="5" t="inlineStr">
        <is>
          <t>GCO</t>
        </is>
      </c>
      <c r="E932" s="5" t="inlineStr">
        <is>
          <t>42847922MDD3003</t>
        </is>
      </c>
      <c r="F932" s="16">
        <f>HYPERLINK("https://vtmf.veevavault.com/ui/#doc_info/31460452/1/0", "42847922MDD3003-USA-S10-US10085-Relevant Communications-06 Jun 2025 (v1.0)")</f>
        <v/>
      </c>
      <c r="G932" s="5" t="inlineStr">
        <is>
          <t>Site Management</t>
        </is>
      </c>
      <c r="H932" s="5" t="inlineStr">
        <is>
          <t>General</t>
        </is>
      </c>
      <c r="I932" s="5" t="inlineStr">
        <is>
          <t>Relevant Communications</t>
        </is>
      </c>
      <c r="J932" s="5" t="inlineStr">
        <is>
          <t>summary and thank you for today's site visit_S10-US10085</t>
        </is>
      </c>
      <c r="K932" s="6" t="n">
        <v>313</v>
      </c>
      <c r="L932" s="7" t="n">
        <v>45814</v>
      </c>
      <c r="M932" s="11" t="n">
        <v>46127</v>
      </c>
      <c r="N932" s="5" t="inlineStr">
        <is>
          <t>Approved</t>
        </is>
      </c>
      <c r="O932" s="5" t="inlineStr">
        <is>
          <t>Site</t>
        </is>
      </c>
      <c r="P932" s="5" t="inlineStr">
        <is>
          <t>United States</t>
        </is>
      </c>
      <c r="Q932" s="13" t="inlineStr">
        <is>
          <t>S10-US10085</t>
        </is>
      </c>
      <c r="R932" s="5" t="inlineStr">
        <is>
          <t>Aurora Barbera</t>
        </is>
      </c>
      <c r="S932" s="8" t="n">
        <v>46127.66085648148</v>
      </c>
    </row>
    <row r="933" hidden="1" ht="29" customHeight="1">
      <c r="A933" s="15">
        <f>HYPERLINK("https://vtmf.veevavault.com/ui/#doc_info/31460475/1/0", "VTMF-25385876")</f>
        <v/>
      </c>
      <c r="B933" s="20" t="inlineStr">
        <is>
          <t>Yes</t>
        </is>
      </c>
      <c r="C933" s="5" t="inlineStr">
        <is>
          <t>1.0</t>
        </is>
      </c>
      <c r="D933" s="5" t="inlineStr">
        <is>
          <t>GCO</t>
        </is>
      </c>
      <c r="E933" s="5" t="inlineStr">
        <is>
          <t>42847922MDD3003</t>
        </is>
      </c>
      <c r="F933" s="16">
        <f>HYPERLINK("https://vtmf.veevavault.com/ui/#doc_info/31460475/1/0", "42847922MDD3003-USA-S10-US10083-Relevant Communications-06 Jun 2025 (v1.0)")</f>
        <v/>
      </c>
      <c r="G933" s="5" t="inlineStr">
        <is>
          <t>Site Management</t>
        </is>
      </c>
      <c r="H933" s="5" t="inlineStr">
        <is>
          <t>General</t>
        </is>
      </c>
      <c r="I933" s="5" t="inlineStr">
        <is>
          <t>Relevant Communications</t>
        </is>
      </c>
      <c r="J933" s="5" t="inlineStr">
        <is>
          <t>Eligibility approved_S10-US10083 Dr Kakanakova Subject US100830007</t>
        </is>
      </c>
      <c r="K933" s="6" t="n">
        <v>313</v>
      </c>
      <c r="L933" s="7" t="n">
        <v>45814</v>
      </c>
      <c r="M933" s="11" t="n">
        <v>46127</v>
      </c>
      <c r="N933" s="5" t="inlineStr">
        <is>
          <t>Approved</t>
        </is>
      </c>
      <c r="O933" s="5" t="inlineStr">
        <is>
          <t>Site</t>
        </is>
      </c>
      <c r="P933" s="5" t="inlineStr">
        <is>
          <t>United States</t>
        </is>
      </c>
      <c r="Q933" s="13" t="inlineStr">
        <is>
          <t>S10-US10083</t>
        </is>
      </c>
      <c r="R933" s="5" t="inlineStr">
        <is>
          <t>Aurora Barbera</t>
        </is>
      </c>
      <c r="S933" s="8" t="n">
        <v>46127.66743055556</v>
      </c>
    </row>
    <row r="934" hidden="1" ht="29" customHeight="1">
      <c r="A934" s="15">
        <f>HYPERLINK("https://vtmf.veevavault.com/ui/#doc_info/31460478/1/0", "VTMF-25385889")</f>
        <v/>
      </c>
      <c r="B934" s="20" t="inlineStr">
        <is>
          <t>Yes</t>
        </is>
      </c>
      <c r="C934" s="5" t="inlineStr">
        <is>
          <t>1.0</t>
        </is>
      </c>
      <c r="D934" s="5" t="inlineStr">
        <is>
          <t>GCO</t>
        </is>
      </c>
      <c r="E934" s="5" t="inlineStr">
        <is>
          <t>42847922MDD3003</t>
        </is>
      </c>
      <c r="F934" s="16">
        <f>HYPERLINK("https://vtmf.veevavault.com/ui/#doc_info/31460478/1/0", "42847922MDD3003-BGR-S10-BG10010-Relevant Communications-10 Jun 2025 (v1.0)")</f>
        <v/>
      </c>
      <c r="G934" s="5" t="inlineStr">
        <is>
          <t>Site Management</t>
        </is>
      </c>
      <c r="H934" s="5" t="inlineStr">
        <is>
          <t>General</t>
        </is>
      </c>
      <c r="I934" s="5" t="inlineStr">
        <is>
          <t>Relevant Communications</t>
        </is>
      </c>
      <c r="J934" s="5" t="inlineStr">
        <is>
          <t>Eligibility approved_S10-BG10010 Dr Kakanakova Subject BG100100003</t>
        </is>
      </c>
      <c r="K934" s="6" t="n">
        <v>309</v>
      </c>
      <c r="L934" s="7" t="n">
        <v>45818</v>
      </c>
      <c r="M934" s="11" t="n">
        <v>46127</v>
      </c>
      <c r="N934" s="5" t="inlineStr">
        <is>
          <t>Approved</t>
        </is>
      </c>
      <c r="O934" s="5" t="inlineStr">
        <is>
          <t>Site</t>
        </is>
      </c>
      <c r="P934" s="5" t="inlineStr">
        <is>
          <t>Bulgaria</t>
        </is>
      </c>
      <c r="Q934" s="13" t="inlineStr">
        <is>
          <t>S10-BG10010</t>
        </is>
      </c>
      <c r="R934" s="5" t="inlineStr">
        <is>
          <t>Aurora Barbera</t>
        </is>
      </c>
      <c r="S934" s="8" t="n">
        <v>46127.6697337963</v>
      </c>
    </row>
    <row r="935" hidden="1" ht="29" customHeight="1">
      <c r="A935" s="15">
        <f>HYPERLINK("https://vtmf.veevavault.com/ui/#doc_info/31461107/1/0", "VTMF-25385929")</f>
        <v/>
      </c>
      <c r="B935" s="20" t="inlineStr">
        <is>
          <t>Yes</t>
        </is>
      </c>
      <c r="C935" s="5" t="inlineStr">
        <is>
          <t>1.0</t>
        </is>
      </c>
      <c r="D935" s="5" t="inlineStr">
        <is>
          <t>GCO</t>
        </is>
      </c>
      <c r="E935" s="5" t="inlineStr">
        <is>
          <t>42847922MDD3003</t>
        </is>
      </c>
      <c r="F935" s="16">
        <f>HYPERLINK("https://vtmf.veevavault.com/ui/#doc_info/31461107/1/0", "42847922MDD3003-USA-S10-US10064-Relevant Communications-12 Jun 2025 (v1.0)")</f>
        <v/>
      </c>
      <c r="G935" s="5" t="inlineStr">
        <is>
          <t>Site Management</t>
        </is>
      </c>
      <c r="H935" s="5" t="inlineStr">
        <is>
          <t>General</t>
        </is>
      </c>
      <c r="I935" s="5" t="inlineStr">
        <is>
          <t>Relevant Communications</t>
        </is>
      </c>
      <c r="J935" s="5" t="inlineStr">
        <is>
          <t>Eligibility approved_S10-US10064 Dr Venereo Subject US100640028</t>
        </is>
      </c>
      <c r="K935" s="6" t="n">
        <v>307</v>
      </c>
      <c r="L935" s="7" t="n">
        <v>45820</v>
      </c>
      <c r="M935" s="11" t="n">
        <v>46127</v>
      </c>
      <c r="N935" s="5" t="inlineStr">
        <is>
          <t>Approved</t>
        </is>
      </c>
      <c r="O935" s="5" t="inlineStr">
        <is>
          <t>Site</t>
        </is>
      </c>
      <c r="P935" s="5" t="inlineStr">
        <is>
          <t>United States</t>
        </is>
      </c>
      <c r="Q935" s="13" t="inlineStr">
        <is>
          <t>S10-US10064</t>
        </is>
      </c>
      <c r="R935" s="5" t="inlineStr">
        <is>
          <t>Aurora Barbera</t>
        </is>
      </c>
      <c r="S935" s="8" t="n">
        <v>46127.67489583333</v>
      </c>
    </row>
    <row r="936" hidden="1" ht="29" customHeight="1">
      <c r="A936" s="15">
        <f>HYPERLINK("https://vtmf.veevavault.com/ui/#doc_info/31461120/1/0", "VTMF-25385953")</f>
        <v/>
      </c>
      <c r="B936" s="20" t="inlineStr">
        <is>
          <t>Yes</t>
        </is>
      </c>
      <c r="C936" s="5" t="inlineStr">
        <is>
          <t>1.0</t>
        </is>
      </c>
      <c r="D936" s="5" t="inlineStr">
        <is>
          <t>GCO</t>
        </is>
      </c>
      <c r="E936" s="5" t="inlineStr">
        <is>
          <t>42847922MDD3003</t>
        </is>
      </c>
      <c r="F936" s="16">
        <f>HYPERLINK("https://vtmf.veevavault.com/ui/#doc_info/31461120/1/0", "42847922MDD3003-BGR-S10-BG10008-Relevant Communications-16 Jun 2025 (v1.0)")</f>
        <v/>
      </c>
      <c r="G936" s="5" t="inlineStr">
        <is>
          <t>Site Management</t>
        </is>
      </c>
      <c r="H936" s="5" t="inlineStr">
        <is>
          <t>General</t>
        </is>
      </c>
      <c r="I936" s="5" t="inlineStr">
        <is>
          <t>Relevant Communications</t>
        </is>
      </c>
      <c r="J936" s="5" t="inlineStr">
        <is>
          <t>Eligibility approved_S10-BG10008 Dr Carr Subject BG100080004</t>
        </is>
      </c>
      <c r="K936" s="6" t="n">
        <v>303</v>
      </c>
      <c r="L936" s="7" t="n">
        <v>45824</v>
      </c>
      <c r="M936" s="11" t="n">
        <v>46127</v>
      </c>
      <c r="N936" s="5" t="inlineStr">
        <is>
          <t>Approved</t>
        </is>
      </c>
      <c r="O936" s="5" t="inlineStr">
        <is>
          <t>Site</t>
        </is>
      </c>
      <c r="P936" s="5" t="inlineStr">
        <is>
          <t>Bulgaria</t>
        </is>
      </c>
      <c r="Q936" s="13" t="inlineStr">
        <is>
          <t>S10-BG10008</t>
        </is>
      </c>
      <c r="R936" s="5" t="inlineStr">
        <is>
          <t>Aurora Barbera</t>
        </is>
      </c>
      <c r="S936" s="8" t="n">
        <v>46127.67717592593</v>
      </c>
    </row>
    <row r="937" hidden="1" ht="29" customHeight="1">
      <c r="A937" s="15">
        <f>HYPERLINK("https://vtmf.veevavault.com/ui/#doc_info/31461130/1/0", "VTMF-25385980")</f>
        <v/>
      </c>
      <c r="B937" s="20" t="inlineStr">
        <is>
          <t>Yes</t>
        </is>
      </c>
      <c r="C937" s="5" t="inlineStr">
        <is>
          <t>1.0</t>
        </is>
      </c>
      <c r="D937" s="5" t="inlineStr">
        <is>
          <t>GCO</t>
        </is>
      </c>
      <c r="E937" s="5" t="inlineStr">
        <is>
          <t>42847922MDD3003</t>
        </is>
      </c>
      <c r="F937" s="16">
        <f>HYPERLINK("https://vtmf.veevavault.com/ui/#doc_info/31461130/1/0", "42847922MDD3003-ESP-S10-ES10022-Relevant Communications-23 Jun 2025 (v1.0)")</f>
        <v/>
      </c>
      <c r="G937" s="5" t="inlineStr">
        <is>
          <t>Site Management</t>
        </is>
      </c>
      <c r="H937" s="5" t="inlineStr">
        <is>
          <t>General</t>
        </is>
      </c>
      <c r="I937" s="5" t="inlineStr">
        <is>
          <t>Relevant Communications</t>
        </is>
      </c>
      <c r="J937" s="5" t="inlineStr">
        <is>
          <t>Eligibility approved_S10-ES10022 Dr Vietapascual Subject ES100220001</t>
        </is>
      </c>
      <c r="K937" s="6" t="n">
        <v>296</v>
      </c>
      <c r="L937" s="7" t="n">
        <v>45831</v>
      </c>
      <c r="M937" s="11" t="n">
        <v>46127</v>
      </c>
      <c r="N937" s="5" t="inlineStr">
        <is>
          <t>Approved</t>
        </is>
      </c>
      <c r="O937" s="5" t="inlineStr">
        <is>
          <t>Site</t>
        </is>
      </c>
      <c r="P937" s="5" t="inlineStr">
        <is>
          <t>Spain</t>
        </is>
      </c>
      <c r="Q937" s="13" t="inlineStr">
        <is>
          <t>S10-ES10022</t>
        </is>
      </c>
      <c r="R937" s="5" t="inlineStr">
        <is>
          <t>Aurora Barbera</t>
        </is>
      </c>
      <c r="S937" s="8" t="n">
        <v>46127.67920138889</v>
      </c>
    </row>
    <row r="938" hidden="1" ht="29" customHeight="1">
      <c r="A938" s="15">
        <f>HYPERLINK("https://vtmf.veevavault.com/ui/#doc_info/31461138/1/0", "VTMF-25385993")</f>
        <v/>
      </c>
      <c r="B938" s="20" t="inlineStr">
        <is>
          <t>Yes</t>
        </is>
      </c>
      <c r="C938" s="5" t="inlineStr">
        <is>
          <t>1.0</t>
        </is>
      </c>
      <c r="D938" s="5" t="inlineStr">
        <is>
          <t>GCO</t>
        </is>
      </c>
      <c r="E938" s="5" t="inlineStr">
        <is>
          <t>42847922MDD3003</t>
        </is>
      </c>
      <c r="F938" s="16">
        <f>HYPERLINK("https://vtmf.veevavault.com/ui/#doc_info/31461138/1/0", "42847922MDD3003-SWE-S10-SE10002-Relevant Communications-30 Jun 2025 (v1.0)")</f>
        <v/>
      </c>
      <c r="G938" s="5" t="inlineStr">
        <is>
          <t>Site Management</t>
        </is>
      </c>
      <c r="H938" s="5" t="inlineStr">
        <is>
          <t>General</t>
        </is>
      </c>
      <c r="I938" s="5" t="inlineStr">
        <is>
          <t>Relevant Communications</t>
        </is>
      </c>
      <c r="J938" s="5" t="inlineStr">
        <is>
          <t>Eligibility approved_S10-SE10002 Dr Bosson Subject SE100020010</t>
        </is>
      </c>
      <c r="K938" s="6" t="n">
        <v>289</v>
      </c>
      <c r="L938" s="7" t="n">
        <v>45838</v>
      </c>
      <c r="M938" s="11" t="n">
        <v>46127</v>
      </c>
      <c r="N938" s="5" t="inlineStr">
        <is>
          <t>Approved</t>
        </is>
      </c>
      <c r="O938" s="5" t="inlineStr">
        <is>
          <t>Site</t>
        </is>
      </c>
      <c r="P938" s="5" t="inlineStr">
        <is>
          <t>Sweden</t>
        </is>
      </c>
      <c r="Q938" s="13" t="inlineStr">
        <is>
          <t>S10-SE10002</t>
        </is>
      </c>
      <c r="R938" s="5" t="inlineStr">
        <is>
          <t>Aurora Barbera</t>
        </is>
      </c>
      <c r="S938" s="8" t="n">
        <v>46127.68055555555</v>
      </c>
    </row>
    <row r="939" hidden="1" ht="29" customHeight="1">
      <c r="A939" s="15">
        <f>HYPERLINK("https://vtmf.veevavault.com/ui/#doc_info/31461142/1/0", "VTMF-25386006")</f>
        <v/>
      </c>
      <c r="B939" s="20" t="inlineStr">
        <is>
          <t>Yes</t>
        </is>
      </c>
      <c r="C939" s="5" t="inlineStr">
        <is>
          <t>1.0</t>
        </is>
      </c>
      <c r="D939" s="5" t="inlineStr">
        <is>
          <t>GCO</t>
        </is>
      </c>
      <c r="E939" s="5" t="inlineStr">
        <is>
          <t>42847922MDD3003</t>
        </is>
      </c>
      <c r="F939" s="16">
        <f>HYPERLINK("https://vtmf.veevavault.com/ui/#doc_info/31461142/1/0", "42847922MDD3003-ARG-S10-AR10015-Relevant Communications-01 Jul 2025 (v1.0)")</f>
        <v/>
      </c>
      <c r="G939" s="5" t="inlineStr">
        <is>
          <t>Site Management</t>
        </is>
      </c>
      <c r="H939" s="5" t="inlineStr">
        <is>
          <t>General</t>
        </is>
      </c>
      <c r="I939" s="5" t="inlineStr">
        <is>
          <t>Relevant Communications</t>
        </is>
      </c>
      <c r="J939" s="5" t="inlineStr">
        <is>
          <t>Eligibility approved_S10-AR10015 Dr Noriega Subject AR100150011</t>
        </is>
      </c>
      <c r="K939" s="6" t="n">
        <v>288</v>
      </c>
      <c r="L939" s="7" t="n">
        <v>45839</v>
      </c>
      <c r="M939" s="11" t="n">
        <v>46127</v>
      </c>
      <c r="N939" s="5" t="inlineStr">
        <is>
          <t>Approved</t>
        </is>
      </c>
      <c r="O939" s="5" t="inlineStr">
        <is>
          <t>Site</t>
        </is>
      </c>
      <c r="P939" s="5" t="inlineStr">
        <is>
          <t>Argentina</t>
        </is>
      </c>
      <c r="Q939" s="13" t="inlineStr">
        <is>
          <t>S10-AR10015</t>
        </is>
      </c>
      <c r="R939" s="5" t="inlineStr">
        <is>
          <t>Aurora Barbera</t>
        </is>
      </c>
      <c r="S939" s="8" t="n">
        <v>46127.68193287037</v>
      </c>
    </row>
    <row r="940" hidden="1" ht="29" customHeight="1">
      <c r="A940" s="15">
        <f>HYPERLINK("https://vtmf.veevavault.com/ui/#doc_info/31461059/1/0", "VTMF-25386016")</f>
        <v/>
      </c>
      <c r="B940" s="20" t="inlineStr">
        <is>
          <t>Yes</t>
        </is>
      </c>
      <c r="C940" s="5" t="inlineStr">
        <is>
          <t>1.0</t>
        </is>
      </c>
      <c r="D940" s="5" t="inlineStr">
        <is>
          <t>GCO</t>
        </is>
      </c>
      <c r="E940" s="5" t="inlineStr">
        <is>
          <t>42847922MDD3003</t>
        </is>
      </c>
      <c r="F940" s="16">
        <f>HYPERLINK("https://vtmf.veevavault.com/ui/#doc_info/31461059/1/0", "42847922MDD3003-USA-S10-US10015-Relevant Communications-03 Jul 2025 (v1.0)")</f>
        <v/>
      </c>
      <c r="G940" s="5" t="inlineStr">
        <is>
          <t>Site Management</t>
        </is>
      </c>
      <c r="H940" s="5" t="inlineStr">
        <is>
          <t>General</t>
        </is>
      </c>
      <c r="I940" s="5" t="inlineStr">
        <is>
          <t>Relevant Communications</t>
        </is>
      </c>
      <c r="J940" s="5" t="inlineStr">
        <is>
          <t>Eligibility not approved_S10-US10015 Dr Carr Subject US100150005</t>
        </is>
      </c>
      <c r="K940" s="6" t="n">
        <v>286</v>
      </c>
      <c r="L940" s="7" t="n">
        <v>45841</v>
      </c>
      <c r="M940" s="11" t="n">
        <v>46127</v>
      </c>
      <c r="N940" s="5" t="inlineStr">
        <is>
          <t>Approved</t>
        </is>
      </c>
      <c r="O940" s="5" t="inlineStr">
        <is>
          <t>Site</t>
        </is>
      </c>
      <c r="P940" s="5" t="inlineStr">
        <is>
          <t>United States</t>
        </is>
      </c>
      <c r="Q940" s="13" t="inlineStr">
        <is>
          <t>S10-US10015</t>
        </is>
      </c>
      <c r="R940" s="5" t="inlineStr">
        <is>
          <t>Aurora Barbera</t>
        </is>
      </c>
      <c r="S940" s="8" t="n">
        <v>46127.68325231481</v>
      </c>
    </row>
    <row r="941" hidden="1" ht="29" customHeight="1">
      <c r="A941" s="15">
        <f>HYPERLINK("https://vtmf.veevavault.com/ui/#doc_info/31461068/1/0", "VTMF-25386030")</f>
        <v/>
      </c>
      <c r="B941" s="20" t="inlineStr">
        <is>
          <t>Yes</t>
        </is>
      </c>
      <c r="C941" s="5" t="inlineStr">
        <is>
          <t>1.0</t>
        </is>
      </c>
      <c r="D941" s="5" t="inlineStr">
        <is>
          <t>GCO</t>
        </is>
      </c>
      <c r="E941" s="5" t="inlineStr">
        <is>
          <t>42847922MDD3003</t>
        </is>
      </c>
      <c r="F941" s="16">
        <f>HYPERLINK("https://vtmf.veevavault.com/ui/#doc_info/31461068/1/0", "42847922MDD3003-USA-S10-US10214-Relevant Communications-08 Jul 2025 (v1.0)")</f>
        <v/>
      </c>
      <c r="G941" s="5" t="inlineStr">
        <is>
          <t>Site Management</t>
        </is>
      </c>
      <c r="H941" s="5" t="inlineStr">
        <is>
          <t>General</t>
        </is>
      </c>
      <c r="I941" s="5" t="inlineStr">
        <is>
          <t>Relevant Communications</t>
        </is>
      </c>
      <c r="J941" s="5" t="inlineStr">
        <is>
          <t>Eligibility approved_S10-US10214 Dr Eder Subject US102140002</t>
        </is>
      </c>
      <c r="K941" s="6" t="n">
        <v>281</v>
      </c>
      <c r="L941" s="7" t="n">
        <v>45846</v>
      </c>
      <c r="M941" s="11" t="n">
        <v>46127</v>
      </c>
      <c r="N941" s="5" t="inlineStr">
        <is>
          <t>Approved</t>
        </is>
      </c>
      <c r="O941" s="5" t="inlineStr">
        <is>
          <t>Site</t>
        </is>
      </c>
      <c r="P941" s="5" t="inlineStr">
        <is>
          <t>United States</t>
        </is>
      </c>
      <c r="Q941" s="13" t="inlineStr">
        <is>
          <t>S10-US10214</t>
        </is>
      </c>
      <c r="R941" s="5" t="inlineStr">
        <is>
          <t>Aurora Barbera</t>
        </is>
      </c>
      <c r="S941" s="8" t="n">
        <v>46127.68467592593</v>
      </c>
    </row>
    <row r="942" hidden="1" ht="29" customHeight="1">
      <c r="A942" s="15">
        <f>HYPERLINK("https://vtmf.veevavault.com/ui/#doc_info/31461079/1/0", "VTMF-25386053")</f>
        <v/>
      </c>
      <c r="B942" s="20" t="inlineStr">
        <is>
          <t>Yes</t>
        </is>
      </c>
      <c r="C942" s="5" t="inlineStr">
        <is>
          <t>1.0</t>
        </is>
      </c>
      <c r="D942" s="5" t="inlineStr">
        <is>
          <t>GCO</t>
        </is>
      </c>
      <c r="E942" s="5" t="inlineStr">
        <is>
          <t>42847922MDD3003</t>
        </is>
      </c>
      <c r="F942" s="16">
        <f>HYPERLINK("https://vtmf.veevavault.com/ui/#doc_info/31461079/1/0", "42847922MDD3003-USA-S10-US10040-Relevant Communications-09 Jul 2025 (v1.0)")</f>
        <v/>
      </c>
      <c r="G942" s="5" t="inlineStr">
        <is>
          <t>Site Management</t>
        </is>
      </c>
      <c r="H942" s="5" t="inlineStr">
        <is>
          <t>General</t>
        </is>
      </c>
      <c r="I942" s="5" t="inlineStr">
        <is>
          <t>Relevant Communications</t>
        </is>
      </c>
      <c r="J942" s="5" t="inlineStr">
        <is>
          <t>Eligibility approved_S10-US10040 Dr Rutrick Subject US100400022</t>
        </is>
      </c>
      <c r="K942" s="6" t="n">
        <v>280</v>
      </c>
      <c r="L942" s="7" t="n">
        <v>45847</v>
      </c>
      <c r="M942" s="11" t="n">
        <v>46127</v>
      </c>
      <c r="N942" s="5" t="inlineStr">
        <is>
          <t>Approved</t>
        </is>
      </c>
      <c r="O942" s="5" t="inlineStr">
        <is>
          <t>Site</t>
        </is>
      </c>
      <c r="P942" s="5" t="inlineStr">
        <is>
          <t>United States</t>
        </is>
      </c>
      <c r="Q942" s="13" t="inlineStr">
        <is>
          <t>S10-US10040</t>
        </is>
      </c>
      <c r="R942" s="5" t="inlineStr">
        <is>
          <t>Aurora Barbera</t>
        </is>
      </c>
      <c r="S942" s="8" t="n">
        <v>46127.68626157408</v>
      </c>
    </row>
    <row r="943" hidden="1" ht="29" customHeight="1">
      <c r="A943" s="15">
        <f>HYPERLINK("https://vtmf.veevavault.com/ui/#doc_info/31461089/1/0", "VTMF-25386070")</f>
        <v/>
      </c>
      <c r="B943" s="20" t="inlineStr">
        <is>
          <t>Yes</t>
        </is>
      </c>
      <c r="C943" s="5" t="inlineStr">
        <is>
          <t>1.0</t>
        </is>
      </c>
      <c r="D943" s="5" t="inlineStr">
        <is>
          <t>GCO</t>
        </is>
      </c>
      <c r="E943" s="5" t="inlineStr">
        <is>
          <t>42847922MDD3003</t>
        </is>
      </c>
      <c r="F943" s="16">
        <f>HYPERLINK("https://vtmf.veevavault.com/ui/#doc_info/31461089/1/0", "42847922MDD3003-USA-S10-US10219-Relevant Communications-14 Jul 2025 (v1.0)")</f>
        <v/>
      </c>
      <c r="G943" s="5" t="inlineStr">
        <is>
          <t>Site Management</t>
        </is>
      </c>
      <c r="H943" s="5" t="inlineStr">
        <is>
          <t>General</t>
        </is>
      </c>
      <c r="I943" s="5" t="inlineStr">
        <is>
          <t>Relevant Communications</t>
        </is>
      </c>
      <c r="J943" s="5" t="inlineStr">
        <is>
          <t>VISIT 1.5_Alert:T Waves: Flat_S10-US10219 Subject US102190015</t>
        </is>
      </c>
      <c r="K943" s="6" t="n">
        <v>275</v>
      </c>
      <c r="L943" s="7" t="n">
        <v>45852</v>
      </c>
      <c r="M943" s="11" t="n">
        <v>46127</v>
      </c>
      <c r="N943" s="5" t="inlineStr">
        <is>
          <t>Approved</t>
        </is>
      </c>
      <c r="O943" s="5" t="inlineStr">
        <is>
          <t>Site</t>
        </is>
      </c>
      <c r="P943" s="5" t="inlineStr">
        <is>
          <t>United States</t>
        </is>
      </c>
      <c r="Q943" s="13" t="inlineStr">
        <is>
          <t>S10-US10219</t>
        </is>
      </c>
      <c r="R943" s="5" t="inlineStr">
        <is>
          <t>Aurora Barbera</t>
        </is>
      </c>
      <c r="S943" s="8" t="n">
        <v>46127.68751157408</v>
      </c>
    </row>
    <row r="944" hidden="1" ht="29" customHeight="1">
      <c r="A944" s="15">
        <f>HYPERLINK("https://vtmf.veevavault.com/ui/#doc_info/31461095/1/0", "VTMF-25386094")</f>
        <v/>
      </c>
      <c r="B944" s="20" t="inlineStr">
        <is>
          <t>Yes</t>
        </is>
      </c>
      <c r="C944" s="5" t="inlineStr">
        <is>
          <t>1.0</t>
        </is>
      </c>
      <c r="D944" s="5" t="inlineStr">
        <is>
          <t>GCO</t>
        </is>
      </c>
      <c r="E944" s="5" t="inlineStr">
        <is>
          <t>42847922MDD3003</t>
        </is>
      </c>
      <c r="F944" s="16">
        <f>HYPERLINK("https://vtmf.veevavault.com/ui/#doc_info/31461095/1/0", "42847922MDD3003-PRT-S10-PT10001-Relevant Communications-25 Jul 2025 (v1.0)")</f>
        <v/>
      </c>
      <c r="G944" s="5" t="inlineStr">
        <is>
          <t>Site Management</t>
        </is>
      </c>
      <c r="H944" s="5" t="inlineStr">
        <is>
          <t>General</t>
        </is>
      </c>
      <c r="I944" s="5" t="inlineStr">
        <is>
          <t>Relevant Communications</t>
        </is>
      </c>
      <c r="J944" s="5" t="inlineStr">
        <is>
          <t>Screening extension request_S10-PT10001 Subject PT100010001</t>
        </is>
      </c>
      <c r="K944" s="6" t="n">
        <v>264</v>
      </c>
      <c r="L944" s="7" t="n">
        <v>45863</v>
      </c>
      <c r="M944" s="11" t="n">
        <v>46127</v>
      </c>
      <c r="N944" s="5" t="inlineStr">
        <is>
          <t>Approved</t>
        </is>
      </c>
      <c r="O944" s="5" t="inlineStr">
        <is>
          <t>Site</t>
        </is>
      </c>
      <c r="P944" s="5" t="inlineStr">
        <is>
          <t>Portugal</t>
        </is>
      </c>
      <c r="Q944" s="13" t="inlineStr">
        <is>
          <t>S10-PT10001</t>
        </is>
      </c>
      <c r="R944" s="5" t="inlineStr">
        <is>
          <t>Aurora Barbera</t>
        </is>
      </c>
      <c r="S944" s="8" t="n">
        <v>46127.68935185186</v>
      </c>
    </row>
    <row r="945" hidden="1" ht="29" customHeight="1">
      <c r="A945" s="15">
        <f>HYPERLINK("https://vtmf.veevavault.com/ui/#doc_info/31461208/1/0", "VTMF-25386125")</f>
        <v/>
      </c>
      <c r="B945" s="20" t="inlineStr">
        <is>
          <t>Yes</t>
        </is>
      </c>
      <c r="C945" s="5" t="inlineStr">
        <is>
          <t>1.0</t>
        </is>
      </c>
      <c r="D945" s="5" t="inlineStr">
        <is>
          <t>GCO</t>
        </is>
      </c>
      <c r="E945" s="5" t="inlineStr">
        <is>
          <t>42847922MDD3003</t>
        </is>
      </c>
      <c r="F945" s="16">
        <f>HYPERLINK("https://vtmf.veevavault.com/ui/#doc_info/31461208/1/0", "42847922MDD3003-BRA-S10-BR10007-Relevant Communications-01 Aug 2025 (v1.0)")</f>
        <v/>
      </c>
      <c r="G945" s="5" t="inlineStr">
        <is>
          <t>Site Management</t>
        </is>
      </c>
      <c r="H945" s="5" t="inlineStr">
        <is>
          <t>General</t>
        </is>
      </c>
      <c r="I945" s="5" t="inlineStr">
        <is>
          <t>Relevant Communications</t>
        </is>
      </c>
      <c r="J945" s="5" t="inlineStr">
        <is>
          <t>updated CSSRS-Baseline/Screening Version_S10-BR10007 Subject BR100070017</t>
        </is>
      </c>
      <c r="K945" s="6" t="n">
        <v>257</v>
      </c>
      <c r="L945" s="7" t="n">
        <v>45870</v>
      </c>
      <c r="M945" s="11" t="n">
        <v>46127</v>
      </c>
      <c r="N945" s="5" t="inlineStr">
        <is>
          <t>Approved</t>
        </is>
      </c>
      <c r="O945" s="5" t="inlineStr">
        <is>
          <t>Site</t>
        </is>
      </c>
      <c r="P945" s="5" t="inlineStr">
        <is>
          <t>Brazil</t>
        </is>
      </c>
      <c r="Q945" s="13" t="inlineStr">
        <is>
          <t>S10-BR10007</t>
        </is>
      </c>
      <c r="R945" s="5" t="inlineStr">
        <is>
          <t>Aurora Barbera</t>
        </is>
      </c>
      <c r="S945" s="8" t="n">
        <v>46127.69155092593</v>
      </c>
    </row>
    <row r="946" hidden="1" ht="29" customHeight="1">
      <c r="A946" s="15">
        <f>HYPERLINK("https://vtmf.veevavault.com/ui/#doc_info/31461214/1/0", "VTMF-25386138")</f>
        <v/>
      </c>
      <c r="B946" s="20" t="inlineStr">
        <is>
          <t>Yes</t>
        </is>
      </c>
      <c r="C946" s="5" t="inlineStr">
        <is>
          <t>1.0</t>
        </is>
      </c>
      <c r="D946" s="5" t="inlineStr">
        <is>
          <t>GCO</t>
        </is>
      </c>
      <c r="E946" s="5" t="inlineStr">
        <is>
          <t>42847922MDD3003</t>
        </is>
      </c>
      <c r="F946" s="16">
        <f>HYPERLINK("https://vtmf.veevavault.com/ui/#doc_info/31461214/1/0", "42847922MDD3003-USA-S10-US10015-Relevant Communications-04 Aug 2025 (v1.0)")</f>
        <v/>
      </c>
      <c r="G946" s="5" t="inlineStr">
        <is>
          <t>Site Management</t>
        </is>
      </c>
      <c r="H946" s="5" t="inlineStr">
        <is>
          <t>General</t>
        </is>
      </c>
      <c r="I946" s="5" t="inlineStr">
        <is>
          <t>Relevant Communications</t>
        </is>
      </c>
      <c r="J946" s="5" t="inlineStr">
        <is>
          <t>Visit part 1 screening_S10-US10015 Subject US100150007</t>
        </is>
      </c>
      <c r="K946" s="6" t="n">
        <v>254</v>
      </c>
      <c r="L946" s="7" t="n">
        <v>45873</v>
      </c>
      <c r="M946" s="11" t="n">
        <v>46127</v>
      </c>
      <c r="N946" s="5" t="inlineStr">
        <is>
          <t>Approved</t>
        </is>
      </c>
      <c r="O946" s="5" t="inlineStr">
        <is>
          <t>Site</t>
        </is>
      </c>
      <c r="P946" s="5" t="inlineStr">
        <is>
          <t>United States</t>
        </is>
      </c>
      <c r="Q946" s="13" t="inlineStr">
        <is>
          <t>S10-US10015</t>
        </is>
      </c>
      <c r="R946" s="5" t="inlineStr">
        <is>
          <t>Aurora Barbera</t>
        </is>
      </c>
      <c r="S946" s="8" t="n">
        <v>46127.69332175926</v>
      </c>
    </row>
    <row r="947" hidden="1" ht="29" customHeight="1">
      <c r="A947" s="15">
        <f>HYPERLINK("https://vtmf.veevavault.com/ui/#doc_info/31461217/1/0", "VTMF-25386147")</f>
        <v/>
      </c>
      <c r="B947" s="20" t="inlineStr">
        <is>
          <t>Yes</t>
        </is>
      </c>
      <c r="C947" s="5" t="inlineStr">
        <is>
          <t>1.0</t>
        </is>
      </c>
      <c r="D947" s="5" t="inlineStr">
        <is>
          <t>GCO</t>
        </is>
      </c>
      <c r="E947" s="5" t="inlineStr">
        <is>
          <t>42847922MDD3003</t>
        </is>
      </c>
      <c r="F947" s="16">
        <f>HYPERLINK("https://vtmf.veevavault.com/ui/#doc_info/31461217/1/0", "42847922MDD3003-USA-S10-US10040-Relevant Communications-07 Aug 2025 (v1.0)")</f>
        <v/>
      </c>
      <c r="G947" s="5" t="inlineStr">
        <is>
          <t>Site Management</t>
        </is>
      </c>
      <c r="H947" s="5" t="inlineStr">
        <is>
          <t>General</t>
        </is>
      </c>
      <c r="I947" s="5" t="inlineStr">
        <is>
          <t>Relevant Communications</t>
        </is>
      </c>
      <c r="J947" s="5" t="inlineStr">
        <is>
          <t>V3.4 Study Drug Accountability_S10-US10040 Subject US100400006</t>
        </is>
      </c>
      <c r="K947" s="6" t="n">
        <v>251</v>
      </c>
      <c r="L947" s="7" t="n">
        <v>45876</v>
      </c>
      <c r="M947" s="11" t="n">
        <v>46127</v>
      </c>
      <c r="N947" s="5" t="inlineStr">
        <is>
          <t>Approved</t>
        </is>
      </c>
      <c r="O947" s="5" t="inlineStr">
        <is>
          <t>Site</t>
        </is>
      </c>
      <c r="P947" s="5" t="inlineStr">
        <is>
          <t>United States</t>
        </is>
      </c>
      <c r="Q947" s="13" t="inlineStr">
        <is>
          <t>S10-US10040</t>
        </is>
      </c>
      <c r="R947" s="5" t="inlineStr">
        <is>
          <t>Aurora Barbera</t>
        </is>
      </c>
      <c r="S947" s="8" t="n">
        <v>46127.69494212963</v>
      </c>
    </row>
    <row r="948" hidden="1" ht="29" customHeight="1">
      <c r="A948" s="15">
        <f>HYPERLINK("https://vtmf.veevavault.com/ui/#doc_info/31461223/1/0", "VTMF-25386159")</f>
        <v/>
      </c>
      <c r="B948" s="20" t="inlineStr">
        <is>
          <t>Yes</t>
        </is>
      </c>
      <c r="C948" s="5" t="inlineStr">
        <is>
          <t>1.0</t>
        </is>
      </c>
      <c r="D948" s="5" t="inlineStr">
        <is>
          <t>GCO</t>
        </is>
      </c>
      <c r="E948" s="5" t="inlineStr">
        <is>
          <t>42847922MDD3003</t>
        </is>
      </c>
      <c r="F948" s="16">
        <f>HYPERLINK("https://vtmf.veevavault.com/ui/#doc_info/31461223/1/0", "42847922MDD3003-USA-S10-US10007-Relevant Communications-08 Aug 2025 (v1.0)")</f>
        <v/>
      </c>
      <c r="G948" s="5" t="inlineStr">
        <is>
          <t>Site Management</t>
        </is>
      </c>
      <c r="H948" s="5" t="inlineStr">
        <is>
          <t>General</t>
        </is>
      </c>
      <c r="I948" s="5" t="inlineStr">
        <is>
          <t>Relevant Communications</t>
        </is>
      </c>
      <c r="J948" s="5" t="inlineStr">
        <is>
          <t>Visit End of Phase/Treatment_S10-US10007 Subject US100070011</t>
        </is>
      </c>
      <c r="K948" s="6" t="n">
        <v>250</v>
      </c>
      <c r="L948" s="7" t="n">
        <v>45877</v>
      </c>
      <c r="M948" s="11" t="n">
        <v>46127</v>
      </c>
      <c r="N948" s="5" t="inlineStr">
        <is>
          <t>Approved</t>
        </is>
      </c>
      <c r="O948" s="5" t="inlineStr">
        <is>
          <t>Site</t>
        </is>
      </c>
      <c r="P948" s="5" t="inlineStr">
        <is>
          <t>United States</t>
        </is>
      </c>
      <c r="Q948" s="13" t="inlineStr">
        <is>
          <t>S10-US10007</t>
        </is>
      </c>
      <c r="R948" s="5" t="inlineStr">
        <is>
          <t>Aurora Barbera</t>
        </is>
      </c>
      <c r="S948" s="8" t="n">
        <v>46127.69649305556</v>
      </c>
    </row>
    <row r="949" hidden="1" ht="29" customHeight="1">
      <c r="A949" s="15">
        <f>HYPERLINK("https://vtmf.veevavault.com/ui/#doc_info/31461229/1/0", "VTMF-25386171")</f>
        <v/>
      </c>
      <c r="B949" s="20" t="inlineStr">
        <is>
          <t>Yes</t>
        </is>
      </c>
      <c r="C949" s="5" t="inlineStr">
        <is>
          <t>1.0</t>
        </is>
      </c>
      <c r="D949" s="5" t="inlineStr">
        <is>
          <t>GCO</t>
        </is>
      </c>
      <c r="E949" s="5" t="inlineStr">
        <is>
          <t>42847922MDD3003</t>
        </is>
      </c>
      <c r="F949" s="16">
        <f>HYPERLINK("https://vtmf.veevavault.com/ui/#doc_info/31461229/1/0", "42847922MDD3003-TUR-S10-TR10012-Relevant Communications-26 Aug 2025 (v1.0)")</f>
        <v/>
      </c>
      <c r="G949" s="5" t="inlineStr">
        <is>
          <t>Site Management</t>
        </is>
      </c>
      <c r="H949" s="5" t="inlineStr">
        <is>
          <t>General</t>
        </is>
      </c>
      <c r="I949" s="5" t="inlineStr">
        <is>
          <t>Relevant Communications</t>
        </is>
      </c>
      <c r="J949" s="5" t="inlineStr">
        <is>
          <t>Visit part 1 screening_S10-TR10012 Subject TR100120003</t>
        </is>
      </c>
      <c r="K949" s="6" t="n">
        <v>232</v>
      </c>
      <c r="L949" s="7" t="n">
        <v>45895</v>
      </c>
      <c r="M949" s="11" t="n">
        <v>46127</v>
      </c>
      <c r="N949" s="5" t="inlineStr">
        <is>
          <t>Approved</t>
        </is>
      </c>
      <c r="O949" s="5" t="inlineStr">
        <is>
          <t>Site</t>
        </is>
      </c>
      <c r="P949" s="5" t="inlineStr">
        <is>
          <t>Türkiye</t>
        </is>
      </c>
      <c r="Q949" s="13" t="inlineStr">
        <is>
          <t>S10-TR10012</t>
        </is>
      </c>
      <c r="R949" s="5" t="inlineStr">
        <is>
          <t>Aurora Barbera</t>
        </is>
      </c>
      <c r="S949" s="8" t="n">
        <v>46127.69797453703</v>
      </c>
    </row>
    <row r="950" hidden="1" ht="43.5" customHeight="1">
      <c r="A950" s="15">
        <f>HYPERLINK("https://vtmf.veevavault.com/ui/#doc_info/31461338/1/0", "VTMF-25386181")</f>
        <v/>
      </c>
      <c r="B950" s="20" t="inlineStr">
        <is>
          <t>Yes</t>
        </is>
      </c>
      <c r="C950" s="5" t="inlineStr">
        <is>
          <t>1.0</t>
        </is>
      </c>
      <c r="D950" s="5" t="inlineStr">
        <is>
          <t>GCO</t>
        </is>
      </c>
      <c r="E950" s="5" t="inlineStr">
        <is>
          <t>42847922MDD3003</t>
        </is>
      </c>
      <c r="F950" s="16">
        <f>HYPERLINK("https://vtmf.veevavault.com/ui/#doc_info/31461338/1/0", "42847922MDD3003-USA-S10-US10207-Relevant Communications-16 Sep 2025 (v1.0)")</f>
        <v/>
      </c>
      <c r="G950" s="5" t="inlineStr">
        <is>
          <t>Site Management</t>
        </is>
      </c>
      <c r="H950" s="5" t="inlineStr">
        <is>
          <t>General</t>
        </is>
      </c>
      <c r="I950" s="5" t="inlineStr">
        <is>
          <t>Relevant Communications</t>
        </is>
      </c>
      <c r="J950" s="5" t="inlineStr">
        <is>
          <t>Change in Background Dose of ADT at Part 2 3.3 DB Maintenance Visit_S10-US10207 Subject US102070002</t>
        </is>
      </c>
      <c r="K950" s="6" t="n">
        <v>211</v>
      </c>
      <c r="L950" s="7" t="n">
        <v>45916</v>
      </c>
      <c r="M950" s="11" t="n">
        <v>46127</v>
      </c>
      <c r="N950" s="5" t="inlineStr">
        <is>
          <t>Approved</t>
        </is>
      </c>
      <c r="O950" s="5" t="inlineStr">
        <is>
          <t>Site</t>
        </is>
      </c>
      <c r="P950" s="5" t="inlineStr">
        <is>
          <t>United States</t>
        </is>
      </c>
      <c r="Q950" s="13" t="inlineStr">
        <is>
          <t>S10-US10207</t>
        </is>
      </c>
      <c r="R950" s="5" t="inlineStr">
        <is>
          <t>Aurora Barbera</t>
        </is>
      </c>
      <c r="S950" s="8" t="n">
        <v>46127.69958333333</v>
      </c>
    </row>
    <row r="951" hidden="1" ht="29" customHeight="1">
      <c r="A951" s="15">
        <f>HYPERLINK("https://vtmf.veevavault.com/ui/#doc_info/31461348/1/0", "VTMF-25386222")</f>
        <v/>
      </c>
      <c r="B951" s="20" t="inlineStr">
        <is>
          <t>Yes</t>
        </is>
      </c>
      <c r="C951" s="5" t="inlineStr">
        <is>
          <t>1.0</t>
        </is>
      </c>
      <c r="D951" s="5" t="inlineStr">
        <is>
          <t>GCO</t>
        </is>
      </c>
      <c r="E951" s="5" t="inlineStr">
        <is>
          <t>42847922MDD3003</t>
        </is>
      </c>
      <c r="F951" s="16">
        <f>HYPERLINK("https://vtmf.veevavault.com/ui/#doc_info/31461348/1/0", "42847922MDD3003-ROU-S10-RO10016-Relevant Communications-26 Sep 2025 (v1.0)")</f>
        <v/>
      </c>
      <c r="G951" s="5" t="inlineStr">
        <is>
          <t>Site Management</t>
        </is>
      </c>
      <c r="H951" s="5" t="inlineStr">
        <is>
          <t>General</t>
        </is>
      </c>
      <c r="I951" s="5" t="inlineStr">
        <is>
          <t>Relevant Communications</t>
        </is>
      </c>
      <c r="J951" s="5" t="inlineStr">
        <is>
          <t>Visit part 1 screening_S10-RO10016 Subject RO100160003</t>
        </is>
      </c>
      <c r="K951" s="6" t="n">
        <v>201</v>
      </c>
      <c r="L951" s="7" t="n">
        <v>45926</v>
      </c>
      <c r="M951" s="11" t="n">
        <v>46127</v>
      </c>
      <c r="N951" s="5" t="inlineStr">
        <is>
          <t>Approved</t>
        </is>
      </c>
      <c r="O951" s="5" t="inlineStr">
        <is>
          <t>Site</t>
        </is>
      </c>
      <c r="P951" s="5" t="inlineStr">
        <is>
          <t>Romania</t>
        </is>
      </c>
      <c r="Q951" s="13" t="inlineStr">
        <is>
          <t>S10-RO10016</t>
        </is>
      </c>
      <c r="R951" s="5" t="inlineStr">
        <is>
          <t>Aurora Barbera</t>
        </is>
      </c>
      <c r="S951" s="8" t="n">
        <v>46127.70125</v>
      </c>
    </row>
    <row r="952" hidden="1" ht="43.5" customHeight="1">
      <c r="A952" s="15">
        <f>HYPERLINK("https://vtmf.veevavault.com/ui/#doc_info/31461271/1/0", "VTMF-25386230")</f>
        <v/>
      </c>
      <c r="B952" s="20" t="inlineStr">
        <is>
          <t>Yes</t>
        </is>
      </c>
      <c r="C952" s="5" t="inlineStr">
        <is>
          <t>1.0</t>
        </is>
      </c>
      <c r="D952" s="5" t="inlineStr">
        <is>
          <t>GCO</t>
        </is>
      </c>
      <c r="E952" s="5" t="inlineStr">
        <is>
          <t>42847922MDD3003</t>
        </is>
      </c>
      <c r="F952" s="16">
        <f>HYPERLINK("https://vtmf.veevavault.com/ui/#doc_info/31461271/1/0", "42847922MDD3003-ARG-S10-AR10010-Relevant Communications-23 Jan 2026 (v1.0)")</f>
        <v/>
      </c>
      <c r="G952" s="5" t="inlineStr">
        <is>
          <t>Site Management</t>
        </is>
      </c>
      <c r="H952" s="5" t="inlineStr">
        <is>
          <t>General</t>
        </is>
      </c>
      <c r="I952" s="5" t="inlineStr">
        <is>
          <t>Relevant Communications</t>
        </is>
      </c>
      <c r="J952" s="5" t="inlineStr">
        <is>
          <t>MPD 11 doses missed DB Part 1, PD for Visits 6 missed. Returned V7 22 Jan 2026_S10-AR10010 Subject AR100100016</t>
        </is>
      </c>
      <c r="K952" s="6" t="n">
        <v>82</v>
      </c>
      <c r="L952" s="7" t="n">
        <v>46045</v>
      </c>
      <c r="M952" s="11" t="n">
        <v>46127</v>
      </c>
      <c r="N952" s="5" t="inlineStr">
        <is>
          <t>Approved</t>
        </is>
      </c>
      <c r="O952" s="5" t="inlineStr">
        <is>
          <t>Site</t>
        </is>
      </c>
      <c r="P952" s="5" t="inlineStr">
        <is>
          <t>Argentina</t>
        </is>
      </c>
      <c r="Q952" s="13" t="inlineStr">
        <is>
          <t>S10-AR10010</t>
        </is>
      </c>
      <c r="R952" s="5" t="inlineStr">
        <is>
          <t>Aurora Barbera</t>
        </is>
      </c>
      <c r="S952" s="8" t="n">
        <v>46127.70287037037</v>
      </c>
    </row>
    <row r="953" hidden="1" ht="29" customHeight="1">
      <c r="A953" s="15">
        <f>HYPERLINK("https://vtmf.veevavault.com/ui/#doc_info/31461279/1/0", "VTMF-25386260")</f>
        <v/>
      </c>
      <c r="B953" s="20" t="inlineStr">
        <is>
          <t>Yes</t>
        </is>
      </c>
      <c r="C953" s="5" t="inlineStr">
        <is>
          <t>1.0</t>
        </is>
      </c>
      <c r="D953" s="5" t="inlineStr">
        <is>
          <t>GCO</t>
        </is>
      </c>
      <c r="E953" s="5" t="inlineStr">
        <is>
          <t>42847922MDD3003</t>
        </is>
      </c>
      <c r="F953" s="16">
        <f>HYPERLINK("https://vtmf.veevavault.com/ui/#doc_info/31461279/1/0", "42847922MDD3003-USA-S10-US10005-Relevant Communications-28 Jan 2026 (v1.0)")</f>
        <v/>
      </c>
      <c r="G953" s="5" t="inlineStr">
        <is>
          <t>Site Management</t>
        </is>
      </c>
      <c r="H953" s="5" t="inlineStr">
        <is>
          <t>General</t>
        </is>
      </c>
      <c r="I953" s="5" t="inlineStr">
        <is>
          <t>Relevant Communications</t>
        </is>
      </c>
      <c r="J953" s="5" t="inlineStr">
        <is>
          <t>Part 2 DB On site dipstick UDS POS Methadone Central UDS Neg_S10-US10005 Subject US100050004</t>
        </is>
      </c>
      <c r="K953" s="6" t="n">
        <v>77</v>
      </c>
      <c r="L953" s="7" t="n">
        <v>46050</v>
      </c>
      <c r="M953" s="11" t="n">
        <v>46127</v>
      </c>
      <c r="N953" s="5" t="inlineStr">
        <is>
          <t>Approved</t>
        </is>
      </c>
      <c r="O953" s="5" t="inlineStr">
        <is>
          <t>Site</t>
        </is>
      </c>
      <c r="P953" s="5" t="inlineStr">
        <is>
          <t>United States</t>
        </is>
      </c>
      <c r="Q953" s="13" t="inlineStr">
        <is>
          <t>S10-US10005</t>
        </is>
      </c>
      <c r="R953" s="5" t="inlineStr">
        <is>
          <t>Aurora Barbera</t>
        </is>
      </c>
      <c r="S953" s="8" t="n">
        <v>46127.70439814815</v>
      </c>
    </row>
    <row r="954" hidden="1" ht="29" customHeight="1">
      <c r="A954" s="15">
        <f>HYPERLINK("https://vtmf.veevavault.com/ui/#doc_info/31462867/1/0", "VTMF-25387539")</f>
        <v/>
      </c>
      <c r="B954" s="20" t="inlineStr">
        <is>
          <t>Yes</t>
        </is>
      </c>
      <c r="C954" s="5" t="inlineStr">
        <is>
          <t>1.0</t>
        </is>
      </c>
      <c r="D954" s="5" t="inlineStr">
        <is>
          <t>GCO</t>
        </is>
      </c>
      <c r="E954" s="5" t="inlineStr">
        <is>
          <t>42847922MDD3003</t>
        </is>
      </c>
      <c r="F954" s="16">
        <f>HYPERLINK("https://vtmf.veevavault.com/ui/#doc_info/31462867/1/0", "42847922MDD3003-ARG-S10-AR10002-Notification to IRB/IEC of Safety Information-28 Feb 2026 (v1.0)")</f>
        <v/>
      </c>
      <c r="G954" s="5" t="inlineStr">
        <is>
          <t>IRB/IEC and other Approvals</t>
        </is>
      </c>
      <c r="H954" s="5" t="inlineStr">
        <is>
          <t>Trial Status Reporting</t>
        </is>
      </c>
      <c r="I954" s="5" t="inlineStr">
        <is>
          <t>Notification to IRB/IEC of Safety Information</t>
        </is>
      </c>
      <c r="J954" s="5" t="inlineStr">
        <is>
          <t>EC_Submission line listing 05May25 to 04Nov25</t>
        </is>
      </c>
      <c r="K954" s="6" t="n">
        <v>46</v>
      </c>
      <c r="L954" s="7" t="n">
        <v>46081</v>
      </c>
      <c r="M954" s="11" t="n">
        <v>46127</v>
      </c>
      <c r="N954" s="5" t="inlineStr">
        <is>
          <t>Approved</t>
        </is>
      </c>
      <c r="O954" s="5" t="inlineStr">
        <is>
          <t>Site</t>
        </is>
      </c>
      <c r="P954" s="5" t="inlineStr">
        <is>
          <t>Argentina</t>
        </is>
      </c>
      <c r="Q954" s="13" t="inlineStr">
        <is>
          <t>S10-AR10002</t>
        </is>
      </c>
      <c r="R954" s="5" t="inlineStr">
        <is>
          <t>Cintia Rodriguez</t>
        </is>
      </c>
      <c r="S954" s="8" t="n">
        <v>46127.85332175926</v>
      </c>
    </row>
    <row r="955" hidden="1" ht="29" customHeight="1">
      <c r="A955" s="15">
        <f>HYPERLINK("https://vtmf.veevavault.com/ui/#doc_info/31462890/1/0", "VTMF-25387573")</f>
        <v/>
      </c>
      <c r="B955" s="20" t="inlineStr">
        <is>
          <t>Yes</t>
        </is>
      </c>
      <c r="C955" s="5" t="inlineStr">
        <is>
          <t>1.0</t>
        </is>
      </c>
      <c r="D955" s="5" t="inlineStr">
        <is>
          <t>GCO</t>
        </is>
      </c>
      <c r="E955" s="5" t="inlineStr">
        <is>
          <t>42847922MDD3003</t>
        </is>
      </c>
      <c r="F955" s="16">
        <f>HYPERLINK("https://vtmf.veevavault.com/ui/#doc_info/31462890/1/0", "42847922MDD3003-USA-S10-US10058-Relevant Communications-06 Jan 2026 (v1.0)")</f>
        <v/>
      </c>
      <c r="G955" s="5" t="inlineStr">
        <is>
          <t>Site Management</t>
        </is>
      </c>
      <c r="H955" s="5" t="inlineStr">
        <is>
          <t>General</t>
        </is>
      </c>
      <c r="I955" s="5" t="inlineStr">
        <is>
          <t>Relevant Communications</t>
        </is>
      </c>
      <c r="J955" s="5" t="inlineStr">
        <is>
          <t>PI Kenia Castro_ Site US10058_Subject US100580010_IQVIA Eligibility Review_Approved</t>
        </is>
      </c>
      <c r="K955" s="6" t="n">
        <v>99</v>
      </c>
      <c r="L955" s="7" t="n">
        <v>46028</v>
      </c>
      <c r="M955" s="11" t="n">
        <v>46127</v>
      </c>
      <c r="N955" s="5" t="inlineStr">
        <is>
          <t>Approved</t>
        </is>
      </c>
      <c r="O955" s="5" t="inlineStr">
        <is>
          <t>Site</t>
        </is>
      </c>
      <c r="P955" s="5" t="inlineStr">
        <is>
          <t>United States</t>
        </is>
      </c>
      <c r="Q955" s="13" t="inlineStr">
        <is>
          <t>S10-US10058</t>
        </is>
      </c>
      <c r="R955" s="5" t="inlineStr">
        <is>
          <t>Debhora Garcia</t>
        </is>
      </c>
      <c r="S955" s="8" t="n">
        <v>46127.85868055555</v>
      </c>
    </row>
    <row r="956" hidden="1" ht="43.5" customHeight="1">
      <c r="A956" s="15">
        <f>HYPERLINK("https://vtmf.veevavault.com/ui/#doc_info/31462895/1/0", "VTMF-25387587")</f>
        <v/>
      </c>
      <c r="B956" s="20" t="inlineStr">
        <is>
          <t>Yes</t>
        </is>
      </c>
      <c r="C956" s="5" t="inlineStr">
        <is>
          <t>1.0</t>
        </is>
      </c>
      <c r="D956" s="5" t="inlineStr">
        <is>
          <t>GCO</t>
        </is>
      </c>
      <c r="E956" s="5" t="inlineStr">
        <is>
          <t>42847922MDD3003</t>
        </is>
      </c>
      <c r="F956" s="16">
        <f>HYPERLINK("https://vtmf.veevavault.com/ui/#doc_info/31462895/1/0", "42847922MDD3003-USA-S10-US10005-Relevant Communications-14 Jan 2025 (v1.0)")</f>
        <v/>
      </c>
      <c r="G956" s="5" t="inlineStr">
        <is>
          <t>Site Management</t>
        </is>
      </c>
      <c r="H956" s="5" t="inlineStr">
        <is>
          <t>General</t>
        </is>
      </c>
      <c r="I956" s="5" t="inlineStr">
        <is>
          <t>Relevant Communications</t>
        </is>
      </c>
      <c r="J956" s="5" t="inlineStr">
        <is>
          <t>PI: Dr. Jayesh Kamath M.D.: US10005_Subject ID:US100050002_Visit: Part 1 DB Baseline/ _Alert: URINE MACRO PANEL</t>
        </is>
      </c>
      <c r="K956" s="6" t="n">
        <v>456</v>
      </c>
      <c r="L956" s="7" t="n">
        <v>45671</v>
      </c>
      <c r="M956" s="11" t="n">
        <v>46127</v>
      </c>
      <c r="N956" s="5" t="inlineStr">
        <is>
          <t>Approved</t>
        </is>
      </c>
      <c r="O956" s="5" t="inlineStr">
        <is>
          <t>Site</t>
        </is>
      </c>
      <c r="P956" s="5" t="inlineStr">
        <is>
          <t>United States</t>
        </is>
      </c>
      <c r="Q956" s="13" t="inlineStr">
        <is>
          <t>S10-US10005</t>
        </is>
      </c>
      <c r="R956" s="5" t="inlineStr">
        <is>
          <t>Debhora Garcia</t>
        </is>
      </c>
      <c r="S956" s="8" t="n">
        <v>46127.86131944445</v>
      </c>
    </row>
    <row r="957" hidden="1" ht="29" customHeight="1">
      <c r="A957" s="15">
        <f>HYPERLINK("https://vtmf.veevavault.com/ui/#doc_info/30858607/1/0", "VTMF-25387785")</f>
        <v/>
      </c>
      <c r="B957" s="20" t="inlineStr">
        <is>
          <t>Yes</t>
        </is>
      </c>
      <c r="C957" s="5" t="inlineStr">
        <is>
          <t>1.0</t>
        </is>
      </c>
      <c r="D957" s="5" t="inlineStr">
        <is>
          <t>GCO</t>
        </is>
      </c>
      <c r="E957" s="5" t="inlineStr">
        <is>
          <t>42847922MDD3003</t>
        </is>
      </c>
      <c r="F957" s="16">
        <f>HYPERLINK("https://vtmf.veevavault.com/ui/#doc_info/30858607/1/0", "42847922MDD3003-ARG-S10-AR10002-Notification to IRB/IEC of Safety Information-11 Nov 2025 (v1.0)")</f>
        <v/>
      </c>
      <c r="G957" s="5" t="inlineStr">
        <is>
          <t>IRB/IEC and other Approvals</t>
        </is>
      </c>
      <c r="H957" s="5" t="inlineStr">
        <is>
          <t>Trial Status Reporting</t>
        </is>
      </c>
      <c r="I957" s="5" t="inlineStr">
        <is>
          <t>Notification to IRB/IEC of Safety Information</t>
        </is>
      </c>
      <c r="J957" s="5" t="inlineStr">
        <is>
          <t>LL 05 NOV 2024 to 04 MAY 2025</t>
        </is>
      </c>
      <c r="K957" s="6" t="n">
        <v>155</v>
      </c>
      <c r="L957" s="7" t="n">
        <v>45972</v>
      </c>
      <c r="M957" s="11" t="n">
        <v>46127</v>
      </c>
      <c r="N957" s="5" t="inlineStr">
        <is>
          <t>Approved</t>
        </is>
      </c>
      <c r="O957" s="5" t="inlineStr">
        <is>
          <t>Site</t>
        </is>
      </c>
      <c r="P957" s="5" t="inlineStr">
        <is>
          <t>Argentina</t>
        </is>
      </c>
      <c r="Q957" s="13" t="inlineStr">
        <is>
          <t>S10-AR10002</t>
        </is>
      </c>
      <c r="R957" s="5" t="inlineStr">
        <is>
          <t>LEANDRO LOPEZ</t>
        </is>
      </c>
      <c r="S957" s="8" t="n">
        <v>46049.72438657407</v>
      </c>
    </row>
    <row r="958" hidden="1" ht="29" customHeight="1">
      <c r="A958" s="15">
        <f>HYPERLINK("https://vtmf.veevavault.com/ui/#doc_info/31463204/1/0", "VTMF-25387810")</f>
        <v/>
      </c>
      <c r="B958" s="20" t="inlineStr">
        <is>
          <t>Yes</t>
        </is>
      </c>
      <c r="C958" s="5" t="inlineStr">
        <is>
          <t>1.0</t>
        </is>
      </c>
      <c r="D958" s="5" t="inlineStr">
        <is>
          <t>GCO</t>
        </is>
      </c>
      <c r="E958" s="5" t="inlineStr">
        <is>
          <t>42847922MDD3003</t>
        </is>
      </c>
      <c r="F958" s="16">
        <f>HYPERLINK("https://vtmf.veevavault.com/ui/#doc_info/31463204/1/0", "42847922MDD3003-BRA-S10-BR10002-Relevant Communications-27 Jan 2025 (v1.0)")</f>
        <v/>
      </c>
      <c r="G958" s="5" t="inlineStr">
        <is>
          <t>Site Management</t>
        </is>
      </c>
      <c r="H958" s="5" t="inlineStr">
        <is>
          <t>General</t>
        </is>
      </c>
      <c r="I958" s="5" t="inlineStr">
        <is>
          <t>Relevant Communications</t>
        </is>
      </c>
      <c r="J958" s="5" t="inlineStr">
        <is>
          <t>PI Dr Sandra Ruschel _ Site S10BR10002-_Subject BR100020008_IQVIA Eligibility Review_Approved</t>
        </is>
      </c>
      <c r="K958" s="6" t="n">
        <v>443</v>
      </c>
      <c r="L958" s="7" t="n">
        <v>45684</v>
      </c>
      <c r="M958" s="11" t="n">
        <v>46127</v>
      </c>
      <c r="N958" s="5" t="inlineStr">
        <is>
          <t>Approved</t>
        </is>
      </c>
      <c r="O958" s="5" t="inlineStr">
        <is>
          <t>Site</t>
        </is>
      </c>
      <c r="P958" s="5" t="inlineStr">
        <is>
          <t>Brazil</t>
        </is>
      </c>
      <c r="Q958" s="13" t="inlineStr">
        <is>
          <t>S10-BR10002</t>
        </is>
      </c>
      <c r="R958" s="5" t="inlineStr">
        <is>
          <t>Debhora Garcia</t>
        </is>
      </c>
      <c r="S958" s="8" t="n">
        <v>46127.89549768518</v>
      </c>
    </row>
    <row r="959" hidden="1" ht="43.5" customHeight="1">
      <c r="A959" s="15">
        <f>HYPERLINK("https://vtmf.veevavault.com/ui/#doc_info/31463220/1/0", "VTMF-25387840")</f>
        <v/>
      </c>
      <c r="B959" s="20" t="inlineStr">
        <is>
          <t>Yes</t>
        </is>
      </c>
      <c r="C959" s="5" t="inlineStr">
        <is>
          <t>1.0</t>
        </is>
      </c>
      <c r="D959" s="5" t="inlineStr">
        <is>
          <t>GCO</t>
        </is>
      </c>
      <c r="E959" s="5" t="inlineStr">
        <is>
          <t>42847922MDD3003</t>
        </is>
      </c>
      <c r="F959" s="16">
        <f>HYPERLINK("https://vtmf.veevavault.com/ui/#doc_info/31463220/1/0", "42847922MDD3003-USA-S10-US10187-Relevant Communications-29 Jan 2025 (v1.0)")</f>
        <v/>
      </c>
      <c r="G959" s="5" t="inlineStr">
        <is>
          <t>Site Management</t>
        </is>
      </c>
      <c r="H959" s="5" t="inlineStr">
        <is>
          <t>General</t>
        </is>
      </c>
      <c r="I959" s="5" t="inlineStr">
        <is>
          <t>Relevant Communications</t>
        </is>
      </c>
      <c r="J959" s="5" t="inlineStr">
        <is>
          <t>PI Dr. David Purselle M.D.._Site S10-US10187 (US)_Subject ID: US101870002_Visit: Retest_Alert: Hemoglobin</t>
        </is>
      </c>
      <c r="K959" s="6" t="n">
        <v>441</v>
      </c>
      <c r="L959" s="7" t="n">
        <v>45686</v>
      </c>
      <c r="M959" s="11" t="n">
        <v>46127</v>
      </c>
      <c r="N959" s="5" t="inlineStr">
        <is>
          <t>Approved</t>
        </is>
      </c>
      <c r="O959" s="5" t="inlineStr">
        <is>
          <t>Site</t>
        </is>
      </c>
      <c r="P959" s="5" t="inlineStr">
        <is>
          <t>United States</t>
        </is>
      </c>
      <c r="Q959" s="13" t="inlineStr">
        <is>
          <t>S10-US10187</t>
        </is>
      </c>
      <c r="R959" s="5" t="inlineStr">
        <is>
          <t>Debhora Garcia</t>
        </is>
      </c>
      <c r="S959" s="8" t="n">
        <v>46127.89918981482</v>
      </c>
    </row>
    <row r="960" hidden="1" ht="29" customHeight="1">
      <c r="A960" s="15">
        <f>HYPERLINK("https://vtmf.veevavault.com/ui/#doc_info/31463227/1/0", "VTMF-25387856")</f>
        <v/>
      </c>
      <c r="B960" s="20" t="inlineStr">
        <is>
          <t>Yes</t>
        </is>
      </c>
      <c r="C960" s="5" t="inlineStr">
        <is>
          <t>1.0</t>
        </is>
      </c>
      <c r="D960" s="5" t="inlineStr">
        <is>
          <t>GCO</t>
        </is>
      </c>
      <c r="E960" s="5" t="inlineStr">
        <is>
          <t>42847922MDD3003</t>
        </is>
      </c>
      <c r="F960" s="16">
        <f>HYPERLINK("https://vtmf.veevavault.com/ui/#doc_info/31463227/1/0", "42847922MDD3003-BRA-S10-BR10002-Relevant Communications-30 Jan 2025 (v1.0)")</f>
        <v/>
      </c>
      <c r="G960" s="5" t="inlineStr">
        <is>
          <t>Site Management</t>
        </is>
      </c>
      <c r="H960" s="5" t="inlineStr">
        <is>
          <t>General</t>
        </is>
      </c>
      <c r="I960" s="5" t="inlineStr">
        <is>
          <t>Relevant Communications</t>
        </is>
      </c>
      <c r="J960" s="5" t="inlineStr">
        <is>
          <t>PI Dr Sandra Ruschel _ Site S10BR10002-_Subject BR100020009_IQVIA Eligibility Review_Approved</t>
        </is>
      </c>
      <c r="K960" s="6" t="n">
        <v>440</v>
      </c>
      <c r="L960" s="7" t="n">
        <v>45687</v>
      </c>
      <c r="M960" s="11" t="n">
        <v>46127</v>
      </c>
      <c r="N960" s="5" t="inlineStr">
        <is>
          <t>Approved</t>
        </is>
      </c>
      <c r="O960" s="5" t="inlineStr">
        <is>
          <t>Site</t>
        </is>
      </c>
      <c r="P960" s="5" t="inlineStr">
        <is>
          <t>Brazil</t>
        </is>
      </c>
      <c r="Q960" s="13" t="inlineStr">
        <is>
          <t>S10-BR10002</t>
        </is>
      </c>
      <c r="R960" s="5" t="inlineStr">
        <is>
          <t>Debhora Garcia</t>
        </is>
      </c>
      <c r="S960" s="8" t="n">
        <v>46127.90118055556</v>
      </c>
    </row>
    <row r="961" hidden="1" ht="29" customHeight="1">
      <c r="A961" s="15">
        <f>HYPERLINK("https://vtmf.veevavault.com/ui/#doc_info/31463232/1/0", "VTMF-25387866")</f>
        <v/>
      </c>
      <c r="B961" s="20" t="inlineStr">
        <is>
          <t>Yes</t>
        </is>
      </c>
      <c r="C961" s="5" t="inlineStr">
        <is>
          <t>1.0</t>
        </is>
      </c>
      <c r="D961" s="5" t="inlineStr">
        <is>
          <t>GCO</t>
        </is>
      </c>
      <c r="E961" s="5" t="inlineStr">
        <is>
          <t>42847922MDD3003</t>
        </is>
      </c>
      <c r="F961" s="16">
        <f>HYPERLINK("https://vtmf.veevavault.com/ui/#doc_info/31463232/1/0", "42847922MDD3003-USA-S10-US10120-Relevant Communications-05 Feb 2025 (v1.0)")</f>
        <v/>
      </c>
      <c r="G961" s="5" t="inlineStr">
        <is>
          <t>Site Management</t>
        </is>
      </c>
      <c r="H961" s="5" t="inlineStr">
        <is>
          <t>General</t>
        </is>
      </c>
      <c r="I961" s="5" t="inlineStr">
        <is>
          <t>Relevant Communications</t>
        </is>
      </c>
      <c r="J961" s="5" t="inlineStr">
        <is>
          <t>PI Dr James Knutson_ Site S10-US10120 _Subject US101200010 _IQVIA Eligibility Review_Approved</t>
        </is>
      </c>
      <c r="K961" s="6" t="n">
        <v>434</v>
      </c>
      <c r="L961" s="7" t="n">
        <v>45693</v>
      </c>
      <c r="M961" s="11" t="n">
        <v>46127</v>
      </c>
      <c r="N961" s="5" t="inlineStr">
        <is>
          <t>Approved</t>
        </is>
      </c>
      <c r="O961" s="5" t="inlineStr">
        <is>
          <t>Site</t>
        </is>
      </c>
      <c r="P961" s="5" t="inlineStr">
        <is>
          <t>United States</t>
        </is>
      </c>
      <c r="Q961" s="13" t="inlineStr">
        <is>
          <t>S10-US10120</t>
        </is>
      </c>
      <c r="R961" s="5" t="inlineStr">
        <is>
          <t>Debhora Garcia</t>
        </is>
      </c>
      <c r="S961" s="8" t="n">
        <v>46127.90255787037</v>
      </c>
    </row>
    <row r="962" hidden="1" ht="29" customHeight="1">
      <c r="A962" s="15">
        <f>HYPERLINK("https://vtmf.veevavault.com/ui/#doc_info/31463239/1/0", "VTMF-25387879")</f>
        <v/>
      </c>
      <c r="B962" s="20" t="inlineStr">
        <is>
          <t>Yes</t>
        </is>
      </c>
      <c r="C962" s="5" t="inlineStr">
        <is>
          <t>1.0</t>
        </is>
      </c>
      <c r="D962" s="5" t="inlineStr">
        <is>
          <t>GCO</t>
        </is>
      </c>
      <c r="E962" s="5" t="inlineStr">
        <is>
          <t>42847922MDD3003</t>
        </is>
      </c>
      <c r="F962" s="16">
        <f>HYPERLINK("https://vtmf.veevavault.com/ui/#doc_info/31463239/1/0", "42847922MDD3003-USA-S10-US10207-Relevant Communications-07 Feb 2025 (v1.0)")</f>
        <v/>
      </c>
      <c r="G962" s="5" t="inlineStr">
        <is>
          <t>Site Management</t>
        </is>
      </c>
      <c r="H962" s="5" t="inlineStr">
        <is>
          <t>General</t>
        </is>
      </c>
      <c r="I962" s="5" t="inlineStr">
        <is>
          <t>Relevant Communications</t>
        </is>
      </c>
      <c r="J962" s="5" t="inlineStr">
        <is>
          <t>Site_ US10207 Balough Pre-Screening case with RLS (current_) and Fibromyalgia Dx</t>
        </is>
      </c>
      <c r="K962" s="6" t="n">
        <v>432</v>
      </c>
      <c r="L962" s="7" t="n">
        <v>45695</v>
      </c>
      <c r="M962" s="11" t="n">
        <v>46127</v>
      </c>
      <c r="N962" s="5" t="inlineStr">
        <is>
          <t>Approved</t>
        </is>
      </c>
      <c r="O962" s="5" t="inlineStr">
        <is>
          <t>Site</t>
        </is>
      </c>
      <c r="P962" s="5" t="inlineStr">
        <is>
          <t>United States</t>
        </is>
      </c>
      <c r="Q962" s="13" t="inlineStr">
        <is>
          <t>S10-US10207</t>
        </is>
      </c>
      <c r="R962" s="5" t="inlineStr">
        <is>
          <t>Debhora Garcia</t>
        </is>
      </c>
      <c r="S962" s="8" t="n">
        <v>46127.90420138889</v>
      </c>
    </row>
    <row r="963" hidden="1" ht="29" customHeight="1">
      <c r="A963" s="15">
        <f>HYPERLINK("https://vtmf.veevavault.com/ui/#doc_info/31463243/1/0", "VTMF-25387885")</f>
        <v/>
      </c>
      <c r="B963" s="20" t="inlineStr">
        <is>
          <t>Yes</t>
        </is>
      </c>
      <c r="C963" s="5" t="inlineStr">
        <is>
          <t>1.0</t>
        </is>
      </c>
      <c r="D963" s="5" t="inlineStr">
        <is>
          <t>GCO</t>
        </is>
      </c>
      <c r="E963" s="5" t="inlineStr">
        <is>
          <t>42847922MDD3003</t>
        </is>
      </c>
      <c r="F963" s="16">
        <f>HYPERLINK("https://vtmf.veevavault.com/ui/#doc_info/31463243/1/0", "42847922MDD3003-USA-S10-US10120-Relevant Communications-18 Feb 2025 (v1.0)")</f>
        <v/>
      </c>
      <c r="G963" s="5" t="inlineStr">
        <is>
          <t>Site Management</t>
        </is>
      </c>
      <c r="H963" s="5" t="inlineStr">
        <is>
          <t>General</t>
        </is>
      </c>
      <c r="I963" s="5" t="inlineStr">
        <is>
          <t>Relevant Communications</t>
        </is>
      </c>
      <c r="J963" s="5" t="inlineStr">
        <is>
          <t>Knutson_ Site_US10120_Subject_US101200011_IQVIA Eligibility Review_Approved</t>
        </is>
      </c>
      <c r="K963" s="6" t="n">
        <v>421</v>
      </c>
      <c r="L963" s="7" t="n">
        <v>45706</v>
      </c>
      <c r="M963" s="11" t="n">
        <v>46127</v>
      </c>
      <c r="N963" s="5" t="inlineStr">
        <is>
          <t>Approved</t>
        </is>
      </c>
      <c r="O963" s="5" t="inlineStr">
        <is>
          <t>Site</t>
        </is>
      </c>
      <c r="P963" s="5" t="inlineStr">
        <is>
          <t>United States</t>
        </is>
      </c>
      <c r="Q963" s="13" t="inlineStr">
        <is>
          <t>S10-US10120</t>
        </is>
      </c>
      <c r="R963" s="5" t="inlineStr">
        <is>
          <t>Debhora Garcia</t>
        </is>
      </c>
      <c r="S963" s="8" t="n">
        <v>46127.90585648148</v>
      </c>
    </row>
    <row r="964" hidden="1" ht="29" customHeight="1">
      <c r="A964" s="15">
        <f>HYPERLINK("https://vtmf.veevavault.com/ui/#doc_info/31463247/1/0", "VTMF-25387892")</f>
        <v/>
      </c>
      <c r="B964" s="20" t="inlineStr">
        <is>
          <t>Yes</t>
        </is>
      </c>
      <c r="C964" s="5" t="inlineStr">
        <is>
          <t>1.0</t>
        </is>
      </c>
      <c r="D964" s="5" t="inlineStr">
        <is>
          <t>GCO</t>
        </is>
      </c>
      <c r="E964" s="5" t="inlineStr">
        <is>
          <t>42847922MDD3003</t>
        </is>
      </c>
      <c r="F964" s="16">
        <f>HYPERLINK("https://vtmf.veevavault.com/ui/#doc_info/31463247/1/0", "42847922MDD3003-USA-S10-US10036-Relevant Communications-31 Mar 2025 (v1.0)")</f>
        <v/>
      </c>
      <c r="G964" s="5" t="inlineStr">
        <is>
          <t>Site Management</t>
        </is>
      </c>
      <c r="H964" s="5" t="inlineStr">
        <is>
          <t>General</t>
        </is>
      </c>
      <c r="I964" s="5" t="inlineStr">
        <is>
          <t>Relevant Communications</t>
        </is>
      </c>
      <c r="J964" s="5" t="inlineStr">
        <is>
          <t>US10036 PI Bravo _ US100360007 re-screening request_approved</t>
        </is>
      </c>
      <c r="K964" s="6" t="n">
        <v>380</v>
      </c>
      <c r="L964" s="7" t="n">
        <v>45747</v>
      </c>
      <c r="M964" s="11" t="n">
        <v>46127</v>
      </c>
      <c r="N964" s="5" t="inlineStr">
        <is>
          <t>Approved</t>
        </is>
      </c>
      <c r="O964" s="5" t="inlineStr">
        <is>
          <t>Site</t>
        </is>
      </c>
      <c r="P964" s="5" t="inlineStr">
        <is>
          <t>United States</t>
        </is>
      </c>
      <c r="Q964" s="13" t="inlineStr">
        <is>
          <t>S10-US10036</t>
        </is>
      </c>
      <c r="R964" s="5" t="inlineStr">
        <is>
          <t>Debhora Garcia</t>
        </is>
      </c>
      <c r="S964" s="8" t="n">
        <v>46127.90711805555</v>
      </c>
    </row>
    <row r="965" hidden="1" ht="43.5" customHeight="1">
      <c r="A965" s="15">
        <f>HYPERLINK("https://vtmf.veevavault.com/ui/#doc_info/31463251/1/0", "VTMF-25387899")</f>
        <v/>
      </c>
      <c r="B965" s="20" t="inlineStr">
        <is>
          <t>Yes</t>
        </is>
      </c>
      <c r="C965" s="5" t="inlineStr">
        <is>
          <t>1.0</t>
        </is>
      </c>
      <c r="D965" s="5" t="inlineStr">
        <is>
          <t>GCO</t>
        </is>
      </c>
      <c r="E965" s="5" t="inlineStr">
        <is>
          <t>42847922MDD3003</t>
        </is>
      </c>
      <c r="F965" s="16">
        <f>HYPERLINK("https://vtmf.veevavault.com/ui/#doc_info/31463251/1/0", "42847922MDD3003-POL-S10-PL10007-Relevant Communications-22 Apr 2025 (v1.0)")</f>
        <v/>
      </c>
      <c r="G965" s="5" t="inlineStr">
        <is>
          <t>Site Management</t>
        </is>
      </c>
      <c r="H965" s="5" t="inlineStr">
        <is>
          <t>General</t>
        </is>
      </c>
      <c r="I965" s="5" t="inlineStr">
        <is>
          <t>Relevant Communications</t>
        </is>
      </c>
      <c r="J965" s="5" t="inlineStr">
        <is>
          <t>S10-PL10007 _ PI_ Perucki_ Mariusz _ Subject_PL100070001_IQVIA Eligibility Review_Approved</t>
        </is>
      </c>
      <c r="K965" s="6" t="n">
        <v>358</v>
      </c>
      <c r="L965" s="7" t="n">
        <v>45769</v>
      </c>
      <c r="M965" s="11" t="n">
        <v>46127</v>
      </c>
      <c r="N965" s="5" t="inlineStr">
        <is>
          <t>Approved</t>
        </is>
      </c>
      <c r="O965" s="5" t="inlineStr">
        <is>
          <t>Site</t>
        </is>
      </c>
      <c r="P965" s="5" t="inlineStr">
        <is>
          <t>Poland</t>
        </is>
      </c>
      <c r="Q965" s="13" t="inlineStr">
        <is>
          <t>S10-PL10007</t>
        </is>
      </c>
      <c r="R965" s="5" t="inlineStr">
        <is>
          <t>Debhora Garcia</t>
        </is>
      </c>
      <c r="S965" s="8" t="n">
        <v>46127.90848379629</v>
      </c>
    </row>
    <row r="966" hidden="1" ht="29" customHeight="1">
      <c r="A966" s="15">
        <f>HYPERLINK("https://vtmf.veevavault.com/ui/#doc_info/31463985/1/0", "VTMF-25388546")</f>
        <v/>
      </c>
      <c r="B966" s="20" t="inlineStr">
        <is>
          <t>Yes</t>
        </is>
      </c>
      <c r="C966" s="5" t="inlineStr">
        <is>
          <t>1.0</t>
        </is>
      </c>
      <c r="D966" s="5" t="inlineStr">
        <is>
          <t>GCO</t>
        </is>
      </c>
      <c r="E966" s="5" t="inlineStr">
        <is>
          <t>42847922MDD3003</t>
        </is>
      </c>
      <c r="F966" s="16">
        <f>HYPERLINK("https://vtmf.veevavault.com/ui/#doc_info/31463985/1/0", "42847922MDD3003-MEX-S10-MX10004-IRT User Account Management-05 Mar 2025 (v1.0)")</f>
        <v/>
      </c>
      <c r="G966" s="5" t="inlineStr">
        <is>
          <t>IP and Trial Supplies</t>
        </is>
      </c>
      <c r="H966" s="5" t="inlineStr">
        <is>
          <t>Interactive Response Technology</t>
        </is>
      </c>
      <c r="I966" s="5" t="inlineStr">
        <is>
          <t>IRT User Account Management</t>
        </is>
      </c>
      <c r="J966" s="5" t="inlineStr">
        <is>
          <t>Confirmation email from IVRS/IWRS_ Site activation S10-MX10004</t>
        </is>
      </c>
      <c r="K966" s="6" t="n">
        <v>406</v>
      </c>
      <c r="L966" s="7" t="n">
        <v>45721</v>
      </c>
      <c r="M966" s="11" t="n">
        <v>46127</v>
      </c>
      <c r="N966" s="5" t="inlineStr">
        <is>
          <t>Approved</t>
        </is>
      </c>
      <c r="O966" s="5" t="inlineStr">
        <is>
          <t>Site</t>
        </is>
      </c>
      <c r="P966" s="5" t="inlineStr">
        <is>
          <t>Mexico</t>
        </is>
      </c>
      <c r="Q966" s="13" t="inlineStr">
        <is>
          <t>S10-MX10004</t>
        </is>
      </c>
      <c r="R966" s="5" t="inlineStr">
        <is>
          <t>Karla Melisa Rodríguez Bautista</t>
        </is>
      </c>
      <c r="S966" s="8" t="n">
        <v>46128.02155092593</v>
      </c>
    </row>
    <row r="967" hidden="1" ht="29" customHeight="1">
      <c r="A967" s="15">
        <f>HYPERLINK("https://vtmf.veevavault.com/ui/#doc_info/31464035/1/0", "VTMF-25388554")</f>
        <v/>
      </c>
      <c r="B967" s="20" t="inlineStr">
        <is>
          <t>Yes</t>
        </is>
      </c>
      <c r="C967" s="5" t="inlineStr">
        <is>
          <t>1.0</t>
        </is>
      </c>
      <c r="D967" s="5" t="inlineStr">
        <is>
          <t>GCO</t>
        </is>
      </c>
      <c r="E967" s="5" t="inlineStr">
        <is>
          <t>42847922MDD3003</t>
        </is>
      </c>
      <c r="F967" s="16">
        <f>HYPERLINK("https://vtmf.veevavault.com/ui/#doc_info/31464035/1/0", "42847922MDD3003-MEX-S10-MX10005-IRT User Account Management-05 Mar 2025 (v1.0)")</f>
        <v/>
      </c>
      <c r="G967" s="5" t="inlineStr">
        <is>
          <t>IP and Trial Supplies</t>
        </is>
      </c>
      <c r="H967" s="5" t="inlineStr">
        <is>
          <t>Interactive Response Technology</t>
        </is>
      </c>
      <c r="I967" s="5" t="inlineStr">
        <is>
          <t>IRT User Account Management</t>
        </is>
      </c>
      <c r="J967" s="5" t="inlineStr">
        <is>
          <t>Confirmation email from IVRS/IWRS_ Site activation S10-MX10005</t>
        </is>
      </c>
      <c r="K967" s="6" t="n">
        <v>406</v>
      </c>
      <c r="L967" s="7" t="n">
        <v>45721</v>
      </c>
      <c r="M967" s="11" t="n">
        <v>46127</v>
      </c>
      <c r="N967" s="5" t="inlineStr">
        <is>
          <t>Approved</t>
        </is>
      </c>
      <c r="O967" s="5" t="inlineStr">
        <is>
          <t>Site</t>
        </is>
      </c>
      <c r="P967" s="5" t="inlineStr">
        <is>
          <t>Mexico</t>
        </is>
      </c>
      <c r="Q967" s="13" t="inlineStr">
        <is>
          <t>S10-MX10005</t>
        </is>
      </c>
      <c r="R967" s="5" t="inlineStr">
        <is>
          <t>Karla Melisa Rodríguez Bautista</t>
        </is>
      </c>
      <c r="S967" s="8" t="n">
        <v>46128.02421296296</v>
      </c>
    </row>
    <row r="968" hidden="1" ht="29" customHeight="1">
      <c r="A968" s="15">
        <f>HYPERLINK("https://vtmf.veevavault.com/ui/#doc_info/31464230/1/0", "VTMF-25388674")</f>
        <v/>
      </c>
      <c r="B968" s="20" t="inlineStr">
        <is>
          <t>Yes</t>
        </is>
      </c>
      <c r="C968" s="5" t="inlineStr">
        <is>
          <t>1.0</t>
        </is>
      </c>
      <c r="D968" s="5" t="inlineStr">
        <is>
          <t>GCO</t>
        </is>
      </c>
      <c r="E968" s="5" t="inlineStr">
        <is>
          <t>42847922MDD3003</t>
        </is>
      </c>
      <c r="F968" s="16">
        <f>HYPERLINK("https://vtmf.veevavault.com/ui/#doc_info/31464230/1/0", "42847922MDD3003-ESP-S10-ES10003-Relevant Communications-22 Apr 2025 (v1.0)")</f>
        <v/>
      </c>
      <c r="G968" s="5" t="inlineStr">
        <is>
          <t>Site Management</t>
        </is>
      </c>
      <c r="H968" s="5" t="inlineStr">
        <is>
          <t>General</t>
        </is>
      </c>
      <c r="I968" s="5" t="inlineStr">
        <is>
          <t>Relevant Communications</t>
        </is>
      </c>
      <c r="J968" s="5" t="inlineStr">
        <is>
          <t>S10-ES10003 _ PI Elena Ros Cucurull _ Subject ES100030002_IQVIA Eligibility Review_Approved</t>
        </is>
      </c>
      <c r="K968" s="6" t="n">
        <v>358</v>
      </c>
      <c r="L968" s="7" t="n">
        <v>45769</v>
      </c>
      <c r="M968" s="11" t="n">
        <v>46127</v>
      </c>
      <c r="N968" s="5" t="inlineStr">
        <is>
          <t>Approved</t>
        </is>
      </c>
      <c r="O968" s="5" t="inlineStr">
        <is>
          <t>Site</t>
        </is>
      </c>
      <c r="P968" s="5" t="inlineStr">
        <is>
          <t>Spain</t>
        </is>
      </c>
      <c r="Q968" s="13" t="inlineStr">
        <is>
          <t>S10-ES10003</t>
        </is>
      </c>
      <c r="R968" s="5" t="inlineStr">
        <is>
          <t>Debhora Garcia</t>
        </is>
      </c>
      <c r="S968" s="8" t="n">
        <v>46128.06471064815</v>
      </c>
    </row>
    <row r="969" hidden="1" ht="43.5" customHeight="1">
      <c r="A969" s="15">
        <f>HYPERLINK("https://vtmf.veevavault.com/ui/#doc_info/31464234/1/0", "VTMF-25388679")</f>
        <v/>
      </c>
      <c r="B969" s="20" t="inlineStr">
        <is>
          <t>Yes</t>
        </is>
      </c>
      <c r="C969" s="5" t="inlineStr">
        <is>
          <t>1.0</t>
        </is>
      </c>
      <c r="D969" s="5" t="inlineStr">
        <is>
          <t>GCO</t>
        </is>
      </c>
      <c r="E969" s="5" t="inlineStr">
        <is>
          <t>42847922MDD3003</t>
        </is>
      </c>
      <c r="F969" s="16">
        <f>HYPERLINK("https://vtmf.veevavault.com/ui/#doc_info/31464234/1/0", "42847922MDD3003-BRA-S10-BR10002-Relevant Communications-16 May 2025 (v1.0)")</f>
        <v/>
      </c>
      <c r="G969" s="5" t="inlineStr">
        <is>
          <t>Site Management</t>
        </is>
      </c>
      <c r="H969" s="5" t="inlineStr">
        <is>
          <t>General</t>
        </is>
      </c>
      <c r="I969" s="5" t="inlineStr">
        <is>
          <t>Relevant Communications</t>
        </is>
      </c>
      <c r="J969" s="5" t="inlineStr">
        <is>
          <t>PI Dr. Sandra Ruschel M.D.._Site BR10002 (Brazil)_Subject ID: BR100020003_Visit: Part 2 DB Baseline</t>
        </is>
      </c>
      <c r="K969" s="6" t="n">
        <v>334</v>
      </c>
      <c r="L969" s="7" t="n">
        <v>45793</v>
      </c>
      <c r="M969" s="11" t="n">
        <v>46127</v>
      </c>
      <c r="N969" s="5" t="inlineStr">
        <is>
          <t>Approved</t>
        </is>
      </c>
      <c r="O969" s="5" t="inlineStr">
        <is>
          <t>Site</t>
        </is>
      </c>
      <c r="P969" s="5" t="inlineStr">
        <is>
          <t>Brazil</t>
        </is>
      </c>
      <c r="Q969" s="13" t="inlineStr">
        <is>
          <t>S10-BR10002</t>
        </is>
      </c>
      <c r="R969" s="5" t="inlineStr">
        <is>
          <t>Debhora Garcia</t>
        </is>
      </c>
      <c r="S969" s="8" t="n">
        <v>46128.06689814815</v>
      </c>
    </row>
    <row r="970" hidden="1" ht="29" customHeight="1">
      <c r="A970" s="15">
        <f>HYPERLINK("https://vtmf.veevavault.com/ui/#doc_info/31464237/1/0", "VTMF-25388689")</f>
        <v/>
      </c>
      <c r="B970" s="20" t="inlineStr">
        <is>
          <t>Yes</t>
        </is>
      </c>
      <c r="C970" s="5" t="inlineStr">
        <is>
          <t>1.0</t>
        </is>
      </c>
      <c r="D970" s="5" t="inlineStr">
        <is>
          <t>GCO</t>
        </is>
      </c>
      <c r="E970" s="5" t="inlineStr">
        <is>
          <t>42847922MDD3003</t>
        </is>
      </c>
      <c r="F970" s="16">
        <f>HYPERLINK("https://vtmf.veevavault.com/ui/#doc_info/31464237/1/0", "42847922MDD3003-USA-S10-US10086-Relevant Communications-02 Jun 2025 (v1.0)")</f>
        <v/>
      </c>
      <c r="G970" s="5" t="inlineStr">
        <is>
          <t>Site Management</t>
        </is>
      </c>
      <c r="H970" s="5" t="inlineStr">
        <is>
          <t>General</t>
        </is>
      </c>
      <c r="I970" s="5" t="inlineStr">
        <is>
          <t>Relevant Communications</t>
        </is>
      </c>
      <c r="J970" s="5" t="inlineStr">
        <is>
          <t>MDD3003, US10086, Dr. Warnell</t>
        </is>
      </c>
      <c r="K970" s="6" t="n">
        <v>317</v>
      </c>
      <c r="L970" s="7" t="n">
        <v>45810</v>
      </c>
      <c r="M970" s="11" t="n">
        <v>46127</v>
      </c>
      <c r="N970" s="5" t="inlineStr">
        <is>
          <t>Approved</t>
        </is>
      </c>
      <c r="O970" s="5" t="inlineStr">
        <is>
          <t>Site</t>
        </is>
      </c>
      <c r="P970" s="5" t="inlineStr">
        <is>
          <t>United States</t>
        </is>
      </c>
      <c r="Q970" s="13" t="inlineStr">
        <is>
          <t>S10-US10086</t>
        </is>
      </c>
      <c r="R970" s="5" t="inlineStr">
        <is>
          <t>Debhora Garcia</t>
        </is>
      </c>
      <c r="S970" s="8" t="n">
        <v>46128.06884259259</v>
      </c>
    </row>
    <row r="971" hidden="1" ht="29" customHeight="1">
      <c r="A971" s="15">
        <f>HYPERLINK("https://vtmf.veevavault.com/ui/#doc_info/31464164/1/0", "VTMF-25388691")</f>
        <v/>
      </c>
      <c r="B971" s="20" t="inlineStr">
        <is>
          <t>Yes</t>
        </is>
      </c>
      <c r="C971" s="5" t="inlineStr">
        <is>
          <t>1.0</t>
        </is>
      </c>
      <c r="D971" s="5" t="inlineStr">
        <is>
          <t>GCO</t>
        </is>
      </c>
      <c r="E971" s="5" t="inlineStr">
        <is>
          <t>42847922MDD3003</t>
        </is>
      </c>
      <c r="F971" s="16">
        <f>HYPERLINK("https://vtmf.veevavault.com/ui/#doc_info/31464164/1/0", "42847922MDD3003-USA-S10-US10007-Relevant Communications-06 Jun 2025 (v1.0)")</f>
        <v/>
      </c>
      <c r="G971" s="5" t="inlineStr">
        <is>
          <t>Site Management</t>
        </is>
      </c>
      <c r="H971" s="5" t="inlineStr">
        <is>
          <t>General</t>
        </is>
      </c>
      <c r="I971" s="5" t="inlineStr">
        <is>
          <t>Relevant Communications</t>
        </is>
      </c>
      <c r="J971" s="5" t="inlineStr">
        <is>
          <t>MDD3003_ US10007 site visit</t>
        </is>
      </c>
      <c r="K971" s="6" t="n">
        <v>313</v>
      </c>
      <c r="L971" s="7" t="n">
        <v>45814</v>
      </c>
      <c r="M971" s="11" t="n">
        <v>46127</v>
      </c>
      <c r="N971" s="5" t="inlineStr">
        <is>
          <t>Approved</t>
        </is>
      </c>
      <c r="O971" s="5" t="inlineStr">
        <is>
          <t>Site</t>
        </is>
      </c>
      <c r="P971" s="5" t="inlineStr">
        <is>
          <t>United States</t>
        </is>
      </c>
      <c r="Q971" s="13" t="inlineStr">
        <is>
          <t>S10-US10007</t>
        </is>
      </c>
      <c r="R971" s="5" t="inlineStr">
        <is>
          <t>Debhora Garcia</t>
        </is>
      </c>
      <c r="S971" s="8" t="n">
        <v>46128.07109953704</v>
      </c>
    </row>
    <row r="972" hidden="1" ht="29" customHeight="1">
      <c r="A972" s="15">
        <f>HYPERLINK("https://vtmf.veevavault.com/ui/#doc_info/31464165/1/0", "VTMF-25388695")</f>
        <v/>
      </c>
      <c r="B972" s="20" t="inlineStr">
        <is>
          <t>Yes</t>
        </is>
      </c>
      <c r="C972" s="5" t="inlineStr">
        <is>
          <t>1.0</t>
        </is>
      </c>
      <c r="D972" s="5" t="inlineStr">
        <is>
          <t>GCO</t>
        </is>
      </c>
      <c r="E972" s="5" t="inlineStr">
        <is>
          <t>42847922MDD3003</t>
        </is>
      </c>
      <c r="F972" s="16">
        <f>HYPERLINK("https://vtmf.veevavault.com/ui/#doc_info/31464165/1/0", "42847922MDD3003-BGR-S10-BG10008-Relevant Communications-16 Jun 2025 (v1.0)")</f>
        <v/>
      </c>
      <c r="G972" s="5" t="inlineStr">
        <is>
          <t>Site Management</t>
        </is>
      </c>
      <c r="H972" s="5" t="inlineStr">
        <is>
          <t>General</t>
        </is>
      </c>
      <c r="I972" s="5" t="inlineStr">
        <is>
          <t>Relevant Communications</t>
        </is>
      </c>
      <c r="J972" s="5" t="inlineStr">
        <is>
          <t>PI Jesse Carr _Site S10-BG10008 _Subject BG100080004- IQVIA Eligibility Review - Approved</t>
        </is>
      </c>
      <c r="K972" s="6" t="n">
        <v>303</v>
      </c>
      <c r="L972" s="7" t="n">
        <v>45824</v>
      </c>
      <c r="M972" s="11" t="n">
        <v>46127</v>
      </c>
      <c r="N972" s="5" t="inlineStr">
        <is>
          <t>Approved</t>
        </is>
      </c>
      <c r="O972" s="5" t="inlineStr">
        <is>
          <t>Site</t>
        </is>
      </c>
      <c r="P972" s="5" t="inlineStr">
        <is>
          <t>Bulgaria</t>
        </is>
      </c>
      <c r="Q972" s="13" t="inlineStr">
        <is>
          <t>S10-BG10008</t>
        </is>
      </c>
      <c r="R972" s="5" t="inlineStr">
        <is>
          <t>Debhora Garcia</t>
        </is>
      </c>
      <c r="S972" s="8" t="n">
        <v>46128.07266203704</v>
      </c>
    </row>
    <row r="973" hidden="1" ht="29" customHeight="1">
      <c r="A973" s="15">
        <f>HYPERLINK("https://vtmf.veevavault.com/ui/#doc_info/31464166/1/0", "VTMF-25388697")</f>
        <v/>
      </c>
      <c r="B973" s="20" t="inlineStr">
        <is>
          <t>Yes</t>
        </is>
      </c>
      <c r="C973" s="5" t="inlineStr">
        <is>
          <t>1.0</t>
        </is>
      </c>
      <c r="D973" s="5" t="inlineStr">
        <is>
          <t>GCO</t>
        </is>
      </c>
      <c r="E973" s="5" t="inlineStr">
        <is>
          <t>42847922MDD3003</t>
        </is>
      </c>
      <c r="F973" s="16">
        <f>HYPERLINK("https://vtmf.veevavault.com/ui/#doc_info/31464166/1/0", "42847922MDD3003-USA-S10-US10084-Relevant Communications-17 Jun 2025 (v1.0)")</f>
        <v/>
      </c>
      <c r="G973" s="5" t="inlineStr">
        <is>
          <t>Site Management</t>
        </is>
      </c>
      <c r="H973" s="5" t="inlineStr">
        <is>
          <t>General</t>
        </is>
      </c>
      <c r="I973" s="5" t="inlineStr">
        <is>
          <t>Relevant Communications</t>
        </is>
      </c>
      <c r="J973" s="5" t="inlineStr">
        <is>
          <t>PI Martin Fritzhand_ Site S10-US10084_Subject US100840002_IQVIA Eligibility Review_Approved</t>
        </is>
      </c>
      <c r="K973" s="6" t="n">
        <v>302</v>
      </c>
      <c r="L973" s="7" t="n">
        <v>45825</v>
      </c>
      <c r="M973" s="11" t="n">
        <v>46127</v>
      </c>
      <c r="N973" s="5" t="inlineStr">
        <is>
          <t>Approved</t>
        </is>
      </c>
      <c r="O973" s="5" t="inlineStr">
        <is>
          <t>Site</t>
        </is>
      </c>
      <c r="P973" s="5" t="inlineStr">
        <is>
          <t>United States</t>
        </is>
      </c>
      <c r="Q973" s="13" t="inlineStr">
        <is>
          <t>S10-US10084</t>
        </is>
      </c>
      <c r="R973" s="5" t="inlineStr">
        <is>
          <t>Debhora Garcia</t>
        </is>
      </c>
      <c r="S973" s="8" t="n">
        <v>46128.07469907407</v>
      </c>
    </row>
    <row r="974" hidden="1" ht="29" customHeight="1">
      <c r="A974" s="15">
        <f>HYPERLINK("https://vtmf.veevavault.com/ui/#doc_info/31464247/1/0", "VTMF-25388704")</f>
        <v/>
      </c>
      <c r="B974" s="20" t="inlineStr">
        <is>
          <t>Yes</t>
        </is>
      </c>
      <c r="C974" s="5" t="inlineStr">
        <is>
          <t>1.0</t>
        </is>
      </c>
      <c r="D974" s="5" t="inlineStr">
        <is>
          <t>GCO</t>
        </is>
      </c>
      <c r="E974" s="5" t="inlineStr">
        <is>
          <t>42847922MDD3003</t>
        </is>
      </c>
      <c r="F974" s="16">
        <f>HYPERLINK("https://vtmf.veevavault.com/ui/#doc_info/31464247/1/0", "42847922MDD3003-USA-S10-US10064-Relevant Communications-26 Jun 2025 (v1.0)")</f>
        <v/>
      </c>
      <c r="G974" s="5" t="inlineStr">
        <is>
          <t>Site Management</t>
        </is>
      </c>
      <c r="H974" s="5" t="inlineStr">
        <is>
          <t>General</t>
        </is>
      </c>
      <c r="I974" s="5" t="inlineStr">
        <is>
          <t>Relevant Communications</t>
        </is>
      </c>
      <c r="J974" s="5" t="inlineStr">
        <is>
          <t>PI Jorge Venereo_ Site S10-US10064_Subject US100640029_IQVIA Eligibility Review_Approved</t>
        </is>
      </c>
      <c r="K974" s="6" t="n">
        <v>293</v>
      </c>
      <c r="L974" s="7" t="n">
        <v>45834</v>
      </c>
      <c r="M974" s="11" t="n">
        <v>46127</v>
      </c>
      <c r="N974" s="5" t="inlineStr">
        <is>
          <t>Approved</t>
        </is>
      </c>
      <c r="O974" s="5" t="inlineStr">
        <is>
          <t>Site</t>
        </is>
      </c>
      <c r="P974" s="5" t="inlineStr">
        <is>
          <t>United States</t>
        </is>
      </c>
      <c r="Q974" s="13" t="inlineStr">
        <is>
          <t>S10-US10064</t>
        </is>
      </c>
      <c r="R974" s="5" t="inlineStr">
        <is>
          <t>Debhora Garcia</t>
        </is>
      </c>
      <c r="S974" s="8" t="n">
        <v>46128.07778935185</v>
      </c>
    </row>
    <row r="975" hidden="1" ht="29" customHeight="1">
      <c r="A975" s="15">
        <f>HYPERLINK("https://vtmf.veevavault.com/ui/#doc_info/31464267/1/0", "VTMF-25388727")</f>
        <v/>
      </c>
      <c r="B975" s="20" t="inlineStr">
        <is>
          <t>Yes</t>
        </is>
      </c>
      <c r="C975" s="5" t="inlineStr">
        <is>
          <t>1.0</t>
        </is>
      </c>
      <c r="D975" s="5" t="inlineStr">
        <is>
          <t>GCO</t>
        </is>
      </c>
      <c r="E975" s="5" t="inlineStr">
        <is>
          <t>42847922MDD3003</t>
        </is>
      </c>
      <c r="F975" s="16">
        <f>HYPERLINK("https://vtmf.veevavault.com/ui/#doc_info/31464267/1/0", "42847922MDD3003-SWE-S10-SE10001-Relevant Communications-30 Jun 2025 (v1.0)")</f>
        <v/>
      </c>
      <c r="G975" s="5" t="inlineStr">
        <is>
          <t>Site Management</t>
        </is>
      </c>
      <c r="H975" s="5" t="inlineStr">
        <is>
          <t>General</t>
        </is>
      </c>
      <c r="I975" s="5" t="inlineStr">
        <is>
          <t>Relevant Communications</t>
        </is>
      </c>
      <c r="J975" s="5" t="inlineStr">
        <is>
          <t>PI Dr Anders Luts_ S10-SE10001_Subject SE100010007_IQVIA Eligibility Review_Approve</t>
        </is>
      </c>
      <c r="K975" s="6" t="n">
        <v>289</v>
      </c>
      <c r="L975" s="7" t="n">
        <v>45838</v>
      </c>
      <c r="M975" s="11" t="n">
        <v>46127</v>
      </c>
      <c r="N975" s="5" t="inlineStr">
        <is>
          <t>Approved</t>
        </is>
      </c>
      <c r="O975" s="5" t="inlineStr">
        <is>
          <t>Site</t>
        </is>
      </c>
      <c r="P975" s="5" t="inlineStr">
        <is>
          <t>Sweden</t>
        </is>
      </c>
      <c r="Q975" s="13" t="inlineStr">
        <is>
          <t>S10-SE10001</t>
        </is>
      </c>
      <c r="R975" s="5" t="inlineStr">
        <is>
          <t>Debhora Garcia</t>
        </is>
      </c>
      <c r="S975" s="8" t="n">
        <v>46128.08233796297</v>
      </c>
    </row>
    <row r="976" hidden="1" ht="29" customHeight="1">
      <c r="A976" s="15">
        <f>HYPERLINK("https://vtmf.veevavault.com/ui/#doc_info/31464273/1/0", "VTMF-25388746")</f>
        <v/>
      </c>
      <c r="B976" s="20" t="inlineStr">
        <is>
          <t>Yes</t>
        </is>
      </c>
      <c r="C976" s="5" t="inlineStr">
        <is>
          <t>1.0</t>
        </is>
      </c>
      <c r="D976" s="5" t="inlineStr">
        <is>
          <t>GCO</t>
        </is>
      </c>
      <c r="E976" s="5" t="inlineStr">
        <is>
          <t>42847922MDD3003</t>
        </is>
      </c>
      <c r="F976" s="16">
        <f>HYPERLINK("https://vtmf.veevavault.com/ui/#doc_info/31464273/1/0", "42847922MDD3003-USA-S10-US10084-Relevant Communications-03 Jul 2025 (v1.0)")</f>
        <v/>
      </c>
      <c r="G976" s="5" t="inlineStr">
        <is>
          <t>Site Management</t>
        </is>
      </c>
      <c r="H976" s="5" t="inlineStr">
        <is>
          <t>General</t>
        </is>
      </c>
      <c r="I976" s="5" t="inlineStr">
        <is>
          <t>Relevant Communications</t>
        </is>
      </c>
      <c r="J976" s="5" t="inlineStr">
        <is>
          <t>PI Martin D Fritzhand_ Site S10-US10084_Subject US100840004_IQVIA Eligibility Review_Approved</t>
        </is>
      </c>
      <c r="K976" s="6" t="n">
        <v>286</v>
      </c>
      <c r="L976" s="7" t="n">
        <v>45841</v>
      </c>
      <c r="M976" s="11" t="n">
        <v>46127</v>
      </c>
      <c r="N976" s="5" t="inlineStr">
        <is>
          <t>Approved</t>
        </is>
      </c>
      <c r="O976" s="5" t="inlineStr">
        <is>
          <t>Site</t>
        </is>
      </c>
      <c r="P976" s="5" t="inlineStr">
        <is>
          <t>United States</t>
        </is>
      </c>
      <c r="Q976" s="13" t="inlineStr">
        <is>
          <t>S10-US10084</t>
        </is>
      </c>
      <c r="R976" s="5" t="inlineStr">
        <is>
          <t>Debhora Garcia</t>
        </is>
      </c>
      <c r="S976" s="8" t="n">
        <v>46128.08585648148</v>
      </c>
    </row>
    <row r="977" hidden="1" ht="29" customHeight="1">
      <c r="A977" s="15">
        <f>HYPERLINK("https://vtmf.veevavault.com/ui/#doc_info/31464274/1/0", "VTMF-25388751")</f>
        <v/>
      </c>
      <c r="B977" s="20" t="inlineStr">
        <is>
          <t>Yes</t>
        </is>
      </c>
      <c r="C977" s="5" t="inlineStr">
        <is>
          <t>1.0</t>
        </is>
      </c>
      <c r="D977" s="5" t="inlineStr">
        <is>
          <t>GCO</t>
        </is>
      </c>
      <c r="E977" s="5" t="inlineStr">
        <is>
          <t>42847922MDD3003</t>
        </is>
      </c>
      <c r="F977" s="16">
        <f>HYPERLINK("https://vtmf.veevavault.com/ui/#doc_info/31464274/1/0", "42847922MDD3003-USA-S10-US10015-Relevant Communications-22 Jul 2025 (v1.0)")</f>
        <v/>
      </c>
      <c r="G977" s="5" t="inlineStr">
        <is>
          <t>Site Management</t>
        </is>
      </c>
      <c r="H977" s="5" t="inlineStr">
        <is>
          <t>General</t>
        </is>
      </c>
      <c r="I977" s="5" t="inlineStr">
        <is>
          <t>Relevant Communications</t>
        </is>
      </c>
      <c r="J977" s="5" t="inlineStr">
        <is>
          <t>PI Carr, Jesse _Site: S10-US10015(United States)_Subject ID: US100150007_Visit:VISIT 1</t>
        </is>
      </c>
      <c r="K977" s="6" t="n">
        <v>267</v>
      </c>
      <c r="L977" s="7" t="n">
        <v>45860</v>
      </c>
      <c r="M977" s="11" t="n">
        <v>46127</v>
      </c>
      <c r="N977" s="5" t="inlineStr">
        <is>
          <t>Approved</t>
        </is>
      </c>
      <c r="O977" s="5" t="inlineStr">
        <is>
          <t>Site</t>
        </is>
      </c>
      <c r="P977" s="5" t="inlineStr">
        <is>
          <t>United States</t>
        </is>
      </c>
      <c r="Q977" s="13" t="inlineStr">
        <is>
          <t>S10-US10015</t>
        </is>
      </c>
      <c r="R977" s="5" t="inlineStr">
        <is>
          <t>Debhora Garcia</t>
        </is>
      </c>
      <c r="S977" s="8" t="n">
        <v>46128.08731481482</v>
      </c>
    </row>
    <row r="978" hidden="1" ht="29" customHeight="1">
      <c r="A978" s="15">
        <f>HYPERLINK("https://vtmf.veevavault.com/ui/#doc_info/31464278/1/0", "VTMF-25388759")</f>
        <v/>
      </c>
      <c r="B978" s="20" t="inlineStr">
        <is>
          <t>Yes</t>
        </is>
      </c>
      <c r="C978" s="5" t="inlineStr">
        <is>
          <t>1.0</t>
        </is>
      </c>
      <c r="D978" s="5" t="inlineStr">
        <is>
          <t>GCO</t>
        </is>
      </c>
      <c r="E978" s="5" t="inlineStr">
        <is>
          <t>42847922MDD3003</t>
        </is>
      </c>
      <c r="F978" s="16">
        <f>HYPERLINK("https://vtmf.veevavault.com/ui/#doc_info/31464278/1/0", "42847922MDD3003-USA-S10-US10040-Relevant Communications-01 Aug 2025 (v1.0)")</f>
        <v/>
      </c>
      <c r="G978" s="5" t="inlineStr">
        <is>
          <t>Site Management</t>
        </is>
      </c>
      <c r="H978" s="5" t="inlineStr">
        <is>
          <t>General</t>
        </is>
      </c>
      <c r="I978" s="5" t="inlineStr">
        <is>
          <t>Relevant Communications</t>
        </is>
      </c>
      <c r="J978" s="5" t="inlineStr">
        <is>
          <t>S10-US10040 _ PI Rutrick _ US100400023 _ Prohibited Medication Hydroxyzine PD and ET</t>
        </is>
      </c>
      <c r="K978" s="6" t="n">
        <v>257</v>
      </c>
      <c r="L978" s="7" t="n">
        <v>45870</v>
      </c>
      <c r="M978" s="11" t="n">
        <v>46127</v>
      </c>
      <c r="N978" s="5" t="inlineStr">
        <is>
          <t>Approved</t>
        </is>
      </c>
      <c r="O978" s="5" t="inlineStr">
        <is>
          <t>Site</t>
        </is>
      </c>
      <c r="P978" s="5" t="inlineStr">
        <is>
          <t>United States</t>
        </is>
      </c>
      <c r="Q978" s="13" t="inlineStr">
        <is>
          <t>S10-US10040</t>
        </is>
      </c>
      <c r="R978" s="5" t="inlineStr">
        <is>
          <t>Debhora Garcia</t>
        </is>
      </c>
      <c r="S978" s="8" t="n">
        <v>46128.08974537037</v>
      </c>
    </row>
    <row r="979" hidden="1" ht="29" customHeight="1">
      <c r="A979" s="15">
        <f>HYPERLINK("https://vtmf.veevavault.com/ui/#doc_info/31464282/1/0", "VTMF-25388771")</f>
        <v/>
      </c>
      <c r="B979" s="20" t="inlineStr">
        <is>
          <t>Yes</t>
        </is>
      </c>
      <c r="C979" s="5" t="inlineStr">
        <is>
          <t>1.0</t>
        </is>
      </c>
      <c r="D979" s="5" t="inlineStr">
        <is>
          <t>GCO</t>
        </is>
      </c>
      <c r="E979" s="5" t="inlineStr">
        <is>
          <t>42847922MDD3003</t>
        </is>
      </c>
      <c r="F979" s="16">
        <f>HYPERLINK("https://vtmf.veevavault.com/ui/#doc_info/31464282/1/0", "42847922MDD3003-BRA-S10-BR10003-Relevant Communications-05 Aug 2025 (v1.0)")</f>
        <v/>
      </c>
      <c r="G979" s="5" t="inlineStr">
        <is>
          <t>Site Management</t>
        </is>
      </c>
      <c r="H979" s="5" t="inlineStr">
        <is>
          <t>General</t>
        </is>
      </c>
      <c r="I979" s="5" t="inlineStr">
        <is>
          <t>Relevant Communications</t>
        </is>
      </c>
      <c r="J979" s="5" t="inlineStr">
        <is>
          <t>PI Dr_Eduardo Freire Vasconcellos_Site_ BR10003</t>
        </is>
      </c>
      <c r="K979" s="6" t="n">
        <v>253</v>
      </c>
      <c r="L979" s="7" t="n">
        <v>45874</v>
      </c>
      <c r="M979" s="11" t="n">
        <v>46127</v>
      </c>
      <c r="N979" s="5" t="inlineStr">
        <is>
          <t>Approved</t>
        </is>
      </c>
      <c r="O979" s="5" t="inlineStr">
        <is>
          <t>Site</t>
        </is>
      </c>
      <c r="P979" s="5" t="inlineStr">
        <is>
          <t>Brazil</t>
        </is>
      </c>
      <c r="Q979" s="13" t="inlineStr">
        <is>
          <t>S10-BR10003</t>
        </is>
      </c>
      <c r="R979" s="5" t="inlineStr">
        <is>
          <t>Debhora Garcia</t>
        </is>
      </c>
      <c r="S979" s="8" t="n">
        <v>46128.09135416667</v>
      </c>
    </row>
    <row r="980" hidden="1" ht="29" customHeight="1">
      <c r="A980" s="15">
        <f>HYPERLINK("https://vtmf.veevavault.com/ui/#doc_info/31464289/1/0", "VTMF-25388778")</f>
        <v/>
      </c>
      <c r="B980" s="20" t="inlineStr">
        <is>
          <t>Yes</t>
        </is>
      </c>
      <c r="C980" s="5" t="inlineStr">
        <is>
          <t>1.0</t>
        </is>
      </c>
      <c r="D980" s="5" t="inlineStr">
        <is>
          <t>GCO</t>
        </is>
      </c>
      <c r="E980" s="5" t="inlineStr">
        <is>
          <t>42847922MDD3003</t>
        </is>
      </c>
      <c r="F980" s="16">
        <f>HYPERLINK("https://vtmf.veevavault.com/ui/#doc_info/31464289/1/0", "42847922MDD3003-USA-S10-US10219-Relevant Communications-08 Aug 2025 (v1.0)")</f>
        <v/>
      </c>
      <c r="G980" s="5" t="inlineStr">
        <is>
          <t>Site Management</t>
        </is>
      </c>
      <c r="H980" s="5" t="inlineStr">
        <is>
          <t>General</t>
        </is>
      </c>
      <c r="I980" s="5" t="inlineStr">
        <is>
          <t>Relevant Communications</t>
        </is>
      </c>
      <c r="J980" s="5" t="inlineStr">
        <is>
          <t>S10-US10219 (Betancourt) Subject 10219-0010 AE Report RBBB</t>
        </is>
      </c>
      <c r="K980" s="6" t="n">
        <v>250</v>
      </c>
      <c r="L980" s="7" t="n">
        <v>45877</v>
      </c>
      <c r="M980" s="11" t="n">
        <v>46127</v>
      </c>
      <c r="N980" s="5" t="inlineStr">
        <is>
          <t>Approved</t>
        </is>
      </c>
      <c r="O980" s="5" t="inlineStr">
        <is>
          <t>Site</t>
        </is>
      </c>
      <c r="P980" s="5" t="inlineStr">
        <is>
          <t>United States</t>
        </is>
      </c>
      <c r="Q980" s="13" t="inlineStr">
        <is>
          <t>S10-US10219</t>
        </is>
      </c>
      <c r="R980" s="5" t="inlineStr">
        <is>
          <t>Debhora Garcia</t>
        </is>
      </c>
      <c r="S980" s="8" t="n">
        <v>46128.09287037037</v>
      </c>
    </row>
    <row r="981" hidden="1" ht="43.5" customHeight="1">
      <c r="A981" s="15">
        <f>HYPERLINK("https://vtmf.veevavault.com/ui/#doc_info/31464299/1/0", "VTMF-25388794")</f>
        <v/>
      </c>
      <c r="B981" s="20" t="inlineStr">
        <is>
          <t>Yes</t>
        </is>
      </c>
      <c r="C981" s="5" t="inlineStr">
        <is>
          <t>1.0</t>
        </is>
      </c>
      <c r="D981" s="5" t="inlineStr">
        <is>
          <t>GCO</t>
        </is>
      </c>
      <c r="E981" s="5" t="inlineStr">
        <is>
          <t>42847922MDD3003</t>
        </is>
      </c>
      <c r="F981" s="16">
        <f>HYPERLINK("https://vtmf.veevavault.com/ui/#doc_info/31464299/1/0", "42847922MDD3003-BRA-S10-BR10002-Relevant Communications-25 Aug 2025 (v1.0)")</f>
        <v/>
      </c>
      <c r="G981" s="5" t="inlineStr">
        <is>
          <t>Site Management</t>
        </is>
      </c>
      <c r="H981" s="5" t="inlineStr">
        <is>
          <t>General</t>
        </is>
      </c>
      <c r="I981" s="5" t="inlineStr">
        <is>
          <t>Relevant Communications</t>
        </is>
      </c>
      <c r="J981" s="5" t="inlineStr">
        <is>
          <t>PI Dr Sandra Ruschel M_D__Site BR10002(Brazil)_Subject ID_ BR100020013_Visit_ End of Phase_Treatm</t>
        </is>
      </c>
      <c r="K981" s="6" t="n">
        <v>233</v>
      </c>
      <c r="L981" s="7" t="n">
        <v>45894</v>
      </c>
      <c r="M981" s="11" t="n">
        <v>46127</v>
      </c>
      <c r="N981" s="5" t="inlineStr">
        <is>
          <t>Approved</t>
        </is>
      </c>
      <c r="O981" s="5" t="inlineStr">
        <is>
          <t>Site</t>
        </is>
      </c>
      <c r="P981" s="5" t="inlineStr">
        <is>
          <t>Brazil</t>
        </is>
      </c>
      <c r="Q981" s="13" t="inlineStr">
        <is>
          <t>S10-BR10002</t>
        </is>
      </c>
      <c r="R981" s="5" t="inlineStr">
        <is>
          <t>Debhora Garcia</t>
        </is>
      </c>
      <c r="S981" s="8" t="n">
        <v>46128.09630787037</v>
      </c>
    </row>
    <row r="982" hidden="1" ht="29" customHeight="1">
      <c r="A982" s="15">
        <f>HYPERLINK("https://vtmf.veevavault.com/ui/#doc_info/31464401/1/0", "VTMF-25388802")</f>
        <v/>
      </c>
      <c r="B982" s="20" t="inlineStr">
        <is>
          <t>Yes</t>
        </is>
      </c>
      <c r="C982" s="5" t="inlineStr">
        <is>
          <t>1.0</t>
        </is>
      </c>
      <c r="D982" s="5" t="inlineStr">
        <is>
          <t>GCO</t>
        </is>
      </c>
      <c r="E982" s="5" t="inlineStr">
        <is>
          <t>42847922MDD3003</t>
        </is>
      </c>
      <c r="F982" s="16">
        <f>HYPERLINK("https://vtmf.veevavault.com/ui/#doc_info/31464401/1/0", "42847922MDD3003-USA-S10-US10092-Relevant Communications-07 Nov 2025 (v1.0)")</f>
        <v/>
      </c>
      <c r="G982" s="5" t="inlineStr">
        <is>
          <t>Site Management</t>
        </is>
      </c>
      <c r="H982" s="5" t="inlineStr">
        <is>
          <t>General</t>
        </is>
      </c>
      <c r="I982" s="5" t="inlineStr">
        <is>
          <t>Relevant Communications</t>
        </is>
      </c>
      <c r="J982" s="5" t="inlineStr">
        <is>
          <t>PI: Dr Weiss, David_Site: S10-US10092 (United States of America)_Subject ID: US100920004</t>
        </is>
      </c>
      <c r="K982" s="6" t="n">
        <v>159</v>
      </c>
      <c r="L982" s="7" t="n">
        <v>45968</v>
      </c>
      <c r="M982" s="11" t="n">
        <v>46127</v>
      </c>
      <c r="N982" s="5" t="inlineStr">
        <is>
          <t>Approved</t>
        </is>
      </c>
      <c r="O982" s="5" t="inlineStr">
        <is>
          <t>Site</t>
        </is>
      </c>
      <c r="P982" s="5" t="inlineStr">
        <is>
          <t>United States</t>
        </is>
      </c>
      <c r="Q982" s="13" t="inlineStr">
        <is>
          <t>S10-US10092</t>
        </is>
      </c>
      <c r="R982" s="5" t="inlineStr">
        <is>
          <t>Debhora Garcia</t>
        </is>
      </c>
      <c r="S982" s="8" t="n">
        <v>46128.09798611111</v>
      </c>
    </row>
    <row r="983" hidden="1" ht="29" customHeight="1">
      <c r="A983" s="15">
        <f>HYPERLINK("https://vtmf.veevavault.com/ui/#doc_info/31464409/1/0", "VTMF-25388811")</f>
        <v/>
      </c>
      <c r="B983" s="20" t="inlineStr">
        <is>
          <t>Yes</t>
        </is>
      </c>
      <c r="C983" s="5" t="inlineStr">
        <is>
          <t>1.0</t>
        </is>
      </c>
      <c r="D983" s="5" t="inlineStr">
        <is>
          <t>GCO</t>
        </is>
      </c>
      <c r="E983" s="5" t="inlineStr">
        <is>
          <t>42847922MDD3003</t>
        </is>
      </c>
      <c r="F983" s="16">
        <f>HYPERLINK("https://vtmf.veevavault.com/ui/#doc_info/31464409/1/0", "42847922MDD3003-USA-S10-US10106-Relevant Communications-27 Feb 2026 (v1.0)")</f>
        <v/>
      </c>
      <c r="G983" s="5" t="inlineStr">
        <is>
          <t>Site Management</t>
        </is>
      </c>
      <c r="H983" s="5" t="inlineStr">
        <is>
          <t>General</t>
        </is>
      </c>
      <c r="I983" s="5" t="inlineStr">
        <is>
          <t>Relevant Communications</t>
        </is>
      </c>
      <c r="J983" s="5" t="inlineStr">
        <is>
          <t>Site US10106 - Dr. Baber Subject US101060009 Re-Screening Request</t>
        </is>
      </c>
      <c r="K983" s="6" t="n">
        <v>47</v>
      </c>
      <c r="L983" s="7" t="n">
        <v>46080</v>
      </c>
      <c r="M983" s="11" t="n">
        <v>46127</v>
      </c>
      <c r="N983" s="5" t="inlineStr">
        <is>
          <t>Approved</t>
        </is>
      </c>
      <c r="O983" s="5" t="inlineStr">
        <is>
          <t>Site</t>
        </is>
      </c>
      <c r="P983" s="5" t="inlineStr">
        <is>
          <t>United States</t>
        </is>
      </c>
      <c r="Q983" s="13" t="inlineStr">
        <is>
          <t>S10-US10106</t>
        </is>
      </c>
      <c r="R983" s="5" t="inlineStr">
        <is>
          <t>Debhora Garcia</t>
        </is>
      </c>
      <c r="S983" s="8" t="n">
        <v>46128.09978009259</v>
      </c>
    </row>
    <row r="984" hidden="1" ht="43.5" customHeight="1">
      <c r="A984" s="15">
        <f>HYPERLINK("https://vtmf.veevavault.com/ui/#doc_info/31464321/1/0", "VTMF-25388843")</f>
        <v/>
      </c>
      <c r="B984" s="20" t="inlineStr">
        <is>
          <t>Yes</t>
        </is>
      </c>
      <c r="C984" s="5" t="inlineStr">
        <is>
          <t>1.0</t>
        </is>
      </c>
      <c r="D984" s="5" t="inlineStr">
        <is>
          <t>GCO</t>
        </is>
      </c>
      <c r="E984" s="5" t="inlineStr">
        <is>
          <t>42847922MDD3003</t>
        </is>
      </c>
      <c r="F984" s="16">
        <f>HYPERLINK("https://vtmf.veevavault.com/ui/#doc_info/31464321/1/0", "42847922MDD3003-ARG-S10-AR10001-Relevant Communications-16 Feb 2026 (v1.0)")</f>
        <v/>
      </c>
      <c r="G984" s="5" t="inlineStr">
        <is>
          <t>Site Management</t>
        </is>
      </c>
      <c r="H984" s="5" t="inlineStr">
        <is>
          <t>General</t>
        </is>
      </c>
      <c r="I984" s="5" t="inlineStr">
        <is>
          <t>Relevant Communications</t>
        </is>
      </c>
      <c r="J984" s="5" t="inlineStr">
        <is>
          <t>PI Dr.Hector Fabian Lamaison SiteAR10001(Argentina)_Subject IDAR100010002_Visit Retest_ Alert- Cancelled Hematology Panel</t>
        </is>
      </c>
      <c r="K984" s="6" t="n">
        <v>58</v>
      </c>
      <c r="L984" s="7" t="n">
        <v>46069</v>
      </c>
      <c r="M984" s="11" t="n">
        <v>46127</v>
      </c>
      <c r="N984" s="5" t="inlineStr">
        <is>
          <t>Approved</t>
        </is>
      </c>
      <c r="O984" s="5" t="inlineStr">
        <is>
          <t>Site</t>
        </is>
      </c>
      <c r="P984" s="5" t="inlineStr">
        <is>
          <t>Argentina</t>
        </is>
      </c>
      <c r="Q984" s="13" t="inlineStr">
        <is>
          <t>S10-AR10001</t>
        </is>
      </c>
      <c r="R984" s="5" t="inlineStr">
        <is>
          <t>Debhora Garcia</t>
        </is>
      </c>
      <c r="S984" s="8" t="n">
        <v>46128.10465277778</v>
      </c>
    </row>
    <row r="985" hidden="1" ht="29" customHeight="1">
      <c r="A985" s="15">
        <f>HYPERLINK("https://vtmf.veevavault.com/ui/#doc_info/31468220/1/0", "VTMF-25391927")</f>
        <v/>
      </c>
      <c r="B985" s="20" t="inlineStr">
        <is>
          <t>Yes</t>
        </is>
      </c>
      <c r="C985" s="5" t="inlineStr">
        <is>
          <t>1.0</t>
        </is>
      </c>
      <c r="D985" s="5" t="inlineStr">
        <is>
          <t>GCO</t>
        </is>
      </c>
      <c r="E985" s="5" t="inlineStr">
        <is>
          <t>42847922MDD3003</t>
        </is>
      </c>
      <c r="F985" s="16">
        <f>HYPERLINK("https://vtmf.veevavault.com/ui/#doc_info/31468220/1/0", "42847922MDD3003-BRA-S10-BR10023-Relevant Communications-06 Oct 2025 (v1.0)")</f>
        <v/>
      </c>
      <c r="G985" s="5" t="inlineStr">
        <is>
          <t>Site Management</t>
        </is>
      </c>
      <c r="H985" s="5" t="inlineStr">
        <is>
          <t>General</t>
        </is>
      </c>
      <c r="I985" s="5" t="inlineStr">
        <is>
          <t>Relevant Communications</t>
        </is>
      </c>
      <c r="J985" s="5" t="inlineStr">
        <is>
          <t>EMAIL: AFE requirement_06Oct2025</t>
        </is>
      </c>
      <c r="K985" s="6" t="n">
        <v>192</v>
      </c>
      <c r="L985" s="7" t="n">
        <v>45936</v>
      </c>
      <c r="M985" s="11" t="n">
        <v>46128</v>
      </c>
      <c r="N985" s="5" t="inlineStr">
        <is>
          <t>Approved</t>
        </is>
      </c>
      <c r="O985" s="5" t="inlineStr">
        <is>
          <t>Site</t>
        </is>
      </c>
      <c r="P985" s="5" t="inlineStr">
        <is>
          <t>Brazil</t>
        </is>
      </c>
      <c r="Q985" s="13" t="inlineStr">
        <is>
          <t>S10-BR10023</t>
        </is>
      </c>
      <c r="R985" s="5" t="inlineStr">
        <is>
          <t>GUILHERME BENEVIDES</t>
        </is>
      </c>
      <c r="S985" s="8" t="n">
        <v>46128.61313657407</v>
      </c>
    </row>
    <row r="986" hidden="1" ht="29" customHeight="1">
      <c r="A986" s="15">
        <f>HYPERLINK("https://vtmf.veevavault.com/ui/#doc_info/31468224/1/0", "VTMF-25392072")</f>
        <v/>
      </c>
      <c r="B986" s="20" t="inlineStr">
        <is>
          <t>Yes</t>
        </is>
      </c>
      <c r="C986" s="5" t="inlineStr">
        <is>
          <t>1.0</t>
        </is>
      </c>
      <c r="D986" s="5" t="inlineStr">
        <is>
          <t>GCO</t>
        </is>
      </c>
      <c r="E986" s="5" t="inlineStr">
        <is>
          <t>42847922MDD3003</t>
        </is>
      </c>
      <c r="F986" s="16">
        <f>HYPERLINK("https://vtmf.veevavault.com/ui/#doc_info/31468224/1/0", "42847922MDD3003-BRA-S10-BR10010-Relevant Communications-11 Mar 2026 (v1.0)")</f>
        <v/>
      </c>
      <c r="G986" s="5" t="inlineStr">
        <is>
          <t>Site Management</t>
        </is>
      </c>
      <c r="H986" s="5" t="inlineStr">
        <is>
          <t>General</t>
        </is>
      </c>
      <c r="I986" s="5" t="inlineStr">
        <is>
          <t>Relevant Communications</t>
        </is>
      </c>
      <c r="J986" s="5" t="inlineStr">
        <is>
          <t>EMAIL: Handover; 11Mar2026</t>
        </is>
      </c>
      <c r="K986" s="6" t="n">
        <v>36</v>
      </c>
      <c r="L986" s="7" t="n">
        <v>46092</v>
      </c>
      <c r="M986" s="11" t="n">
        <v>46128</v>
      </c>
      <c r="N986" s="5" t="inlineStr">
        <is>
          <t>Approved</t>
        </is>
      </c>
      <c r="O986" s="5" t="inlineStr">
        <is>
          <t>Site</t>
        </is>
      </c>
      <c r="P986" s="5" t="inlineStr">
        <is>
          <t>Brazil</t>
        </is>
      </c>
      <c r="Q986" s="13" t="inlineStr">
        <is>
          <t>S10-BR10010</t>
        </is>
      </c>
      <c r="R986" s="5" t="inlineStr">
        <is>
          <t>GUILHERME BENEVIDES</t>
        </is>
      </c>
      <c r="S986" s="8" t="n">
        <v>46128.61324074074</v>
      </c>
    </row>
    <row r="987" hidden="1" ht="29" customHeight="1">
      <c r="A987" s="15">
        <f>HYPERLINK("https://vtmf.veevavault.com/ui/#doc_info/31470071/1/0", "VTMF-25393571")</f>
        <v/>
      </c>
      <c r="B987" s="19" t="inlineStr">
        <is>
          <t>No</t>
        </is>
      </c>
      <c r="C987" s="5" t="inlineStr">
        <is>
          <t>1.0</t>
        </is>
      </c>
      <c r="D987" s="5" t="inlineStr">
        <is>
          <t>GCO</t>
        </is>
      </c>
      <c r="E987" s="5" t="inlineStr">
        <is>
          <t>42847922MDD3003</t>
        </is>
      </c>
      <c r="F987" s="16">
        <f>HYPERLINK("https://vtmf.veevavault.com/ui/#doc_info/31470071/1/0", "42847922MDD3003-CZE-S10-CZ10011-Other Curriculum Vitae-25 Feb 2026 (v1.0)")</f>
        <v/>
      </c>
      <c r="G987" s="5" t="inlineStr">
        <is>
          <t>Site Management</t>
        </is>
      </c>
      <c r="H987" s="5" t="inlineStr">
        <is>
          <t>Site Set-up Documentation</t>
        </is>
      </c>
      <c r="I987" s="5" t="inlineStr">
        <is>
          <t>Other Curriculum Vitae</t>
        </is>
      </c>
      <c r="J987" s="5" t="inlineStr">
        <is>
          <t>CV_EN_Sendlerova, R._Pharmacist_Initial_25Feb2026</t>
        </is>
      </c>
      <c r="K987" s="6" t="n">
        <v>50</v>
      </c>
      <c r="L987" s="7" t="n">
        <v>46078</v>
      </c>
      <c r="M987" s="11" t="n">
        <v>46128</v>
      </c>
      <c r="N987" s="5" t="inlineStr">
        <is>
          <t>Approved</t>
        </is>
      </c>
      <c r="O987" s="5" t="inlineStr">
        <is>
          <t>Site</t>
        </is>
      </c>
      <c r="P987" s="5" t="inlineStr">
        <is>
          <t>Czech Republic</t>
        </is>
      </c>
      <c r="Q987" s="13" t="inlineStr">
        <is>
          <t>S10-CZ10011</t>
        </is>
      </c>
      <c r="R987" s="5" t="inlineStr">
        <is>
          <t>Vera Matousková</t>
        </is>
      </c>
      <c r="S987" s="8" t="n">
        <v>46128.75971064815</v>
      </c>
    </row>
    <row r="988" hidden="1" ht="29" customHeight="1">
      <c r="A988" s="15">
        <f>HYPERLINK("https://vtmf.veevavault.com/ui/#doc_info/31470515/1/0", "VTMF-25393801")</f>
        <v/>
      </c>
      <c r="B988" s="19" t="inlineStr">
        <is>
          <t>No</t>
        </is>
      </c>
      <c r="C988" s="5" t="inlineStr">
        <is>
          <t>1.0</t>
        </is>
      </c>
      <c r="D988" s="5" t="inlineStr">
        <is>
          <t>GCO</t>
        </is>
      </c>
      <c r="E988" s="5" t="inlineStr">
        <is>
          <t>42847922MDD3003</t>
        </is>
      </c>
      <c r="F988" s="16">
        <f>HYPERLINK("https://vtmf.veevavault.com/ui/#doc_info/31470515/1/0", "42847922MDD3003-ARG-S10-AR10010-Site-specific Informed Consent Form-22 Jul 2025 (v1.0)")</f>
        <v/>
      </c>
      <c r="G988" s="5" t="inlineStr">
        <is>
          <t>Central Trial Documents</t>
        </is>
      </c>
      <c r="H988" s="5" t="inlineStr">
        <is>
          <t>Subject Documents</t>
        </is>
      </c>
      <c r="I988" s="5" t="inlineStr">
        <is>
          <t>Site-specific Informed Consent Form</t>
        </is>
      </c>
      <c r="J988" s="5" t="inlineStr">
        <is>
          <t>ICF MAIN PARTE 1 y 2 Dr. RUGGERI_v4.0_CA1</t>
        </is>
      </c>
      <c r="K988" s="6" t="n">
        <v>268</v>
      </c>
      <c r="L988" s="7" t="n">
        <v>45860</v>
      </c>
      <c r="M988" s="11" t="n">
        <v>46128</v>
      </c>
      <c r="N988" s="5" t="inlineStr">
        <is>
          <t>Approved</t>
        </is>
      </c>
      <c r="O988" s="5" t="inlineStr">
        <is>
          <t>Site</t>
        </is>
      </c>
      <c r="P988" s="5" t="inlineStr">
        <is>
          <t>Argentina</t>
        </is>
      </c>
      <c r="Q988" s="13" t="inlineStr">
        <is>
          <t>S10-AR10010</t>
        </is>
      </c>
      <c r="R988" s="5" t="inlineStr">
        <is>
          <t>Cintia Rodriguez</t>
        </is>
      </c>
      <c r="S988" s="8" t="n">
        <v>46128.79518518518</v>
      </c>
    </row>
    <row r="989" hidden="1" ht="29" customHeight="1">
      <c r="A989" s="15">
        <f>HYPERLINK("https://vtmf.veevavault.com/ui/#doc_info/31470426/1/0", "VTMF-25393817")</f>
        <v/>
      </c>
      <c r="B989" s="19" t="inlineStr">
        <is>
          <t>No</t>
        </is>
      </c>
      <c r="C989" s="5" t="inlineStr">
        <is>
          <t>1.0</t>
        </is>
      </c>
      <c r="D989" s="5" t="inlineStr">
        <is>
          <t>GCO</t>
        </is>
      </c>
      <c r="E989" s="5" t="inlineStr">
        <is>
          <t>42847922MDD3003</t>
        </is>
      </c>
      <c r="F989" s="16">
        <f>HYPERLINK("https://vtmf.veevavault.com/ui/#doc_info/31470426/1/0", "42847922MDD3003-ARG-S10-AR10010-Site-specific Informed Consent Form-22 Jul 2025 (v1.0)")</f>
        <v/>
      </c>
      <c r="G989" s="5" t="inlineStr">
        <is>
          <t>Central Trial Documents</t>
        </is>
      </c>
      <c r="H989" s="5" t="inlineStr">
        <is>
          <t>Subject Documents</t>
        </is>
      </c>
      <c r="I989" s="5" t="inlineStr">
        <is>
          <t>Site-specific Informed Consent Form</t>
        </is>
      </c>
      <c r="J989" s="5" t="inlineStr">
        <is>
          <t>ICF MAIN PARTE 2-  De. RUGGERI_v4.0_CA1</t>
        </is>
      </c>
      <c r="K989" s="6" t="n">
        <v>268</v>
      </c>
      <c r="L989" s="7" t="n">
        <v>45860</v>
      </c>
      <c r="M989" s="11" t="n">
        <v>46128</v>
      </c>
      <c r="N989" s="5" t="inlineStr">
        <is>
          <t>Approved</t>
        </is>
      </c>
      <c r="O989" s="5" t="inlineStr">
        <is>
          <t>Site</t>
        </is>
      </c>
      <c r="P989" s="5" t="inlineStr">
        <is>
          <t>Argentina</t>
        </is>
      </c>
      <c r="Q989" s="13" t="inlineStr">
        <is>
          <t>S10-AR10010</t>
        </is>
      </c>
      <c r="R989" s="5" t="inlineStr">
        <is>
          <t>Cintia Rodriguez</t>
        </is>
      </c>
      <c r="S989" s="8" t="n">
        <v>46128.79645833333</v>
      </c>
    </row>
    <row r="990" hidden="1" ht="29" customHeight="1">
      <c r="A990" s="15">
        <f>HYPERLINK("https://vtmf.veevavault.com/ui/#doc_info/31470525/1/0", "VTMF-25393833")</f>
        <v/>
      </c>
      <c r="B990" s="19" t="inlineStr">
        <is>
          <t>No</t>
        </is>
      </c>
      <c r="C990" s="5" t="inlineStr">
        <is>
          <t>1.0</t>
        </is>
      </c>
      <c r="D990" s="5" t="inlineStr">
        <is>
          <t>GCO</t>
        </is>
      </c>
      <c r="E990" s="5" t="inlineStr">
        <is>
          <t>42847922MDD3003</t>
        </is>
      </c>
      <c r="F990" s="16">
        <f>HYPERLINK("https://vtmf.veevavault.com/ui/#doc_info/31470525/1/0", "42847922MDD3003-ARG-S10-AR10010-Site-Specific Master Pregnant ICF-15 Apr 2024 (v1.0)")</f>
        <v/>
      </c>
      <c r="G990" s="5" t="inlineStr">
        <is>
          <t>Central Trial Documents</t>
        </is>
      </c>
      <c r="H990" s="5" t="inlineStr">
        <is>
          <t>Subject Documents</t>
        </is>
      </c>
      <c r="I990" s="5" t="inlineStr">
        <is>
          <t>Site-specific Master Pregnant Partner Informed Consent Form</t>
        </is>
      </c>
      <c r="J990" s="5" t="inlineStr">
        <is>
          <t>ICF pregnant partner_Dr. Ruggeri v1.0 CA1</t>
        </is>
      </c>
      <c r="K990" s="6" t="n">
        <v>731</v>
      </c>
      <c r="L990" s="7" t="n">
        <v>45397</v>
      </c>
      <c r="M990" s="11" t="n">
        <v>46128</v>
      </c>
      <c r="N990" s="5" t="inlineStr">
        <is>
          <t>Approved</t>
        </is>
      </c>
      <c r="O990" s="5" t="inlineStr">
        <is>
          <t>Site</t>
        </is>
      </c>
      <c r="P990" s="5" t="inlineStr">
        <is>
          <t>Argentina</t>
        </is>
      </c>
      <c r="Q990" s="13" t="inlineStr">
        <is>
          <t>S10-AR10010</t>
        </is>
      </c>
      <c r="R990" s="5" t="inlineStr">
        <is>
          <t>Cintia Rodriguez</t>
        </is>
      </c>
      <c r="S990" s="8" t="n">
        <v>46128.80018518519</v>
      </c>
    </row>
    <row r="991" hidden="1" ht="29" customHeight="1">
      <c r="A991" s="15">
        <f>HYPERLINK("https://vtmf.veevavault.com/ui/#doc_info/31473138/1/0", "VTMF-25396215")</f>
        <v/>
      </c>
      <c r="B991" s="19" t="inlineStr">
        <is>
          <t>No</t>
        </is>
      </c>
      <c r="C991" s="5" t="inlineStr">
        <is>
          <t>1.0</t>
        </is>
      </c>
      <c r="D991" s="5" t="inlineStr">
        <is>
          <t>GCO</t>
        </is>
      </c>
      <c r="E991" s="5" t="inlineStr">
        <is>
          <t>42847922MDD3003</t>
        </is>
      </c>
      <c r="F991" s="16">
        <f>HYPERLINK("https://vtmf.veevavault.com/ui/#doc_info/31473138/1/0", "42847922MDD3003-USA-S10-US10041-IP Destruction Form-01 Oct 2025 (v1.0)")</f>
        <v/>
      </c>
      <c r="G991" s="5" t="inlineStr">
        <is>
          <t>IP and Trial Supplies</t>
        </is>
      </c>
      <c r="H991" s="5" t="inlineStr">
        <is>
          <t>IP Documentation</t>
        </is>
      </c>
      <c r="I991" s="5" t="inlineStr">
        <is>
          <t>IP Destruction Form</t>
        </is>
      </c>
      <c r="J991" s="5" t="inlineStr">
        <is>
          <t>IPDF</t>
        </is>
      </c>
      <c r="K991" s="6" t="n">
        <v>198</v>
      </c>
      <c r="L991" s="7" t="n">
        <v>45931</v>
      </c>
      <c r="M991" s="11" t="n">
        <v>46129</v>
      </c>
      <c r="N991" s="5" t="inlineStr">
        <is>
          <t>Approved</t>
        </is>
      </c>
      <c r="O991" s="5" t="inlineStr">
        <is>
          <t>Site</t>
        </is>
      </c>
      <c r="P991" s="5" t="inlineStr">
        <is>
          <t>United States</t>
        </is>
      </c>
      <c r="Q991" s="13" t="inlineStr">
        <is>
          <t>S10-US10041</t>
        </is>
      </c>
      <c r="R991" s="5" t="inlineStr">
        <is>
          <t>Juliet Leshner</t>
        </is>
      </c>
      <c r="S991" s="8" t="n">
        <v>46129.11092592592</v>
      </c>
    </row>
    <row r="992" hidden="1" ht="29" customHeight="1">
      <c r="A992" s="15">
        <f>HYPERLINK("https://vtmf.veevavault.com/ui/#doc_info/31473139/1/0", "VTMF-25396216")</f>
        <v/>
      </c>
      <c r="B992" s="19" t="inlineStr">
        <is>
          <t>No</t>
        </is>
      </c>
      <c r="C992" s="5" t="inlineStr">
        <is>
          <t>1.0</t>
        </is>
      </c>
      <c r="D992" s="5" t="inlineStr">
        <is>
          <t>GCO</t>
        </is>
      </c>
      <c r="E992" s="5" t="inlineStr">
        <is>
          <t>42847922MDD3003</t>
        </is>
      </c>
      <c r="F992" s="16">
        <f>HYPERLINK("https://vtmf.veevavault.com/ui/#doc_info/31473139/1/0", "42847922MDD3003-USA-S10-US10041-IP Destruction Form-01 Oct 2025 (v1.0)")</f>
        <v/>
      </c>
      <c r="G992" s="5" t="inlineStr">
        <is>
          <t>IP and Trial Supplies</t>
        </is>
      </c>
      <c r="H992" s="5" t="inlineStr">
        <is>
          <t>IP Documentation</t>
        </is>
      </c>
      <c r="I992" s="5" t="inlineStr">
        <is>
          <t>IP Destruction Form</t>
        </is>
      </c>
      <c r="J992" s="5" t="inlineStr">
        <is>
          <t>IPDF</t>
        </is>
      </c>
      <c r="K992" s="6" t="n">
        <v>198</v>
      </c>
      <c r="L992" s="7" t="n">
        <v>45931</v>
      </c>
      <c r="M992" s="11" t="n">
        <v>46129</v>
      </c>
      <c r="N992" s="5" t="inlineStr">
        <is>
          <t>Approved</t>
        </is>
      </c>
      <c r="O992" s="5" t="inlineStr">
        <is>
          <t>Site</t>
        </is>
      </c>
      <c r="P992" s="5" t="inlineStr">
        <is>
          <t>United States</t>
        </is>
      </c>
      <c r="Q992" s="13" t="inlineStr">
        <is>
          <t>S10-US10041</t>
        </is>
      </c>
      <c r="R992" s="5" t="inlineStr">
        <is>
          <t>Juliet Leshner</t>
        </is>
      </c>
      <c r="S992" s="8" t="n">
        <v>46129.11092592592</v>
      </c>
    </row>
    <row r="993" hidden="1" ht="29" customHeight="1">
      <c r="A993" s="15">
        <f>HYPERLINK("https://vtmf.veevavault.com/ui/#doc_info/31473140/1/0", "VTMF-25396217")</f>
        <v/>
      </c>
      <c r="B993" s="19" t="inlineStr">
        <is>
          <t>No</t>
        </is>
      </c>
      <c r="C993" s="5" t="inlineStr">
        <is>
          <t>1.0</t>
        </is>
      </c>
      <c r="D993" s="5" t="inlineStr">
        <is>
          <t>GCO</t>
        </is>
      </c>
      <c r="E993" s="5" t="inlineStr">
        <is>
          <t>42847922MDD3003</t>
        </is>
      </c>
      <c r="F993" s="16">
        <f>HYPERLINK("https://vtmf.veevavault.com/ui/#doc_info/31473140/1/0", "42847922MDD3003-USA-S10-US10091-IP Destruction Form-01 Oct 2025 (v1.0)")</f>
        <v/>
      </c>
      <c r="G993" s="5" t="inlineStr">
        <is>
          <t>IP and Trial Supplies</t>
        </is>
      </c>
      <c r="H993" s="5" t="inlineStr">
        <is>
          <t>IP Documentation</t>
        </is>
      </c>
      <c r="I993" s="5" t="inlineStr">
        <is>
          <t>IP Destruction Form</t>
        </is>
      </c>
      <c r="J993" s="5" t="inlineStr">
        <is>
          <t>IPDF</t>
        </is>
      </c>
      <c r="K993" s="6" t="n">
        <v>198</v>
      </c>
      <c r="L993" s="7" t="n">
        <v>45931</v>
      </c>
      <c r="M993" s="11" t="n">
        <v>46129</v>
      </c>
      <c r="N993" s="5" t="inlineStr">
        <is>
          <t>Approved</t>
        </is>
      </c>
      <c r="O993" s="5" t="inlineStr">
        <is>
          <t>Site</t>
        </is>
      </c>
      <c r="P993" s="5" t="inlineStr">
        <is>
          <t>United States</t>
        </is>
      </c>
      <c r="Q993" s="13" t="inlineStr">
        <is>
          <t>S10-US10091</t>
        </is>
      </c>
      <c r="R993" s="5" t="inlineStr">
        <is>
          <t>Juliet Leshner</t>
        </is>
      </c>
      <c r="S993" s="8" t="n">
        <v>46129.11092592592</v>
      </c>
    </row>
    <row r="994" hidden="1" ht="29" customHeight="1">
      <c r="A994" s="15">
        <f>HYPERLINK("https://vtmf.veevavault.com/ui/#doc_info/31473141/1/0", "VTMF-25396218")</f>
        <v/>
      </c>
      <c r="B994" s="19" t="inlineStr">
        <is>
          <t>No</t>
        </is>
      </c>
      <c r="C994" s="5" t="inlineStr">
        <is>
          <t>1.0</t>
        </is>
      </c>
      <c r="D994" s="5" t="inlineStr">
        <is>
          <t>GCO</t>
        </is>
      </c>
      <c r="E994" s="5" t="inlineStr">
        <is>
          <t>42847922MDD3003</t>
        </is>
      </c>
      <c r="F994" s="16">
        <f>HYPERLINK("https://vtmf.veevavault.com/ui/#doc_info/31473141/1/0", "42847922MDD3003-USA-S10-US10172-IP Destruction Form-03 Oct 2025 (v1.0)")</f>
        <v/>
      </c>
      <c r="G994" s="5" t="inlineStr">
        <is>
          <t>IP and Trial Supplies</t>
        </is>
      </c>
      <c r="H994" s="5" t="inlineStr">
        <is>
          <t>IP Documentation</t>
        </is>
      </c>
      <c r="I994" s="5" t="inlineStr">
        <is>
          <t>IP Destruction Form</t>
        </is>
      </c>
      <c r="J994" s="5" t="inlineStr">
        <is>
          <t>IPDF</t>
        </is>
      </c>
      <c r="K994" s="6" t="n">
        <v>196</v>
      </c>
      <c r="L994" s="7" t="n">
        <v>45933</v>
      </c>
      <c r="M994" s="11" t="n">
        <v>46129</v>
      </c>
      <c r="N994" s="5" t="inlineStr">
        <is>
          <t>Approved</t>
        </is>
      </c>
      <c r="O994" s="5" t="inlineStr">
        <is>
          <t>Site</t>
        </is>
      </c>
      <c r="P994" s="5" t="inlineStr">
        <is>
          <t>United States</t>
        </is>
      </c>
      <c r="Q994" s="13" t="inlineStr">
        <is>
          <t>S10-US10172</t>
        </is>
      </c>
      <c r="R994" s="5" t="inlineStr">
        <is>
          <t>Juliet Leshner</t>
        </is>
      </c>
      <c r="S994" s="8" t="n">
        <v>46129.11092592592</v>
      </c>
    </row>
    <row r="995" hidden="1" ht="29" customHeight="1">
      <c r="A995" s="15">
        <f>HYPERLINK("https://vtmf.veevavault.com/ui/#doc_info/31473142/1/0", "VTMF-25396219")</f>
        <v/>
      </c>
      <c r="B995" s="19" t="inlineStr">
        <is>
          <t>No</t>
        </is>
      </c>
      <c r="C995" s="5" t="inlineStr">
        <is>
          <t>1.0</t>
        </is>
      </c>
      <c r="D995" s="5" t="inlineStr">
        <is>
          <t>GCO</t>
        </is>
      </c>
      <c r="E995" s="5" t="inlineStr">
        <is>
          <t>42847922MDD3003</t>
        </is>
      </c>
      <c r="F995" s="16">
        <f>HYPERLINK("https://vtmf.veevavault.com/ui/#doc_info/31473142/1/0", "42847922MDD3003-USA-S10-US10028-IP Destruction Form-03 Oct 2025 (v1.0)")</f>
        <v/>
      </c>
      <c r="G995" s="5" t="inlineStr">
        <is>
          <t>IP and Trial Supplies</t>
        </is>
      </c>
      <c r="H995" s="5" t="inlineStr">
        <is>
          <t>IP Documentation</t>
        </is>
      </c>
      <c r="I995" s="5" t="inlineStr">
        <is>
          <t>IP Destruction Form</t>
        </is>
      </c>
      <c r="J995" s="5" t="inlineStr">
        <is>
          <t>IPDF</t>
        </is>
      </c>
      <c r="K995" s="6" t="n">
        <v>196</v>
      </c>
      <c r="L995" s="7" t="n">
        <v>45933</v>
      </c>
      <c r="M995" s="11" t="n">
        <v>46129</v>
      </c>
      <c r="N995" s="5" t="inlineStr">
        <is>
          <t>Approved</t>
        </is>
      </c>
      <c r="O995" s="5" t="inlineStr">
        <is>
          <t>Site</t>
        </is>
      </c>
      <c r="P995" s="5" t="inlineStr">
        <is>
          <t>United States</t>
        </is>
      </c>
      <c r="Q995" s="13" t="inlineStr">
        <is>
          <t>S10-US10028</t>
        </is>
      </c>
      <c r="R995" s="5" t="inlineStr">
        <is>
          <t>Juliet Leshner</t>
        </is>
      </c>
      <c r="S995" s="8" t="n">
        <v>46129.11092592592</v>
      </c>
    </row>
    <row r="996" hidden="1" ht="29" customHeight="1">
      <c r="A996" s="15">
        <f>HYPERLINK("https://vtmf.veevavault.com/ui/#doc_info/31473143/1/0", "VTMF-25396220")</f>
        <v/>
      </c>
      <c r="B996" s="19" t="inlineStr">
        <is>
          <t>No</t>
        </is>
      </c>
      <c r="C996" s="5" t="inlineStr">
        <is>
          <t>1.0</t>
        </is>
      </c>
      <c r="D996" s="5" t="inlineStr">
        <is>
          <t>GCO</t>
        </is>
      </c>
      <c r="E996" s="5" t="inlineStr">
        <is>
          <t>42847922MDD3003</t>
        </is>
      </c>
      <c r="F996" s="16">
        <f>HYPERLINK("https://vtmf.veevavault.com/ui/#doc_info/31473143/1/0", "42847922MDD3003-USA-S10-US10275-IP Destruction Form-10 Oct 2025 (v1.0)")</f>
        <v/>
      </c>
      <c r="G996" s="5" t="inlineStr">
        <is>
          <t>IP and Trial Supplies</t>
        </is>
      </c>
      <c r="H996" s="5" t="inlineStr">
        <is>
          <t>IP Documentation</t>
        </is>
      </c>
      <c r="I996" s="5" t="inlineStr">
        <is>
          <t>IP Destruction Form</t>
        </is>
      </c>
      <c r="J996" s="5" t="inlineStr">
        <is>
          <t>IPDF</t>
        </is>
      </c>
      <c r="K996" s="6" t="n">
        <v>189</v>
      </c>
      <c r="L996" s="7" t="n">
        <v>45940</v>
      </c>
      <c r="M996" s="11" t="n">
        <v>46129</v>
      </c>
      <c r="N996" s="5" t="inlineStr">
        <is>
          <t>Approved</t>
        </is>
      </c>
      <c r="O996" s="5" t="inlineStr">
        <is>
          <t>Site</t>
        </is>
      </c>
      <c r="P996" s="5" t="inlineStr">
        <is>
          <t>United States</t>
        </is>
      </c>
      <c r="Q996" s="13" t="inlineStr">
        <is>
          <t>S10-US10275</t>
        </is>
      </c>
      <c r="R996" s="5" t="inlineStr">
        <is>
          <t>Juliet Leshner</t>
        </is>
      </c>
      <c r="S996" s="8" t="n">
        <v>46129.11092592592</v>
      </c>
    </row>
    <row r="997" hidden="1" ht="29" customHeight="1">
      <c r="A997" s="15">
        <f>HYPERLINK("https://vtmf.veevavault.com/ui/#doc_info/31473144/1/0", "VTMF-25396221")</f>
        <v/>
      </c>
      <c r="B997" s="19" t="inlineStr">
        <is>
          <t>No</t>
        </is>
      </c>
      <c r="C997" s="5" t="inlineStr">
        <is>
          <t>1.0</t>
        </is>
      </c>
      <c r="D997" s="5" t="inlineStr">
        <is>
          <t>GCO</t>
        </is>
      </c>
      <c r="E997" s="5" t="inlineStr">
        <is>
          <t>42847922MDD3003</t>
        </is>
      </c>
      <c r="F997" s="16">
        <f>HYPERLINK("https://vtmf.veevavault.com/ui/#doc_info/31473144/1/0", "42847922MDD3003-USA-S10-US10228-IP Destruction Form-15 Oct 2025 (v1.0)")</f>
        <v/>
      </c>
      <c r="G997" s="5" t="inlineStr">
        <is>
          <t>IP and Trial Supplies</t>
        </is>
      </c>
      <c r="H997" s="5" t="inlineStr">
        <is>
          <t>IP Documentation</t>
        </is>
      </c>
      <c r="I997" s="5" t="inlineStr">
        <is>
          <t>IP Destruction Form</t>
        </is>
      </c>
      <c r="J997" s="5" t="inlineStr">
        <is>
          <t>IPDF</t>
        </is>
      </c>
      <c r="K997" s="6" t="n">
        <v>184</v>
      </c>
      <c r="L997" s="7" t="n">
        <v>45945</v>
      </c>
      <c r="M997" s="11" t="n">
        <v>46129</v>
      </c>
      <c r="N997" s="5" t="inlineStr">
        <is>
          <t>Approved</t>
        </is>
      </c>
      <c r="O997" s="5" t="inlineStr">
        <is>
          <t>Site</t>
        </is>
      </c>
      <c r="P997" s="5" t="inlineStr">
        <is>
          <t>United States</t>
        </is>
      </c>
      <c r="Q997" s="13" t="inlineStr">
        <is>
          <t>S10-US10228</t>
        </is>
      </c>
      <c r="R997" s="5" t="inlineStr">
        <is>
          <t>Juliet Leshner</t>
        </is>
      </c>
      <c r="S997" s="8" t="n">
        <v>46129.11092592592</v>
      </c>
    </row>
    <row r="998" hidden="1" ht="29" customHeight="1">
      <c r="A998" s="15">
        <f>HYPERLINK("https://vtmf.veevavault.com/ui/#doc_info/31473145/1/0", "VTMF-25396222")</f>
        <v/>
      </c>
      <c r="B998" s="19" t="inlineStr">
        <is>
          <t>No</t>
        </is>
      </c>
      <c r="C998" s="5" t="inlineStr">
        <is>
          <t>1.0</t>
        </is>
      </c>
      <c r="D998" s="5" t="inlineStr">
        <is>
          <t>GCO</t>
        </is>
      </c>
      <c r="E998" s="5" t="inlineStr">
        <is>
          <t>42847922MDD3003</t>
        </is>
      </c>
      <c r="F998" s="16">
        <f>HYPERLINK("https://vtmf.veevavault.com/ui/#doc_info/31473145/1/0", "42847922MDD3003-USA-S10-US10275-IP Destruction Form-15 Oct 2025 (v1.0)")</f>
        <v/>
      </c>
      <c r="G998" s="5" t="inlineStr">
        <is>
          <t>IP and Trial Supplies</t>
        </is>
      </c>
      <c r="H998" s="5" t="inlineStr">
        <is>
          <t>IP Documentation</t>
        </is>
      </c>
      <c r="I998" s="5" t="inlineStr">
        <is>
          <t>IP Destruction Form</t>
        </is>
      </c>
      <c r="J998" s="5" t="inlineStr">
        <is>
          <t>IPDF</t>
        </is>
      </c>
      <c r="K998" s="6" t="n">
        <v>184</v>
      </c>
      <c r="L998" s="7" t="n">
        <v>45945</v>
      </c>
      <c r="M998" s="11" t="n">
        <v>46129</v>
      </c>
      <c r="N998" s="5" t="inlineStr">
        <is>
          <t>Approved</t>
        </is>
      </c>
      <c r="O998" s="5" t="inlineStr">
        <is>
          <t>Site</t>
        </is>
      </c>
      <c r="P998" s="5" t="inlineStr">
        <is>
          <t>United States</t>
        </is>
      </c>
      <c r="Q998" s="13" t="inlineStr">
        <is>
          <t>S10-US10275</t>
        </is>
      </c>
      <c r="R998" s="5" t="inlineStr">
        <is>
          <t>Juliet Leshner</t>
        </is>
      </c>
      <c r="S998" s="8" t="n">
        <v>46129.11092592592</v>
      </c>
    </row>
    <row r="999" hidden="1" ht="29" customHeight="1">
      <c r="A999" s="15">
        <f>HYPERLINK("https://vtmf.veevavault.com/ui/#doc_info/31473146/1/0", "VTMF-25396223")</f>
        <v/>
      </c>
      <c r="B999" s="19" t="inlineStr">
        <is>
          <t>No</t>
        </is>
      </c>
      <c r="C999" s="5" t="inlineStr">
        <is>
          <t>1.0</t>
        </is>
      </c>
      <c r="D999" s="5" t="inlineStr">
        <is>
          <t>GCO</t>
        </is>
      </c>
      <c r="E999" s="5" t="inlineStr">
        <is>
          <t>42847922MDD3003</t>
        </is>
      </c>
      <c r="F999" s="16">
        <f>HYPERLINK("https://vtmf.veevavault.com/ui/#doc_info/31473146/1/0", "42847922MDD3003-USA-S10-US10084-IP Destruction Form-24 Oct 2025 (v1.0)")</f>
        <v/>
      </c>
      <c r="G999" s="5" t="inlineStr">
        <is>
          <t>IP and Trial Supplies</t>
        </is>
      </c>
      <c r="H999" s="5" t="inlineStr">
        <is>
          <t>IP Documentation</t>
        </is>
      </c>
      <c r="I999" s="5" t="inlineStr">
        <is>
          <t>IP Destruction Form</t>
        </is>
      </c>
      <c r="J999" s="5" t="inlineStr">
        <is>
          <t>IPDF</t>
        </is>
      </c>
      <c r="K999" s="6" t="n">
        <v>175</v>
      </c>
      <c r="L999" s="7" t="n">
        <v>45954</v>
      </c>
      <c r="M999" s="11" t="n">
        <v>46129</v>
      </c>
      <c r="N999" s="5" t="inlineStr">
        <is>
          <t>Approved</t>
        </is>
      </c>
      <c r="O999" s="5" t="inlineStr">
        <is>
          <t>Site</t>
        </is>
      </c>
      <c r="P999" s="5" t="inlineStr">
        <is>
          <t>United States</t>
        </is>
      </c>
      <c r="Q999" s="13" t="inlineStr">
        <is>
          <t>S10-US10084</t>
        </is>
      </c>
      <c r="R999" s="5" t="inlineStr">
        <is>
          <t>Juliet Leshner</t>
        </is>
      </c>
      <c r="S999" s="8" t="n">
        <v>46129.11092592592</v>
      </c>
    </row>
    <row r="1000" hidden="1" ht="29" customHeight="1">
      <c r="A1000" s="15">
        <f>HYPERLINK("https://vtmf.veevavault.com/ui/#doc_info/31473147/1/0", "VTMF-25396224")</f>
        <v/>
      </c>
      <c r="B1000" s="19" t="inlineStr">
        <is>
          <t>No</t>
        </is>
      </c>
      <c r="C1000" s="5" t="inlineStr">
        <is>
          <t>1.0</t>
        </is>
      </c>
      <c r="D1000" s="5" t="inlineStr">
        <is>
          <t>GCO</t>
        </is>
      </c>
      <c r="E1000" s="5" t="inlineStr">
        <is>
          <t>42847922MDD3003</t>
        </is>
      </c>
      <c r="F1000" s="16">
        <f>HYPERLINK("https://vtmf.veevavault.com/ui/#doc_info/31473147/1/0", "42847922MDD3003-USA-S10-US10001-IP Destruction Form-29 Oct 2025 (v1.0)")</f>
        <v/>
      </c>
      <c r="G1000" s="5" t="inlineStr">
        <is>
          <t>IP and Trial Supplies</t>
        </is>
      </c>
      <c r="H1000" s="5" t="inlineStr">
        <is>
          <t>IP Documentation</t>
        </is>
      </c>
      <c r="I1000" s="5" t="inlineStr">
        <is>
          <t>IP Destruction Form</t>
        </is>
      </c>
      <c r="J1000" s="5" t="inlineStr">
        <is>
          <t>IPDF</t>
        </is>
      </c>
      <c r="K1000" s="6" t="n">
        <v>170</v>
      </c>
      <c r="L1000" s="7" t="n">
        <v>45959</v>
      </c>
      <c r="M1000" s="11" t="n">
        <v>46129</v>
      </c>
      <c r="N1000" s="5" t="inlineStr">
        <is>
          <t>Approved</t>
        </is>
      </c>
      <c r="O1000" s="5" t="inlineStr">
        <is>
          <t>Site</t>
        </is>
      </c>
      <c r="P1000" s="5" t="inlineStr">
        <is>
          <t>United States</t>
        </is>
      </c>
      <c r="Q1000" s="13" t="inlineStr">
        <is>
          <t>S10-US10001</t>
        </is>
      </c>
      <c r="R1000" s="5" t="inlineStr">
        <is>
          <t>Juliet Leshner</t>
        </is>
      </c>
      <c r="S1000" s="8" t="n">
        <v>46129.11092592592</v>
      </c>
    </row>
    <row r="1001" hidden="1" ht="29" customHeight="1">
      <c r="A1001" s="15">
        <f>HYPERLINK("https://vtmf.veevavault.com/ui/#doc_info/31473149/1/0", "VTMF-25396226")</f>
        <v/>
      </c>
      <c r="B1001" s="19" t="inlineStr">
        <is>
          <t>No</t>
        </is>
      </c>
      <c r="C1001" s="5" t="inlineStr">
        <is>
          <t>1.0</t>
        </is>
      </c>
      <c r="D1001" s="5" t="inlineStr">
        <is>
          <t>GCO</t>
        </is>
      </c>
      <c r="E1001" s="5" t="inlineStr">
        <is>
          <t>42847922MDD3003</t>
        </is>
      </c>
      <c r="F1001" s="16">
        <f>HYPERLINK("https://vtmf.veevavault.com/ui/#doc_info/31473149/1/0", "42847922MDD3003-USA-S10-US10013-IP Destruction Form-29 Oct 2025 (v1.0)")</f>
        <v/>
      </c>
      <c r="G1001" s="5" t="inlineStr">
        <is>
          <t>IP and Trial Supplies</t>
        </is>
      </c>
      <c r="H1001" s="5" t="inlineStr">
        <is>
          <t>IP Documentation</t>
        </is>
      </c>
      <c r="I1001" s="5" t="inlineStr">
        <is>
          <t>IP Destruction Form</t>
        </is>
      </c>
      <c r="J1001" s="5" t="inlineStr">
        <is>
          <t>IPDF</t>
        </is>
      </c>
      <c r="K1001" s="6" t="n">
        <v>170</v>
      </c>
      <c r="L1001" s="7" t="n">
        <v>45959</v>
      </c>
      <c r="M1001" s="11" t="n">
        <v>46129</v>
      </c>
      <c r="N1001" s="5" t="inlineStr">
        <is>
          <t>Approved</t>
        </is>
      </c>
      <c r="O1001" s="5" t="inlineStr">
        <is>
          <t>Site</t>
        </is>
      </c>
      <c r="P1001" s="5" t="inlineStr">
        <is>
          <t>United States</t>
        </is>
      </c>
      <c r="Q1001" s="13" t="inlineStr">
        <is>
          <t>S10-US10013</t>
        </is>
      </c>
      <c r="R1001" s="5" t="inlineStr">
        <is>
          <t>Juliet Leshner</t>
        </is>
      </c>
      <c r="S1001" s="8" t="n">
        <v>46129.11092592592</v>
      </c>
    </row>
    <row r="1002" hidden="1">
      <c r="A1002" s="15">
        <f>HYPERLINK("https://vtmf.veevavault.com/ui/#doc_info/31473545/1/0", "VTMF-25396699")</f>
        <v/>
      </c>
      <c r="B1002" s="19" t="inlineStr">
        <is>
          <t>No</t>
        </is>
      </c>
      <c r="C1002" s="5" t="inlineStr">
        <is>
          <t>1.0</t>
        </is>
      </c>
      <c r="D1002" s="5" t="inlineStr">
        <is>
          <t>GCO</t>
        </is>
      </c>
      <c r="E1002" s="5" t="inlineStr">
        <is>
          <t>42847922MDD3003</t>
        </is>
      </c>
      <c r="F1002" s="16">
        <f>HYPERLINK("https://vtmf.veevavault.com/ui/#doc_info/31473545/1/0", "42847922MDD3003-USA--Certificate of Destruction-21 Jul 2025 (v1.0)")</f>
        <v/>
      </c>
      <c r="G1002" s="5" t="inlineStr">
        <is>
          <t>IP and Trial Supplies</t>
        </is>
      </c>
      <c r="H1002" s="5" t="inlineStr">
        <is>
          <t>IP Documentation</t>
        </is>
      </c>
      <c r="I1002" s="5" t="inlineStr">
        <is>
          <t>Certificate of Destruction</t>
        </is>
      </c>
      <c r="J1002" s="5" t="inlineStr">
        <is>
          <t>COD</t>
        </is>
      </c>
      <c r="K1002" s="6" t="n">
        <v>270</v>
      </c>
      <c r="L1002" s="7" t="n">
        <v>45859</v>
      </c>
      <c r="M1002" s="11" t="n">
        <v>46129</v>
      </c>
      <c r="N1002" s="5" t="inlineStr">
        <is>
          <t>Approved</t>
        </is>
      </c>
      <c r="O1002" s="5" t="inlineStr">
        <is>
          <t>Country</t>
        </is>
      </c>
      <c r="P1002" s="5" t="inlineStr">
        <is>
          <t>United States</t>
        </is>
      </c>
      <c r="Q1002" s="13" t="inlineStr"/>
      <c r="R1002" s="5" t="inlineStr">
        <is>
          <t>Juliet Leshner</t>
        </is>
      </c>
      <c r="S1002" s="8" t="n">
        <v>46129.19511574074</v>
      </c>
    </row>
    <row r="1003" hidden="1">
      <c r="A1003" s="15">
        <f>HYPERLINK("https://vtmf.veevavault.com/ui/#doc_info/31473557/1/0", "VTMF-25396711")</f>
        <v/>
      </c>
      <c r="B1003" s="19" t="inlineStr">
        <is>
          <t>No</t>
        </is>
      </c>
      <c r="C1003" s="5" t="inlineStr">
        <is>
          <t>1.0</t>
        </is>
      </c>
      <c r="D1003" s="5" t="inlineStr">
        <is>
          <t>GCO</t>
        </is>
      </c>
      <c r="E1003" s="5" t="inlineStr">
        <is>
          <t>42847922MDD3003</t>
        </is>
      </c>
      <c r="F1003" s="16">
        <f>HYPERLINK("https://vtmf.veevavault.com/ui/#doc_info/31473557/1/0", "42847922MDD3003-USA--Certificate of Destruction-21 Jul 2025 (v1.0)")</f>
        <v/>
      </c>
      <c r="G1003" s="5" t="inlineStr">
        <is>
          <t>IP and Trial Supplies</t>
        </is>
      </c>
      <c r="H1003" s="5" t="inlineStr">
        <is>
          <t>IP Documentation</t>
        </is>
      </c>
      <c r="I1003" s="5" t="inlineStr">
        <is>
          <t>Certificate of Destruction</t>
        </is>
      </c>
      <c r="J1003" s="5" t="inlineStr">
        <is>
          <t>COD</t>
        </is>
      </c>
      <c r="K1003" s="6" t="n">
        <v>270</v>
      </c>
      <c r="L1003" s="7" t="n">
        <v>45859</v>
      </c>
      <c r="M1003" s="11" t="n">
        <v>46129</v>
      </c>
      <c r="N1003" s="5" t="inlineStr">
        <is>
          <t>Approved</t>
        </is>
      </c>
      <c r="O1003" s="5" t="inlineStr">
        <is>
          <t>Country</t>
        </is>
      </c>
      <c r="P1003" s="5" t="inlineStr">
        <is>
          <t>United States</t>
        </is>
      </c>
      <c r="Q1003" s="13" t="inlineStr"/>
      <c r="R1003" s="5" t="inlineStr">
        <is>
          <t>Juliet Leshner</t>
        </is>
      </c>
      <c r="S1003" s="8" t="n">
        <v>46129.19511574074</v>
      </c>
    </row>
    <row r="1004" hidden="1" ht="29" customHeight="1">
      <c r="A1004" s="15">
        <f>HYPERLINK("https://vtmf.veevavault.com/ui/#doc_info/31473839/1/0", "VTMF-25396865")</f>
        <v/>
      </c>
      <c r="B1004" s="19" t="inlineStr">
        <is>
          <t>No</t>
        </is>
      </c>
      <c r="C1004" s="5" t="inlineStr">
        <is>
          <t>1.0</t>
        </is>
      </c>
      <c r="D1004" s="5" t="inlineStr">
        <is>
          <t>GCO</t>
        </is>
      </c>
      <c r="E1004" s="5" t="inlineStr">
        <is>
          <t>42847922MDD3003</t>
        </is>
      </c>
      <c r="F1004" s="16">
        <f>HYPERLINK("https://vtmf.veevavault.com/ui/#doc_info/31473839/1/0", "42847922MDD3003-USA-S10-US10009-IP Destruction Form-03 Sep 2025 (v1.0)")</f>
        <v/>
      </c>
      <c r="G1004" s="5" t="inlineStr">
        <is>
          <t>IP and Trial Supplies</t>
        </is>
      </c>
      <c r="H1004" s="5" t="inlineStr">
        <is>
          <t>IP Documentation</t>
        </is>
      </c>
      <c r="I1004" s="5" t="inlineStr">
        <is>
          <t>IP Destruction Form</t>
        </is>
      </c>
      <c r="J1004" s="5" t="inlineStr">
        <is>
          <t>IPDF</t>
        </is>
      </c>
      <c r="K1004" s="6" t="n">
        <v>226</v>
      </c>
      <c r="L1004" s="7" t="n">
        <v>45903</v>
      </c>
      <c r="M1004" s="11" t="n">
        <v>46129</v>
      </c>
      <c r="N1004" s="5" t="inlineStr">
        <is>
          <t>Approved</t>
        </is>
      </c>
      <c r="O1004" s="5" t="inlineStr">
        <is>
          <t>Site</t>
        </is>
      </c>
      <c r="P1004" s="5" t="inlineStr">
        <is>
          <t>United States</t>
        </is>
      </c>
      <c r="Q1004" s="13" t="inlineStr">
        <is>
          <t>S10-US10009</t>
        </is>
      </c>
      <c r="R1004" s="5" t="inlineStr">
        <is>
          <t>Juliet Leshner</t>
        </is>
      </c>
      <c r="S1004" s="8" t="n">
        <v>46129.20252314815</v>
      </c>
    </row>
    <row r="1005" hidden="1" ht="29" customHeight="1">
      <c r="A1005" s="15">
        <f>HYPERLINK("https://vtmf.veevavault.com/ui/#doc_info/31473800/1/0", "VTMF-25396943")</f>
        <v/>
      </c>
      <c r="B1005" s="19" t="inlineStr">
        <is>
          <t>No</t>
        </is>
      </c>
      <c r="C1005" s="5" t="inlineStr">
        <is>
          <t>1.0</t>
        </is>
      </c>
      <c r="D1005" s="5" t="inlineStr">
        <is>
          <t>GCO</t>
        </is>
      </c>
      <c r="E1005" s="5" t="inlineStr">
        <is>
          <t>42847922MDD3003</t>
        </is>
      </c>
      <c r="F1005" s="16">
        <f>HYPERLINK("https://vtmf.veevavault.com/ui/#doc_info/31473800/1/0", "42847922MDD3003-USA--Certificate of Destruction-24 Sep 2025 (v1.0)")</f>
        <v/>
      </c>
      <c r="G1005" s="5" t="inlineStr">
        <is>
          <t>IP and Trial Supplies</t>
        </is>
      </c>
      <c r="H1005" s="5" t="inlineStr">
        <is>
          <t>IP Documentation</t>
        </is>
      </c>
      <c r="I1005" s="5" t="inlineStr">
        <is>
          <t>Certificate of Destruction</t>
        </is>
      </c>
      <c r="J1005" s="5" t="inlineStr">
        <is>
          <t>Destruction Balance</t>
        </is>
      </c>
      <c r="K1005" s="6" t="n">
        <v>205</v>
      </c>
      <c r="L1005" s="7" t="n">
        <v>45924</v>
      </c>
      <c r="M1005" s="11" t="n">
        <v>46129</v>
      </c>
      <c r="N1005" s="5" t="inlineStr">
        <is>
          <t>Approved</t>
        </is>
      </c>
      <c r="O1005" s="5" t="inlineStr">
        <is>
          <t>Country</t>
        </is>
      </c>
      <c r="P1005" s="5" t="inlineStr">
        <is>
          <t>United States</t>
        </is>
      </c>
      <c r="Q1005" s="13" t="inlineStr"/>
      <c r="R1005" s="5" t="inlineStr">
        <is>
          <t>Juliet Leshner</t>
        </is>
      </c>
      <c r="S1005" s="8" t="n">
        <v>46129.20859953704</v>
      </c>
    </row>
    <row r="1006" hidden="1" ht="29" customHeight="1">
      <c r="A1006" s="15">
        <f>HYPERLINK("https://vtmf.veevavault.com/ui/#doc_info/31473911/1/0", "VTMF-25396954")</f>
        <v/>
      </c>
      <c r="B1006" s="19" t="inlineStr">
        <is>
          <t>No</t>
        </is>
      </c>
      <c r="C1006" s="5" t="inlineStr">
        <is>
          <t>1.0</t>
        </is>
      </c>
      <c r="D1006" s="5" t="inlineStr">
        <is>
          <t>GCO</t>
        </is>
      </c>
      <c r="E1006" s="5" t="inlineStr">
        <is>
          <t>42847922MDD3003</t>
        </is>
      </c>
      <c r="F1006" s="16">
        <f>HYPERLINK("https://vtmf.veevavault.com/ui/#doc_info/31473911/1/0", "42847922MDD3003-USA--Certificate of Destruction-01 Oct 2025 (v1.0)")</f>
        <v/>
      </c>
      <c r="G1006" s="5" t="inlineStr">
        <is>
          <t>IP and Trial Supplies</t>
        </is>
      </c>
      <c r="H1006" s="5" t="inlineStr">
        <is>
          <t>IP Documentation</t>
        </is>
      </c>
      <c r="I1006" s="5" t="inlineStr">
        <is>
          <t>Certificate of Destruction</t>
        </is>
      </c>
      <c r="J1006" s="5" t="inlineStr">
        <is>
          <t>Destruction Balance</t>
        </is>
      </c>
      <c r="K1006" s="6" t="n">
        <v>198</v>
      </c>
      <c r="L1006" s="7" t="n">
        <v>45931</v>
      </c>
      <c r="M1006" s="11" t="n">
        <v>46129</v>
      </c>
      <c r="N1006" s="5" t="inlineStr">
        <is>
          <t>Approved</t>
        </is>
      </c>
      <c r="O1006" s="5" t="inlineStr">
        <is>
          <t>Country</t>
        </is>
      </c>
      <c r="P1006" s="5" t="inlineStr">
        <is>
          <t>United States</t>
        </is>
      </c>
      <c r="Q1006" s="13" t="inlineStr"/>
      <c r="R1006" s="5" t="inlineStr">
        <is>
          <t>Juliet Leshner</t>
        </is>
      </c>
      <c r="S1006" s="8" t="n">
        <v>46129.20859953704</v>
      </c>
    </row>
    <row r="1007" hidden="1" ht="29" customHeight="1">
      <c r="A1007" s="15">
        <f>HYPERLINK("https://vtmf.veevavault.com/ui/#doc_info/31473971/1/0", "VTMF-25397019")</f>
        <v/>
      </c>
      <c r="B1007" s="19" t="inlineStr">
        <is>
          <t>No</t>
        </is>
      </c>
      <c r="C1007" s="5" t="inlineStr">
        <is>
          <t>1.0</t>
        </is>
      </c>
      <c r="D1007" s="5" t="inlineStr">
        <is>
          <t>GCO</t>
        </is>
      </c>
      <c r="E1007" s="5" t="inlineStr">
        <is>
          <t>42847922MDD3003</t>
        </is>
      </c>
      <c r="F1007" s="16">
        <f>HYPERLINK("https://vtmf.veevavault.com/ui/#doc_info/31473971/1/0", "42847922MDD3003-USA--Certificate of Destruction-24 Sep 2025 (v1.0)")</f>
        <v/>
      </c>
      <c r="G1007" s="5" t="inlineStr">
        <is>
          <t>IP and Trial Supplies</t>
        </is>
      </c>
      <c r="H1007" s="5" t="inlineStr">
        <is>
          <t>IP Documentation</t>
        </is>
      </c>
      <c r="I1007" s="5" t="inlineStr">
        <is>
          <t>Certificate of Destruction</t>
        </is>
      </c>
      <c r="J1007" s="5" t="inlineStr">
        <is>
          <t>COD</t>
        </is>
      </c>
      <c r="K1007" s="6" t="n">
        <v>205</v>
      </c>
      <c r="L1007" s="7" t="n">
        <v>45924</v>
      </c>
      <c r="M1007" s="11" t="n">
        <v>46129</v>
      </c>
      <c r="N1007" s="5" t="inlineStr">
        <is>
          <t>Approved</t>
        </is>
      </c>
      <c r="O1007" s="5" t="inlineStr">
        <is>
          <t>Country</t>
        </is>
      </c>
      <c r="P1007" s="5" t="inlineStr">
        <is>
          <t>United States</t>
        </is>
      </c>
      <c r="Q1007" s="13" t="inlineStr"/>
      <c r="R1007" s="5" t="inlineStr">
        <is>
          <t>Juliet Leshner</t>
        </is>
      </c>
      <c r="S1007" s="8" t="n">
        <v>46129.21296296296</v>
      </c>
    </row>
    <row r="1008" hidden="1" ht="29" customHeight="1">
      <c r="A1008" s="15">
        <f>HYPERLINK("https://vtmf.veevavault.com/ui/#doc_info/31473992/1/0", "VTMF-25397040")</f>
        <v/>
      </c>
      <c r="B1008" s="19" t="inlineStr">
        <is>
          <t>No</t>
        </is>
      </c>
      <c r="C1008" s="5" t="inlineStr">
        <is>
          <t>1.0</t>
        </is>
      </c>
      <c r="D1008" s="5" t="inlineStr">
        <is>
          <t>GCO</t>
        </is>
      </c>
      <c r="E1008" s="5" t="inlineStr">
        <is>
          <t>42847922MDD3003</t>
        </is>
      </c>
      <c r="F1008" s="16">
        <f>HYPERLINK("https://vtmf.veevavault.com/ui/#doc_info/31473992/1/0", "42847922MDD3003-USA--Certificate of Destruction-21 Sep 2025 (v1.0)")</f>
        <v/>
      </c>
      <c r="G1008" s="5" t="inlineStr">
        <is>
          <t>IP and Trial Supplies</t>
        </is>
      </c>
      <c r="H1008" s="5" t="inlineStr">
        <is>
          <t>IP Documentation</t>
        </is>
      </c>
      <c r="I1008" s="5" t="inlineStr">
        <is>
          <t>Certificate of Destruction</t>
        </is>
      </c>
      <c r="J1008" s="5" t="inlineStr">
        <is>
          <t>Destruction Balance</t>
        </is>
      </c>
      <c r="K1008" s="6" t="n">
        <v>208</v>
      </c>
      <c r="L1008" s="7" t="n">
        <v>45921</v>
      </c>
      <c r="M1008" s="11" t="n">
        <v>46129</v>
      </c>
      <c r="N1008" s="5" t="inlineStr">
        <is>
          <t>Approved</t>
        </is>
      </c>
      <c r="O1008" s="5" t="inlineStr">
        <is>
          <t>Country</t>
        </is>
      </c>
      <c r="P1008" s="5" t="inlineStr">
        <is>
          <t>United States</t>
        </is>
      </c>
      <c r="Q1008" s="13" t="inlineStr"/>
      <c r="R1008" s="5" t="inlineStr">
        <is>
          <t>Juliet Leshner</t>
        </is>
      </c>
      <c r="S1008" s="8" t="n">
        <v>46129.21296296296</v>
      </c>
    </row>
    <row r="1009" hidden="1" ht="29" customHeight="1">
      <c r="A1009" s="15">
        <f>HYPERLINK("https://vtmf.veevavault.com/ui/#doc_info/31474146/1/0", "VTMF-25397141")</f>
        <v/>
      </c>
      <c r="B1009" s="19" t="inlineStr">
        <is>
          <t>No</t>
        </is>
      </c>
      <c r="C1009" s="5" t="inlineStr">
        <is>
          <t>1.0</t>
        </is>
      </c>
      <c r="D1009" s="5" t="inlineStr">
        <is>
          <t>GCO</t>
        </is>
      </c>
      <c r="E1009" s="5" t="inlineStr">
        <is>
          <t>42847922MDD3003</t>
        </is>
      </c>
      <c r="F1009" s="16">
        <f>HYPERLINK("https://vtmf.veevavault.com/ui/#doc_info/31474146/1/0", "42847922MDD3003-USA-S10-US10012-IP Destruction Form-04 Nov 2025 (v1.0)")</f>
        <v/>
      </c>
      <c r="G1009" s="5" t="inlineStr">
        <is>
          <t>IP and Trial Supplies</t>
        </is>
      </c>
      <c r="H1009" s="5" t="inlineStr">
        <is>
          <t>IP Documentation</t>
        </is>
      </c>
      <c r="I1009" s="5" t="inlineStr">
        <is>
          <t>IP Destruction Form</t>
        </is>
      </c>
      <c r="J1009" s="5" t="inlineStr">
        <is>
          <t>IPDF</t>
        </is>
      </c>
      <c r="K1009" s="6" t="n">
        <v>164</v>
      </c>
      <c r="L1009" s="7" t="n">
        <v>45965</v>
      </c>
      <c r="M1009" s="11" t="n">
        <v>46129</v>
      </c>
      <c r="N1009" s="5" t="inlineStr">
        <is>
          <t>Approved</t>
        </is>
      </c>
      <c r="O1009" s="5" t="inlineStr">
        <is>
          <t>Site</t>
        </is>
      </c>
      <c r="P1009" s="5" t="inlineStr">
        <is>
          <t>United States</t>
        </is>
      </c>
      <c r="Q1009" s="13" t="inlineStr">
        <is>
          <t>S10-US10012</t>
        </is>
      </c>
      <c r="R1009" s="5" t="inlineStr">
        <is>
          <t>Juliet Leshner</t>
        </is>
      </c>
      <c r="S1009" s="8" t="n">
        <v>46129.22247685185</v>
      </c>
    </row>
    <row r="1010" hidden="1" ht="29" customHeight="1">
      <c r="A1010" s="15">
        <f>HYPERLINK("https://vtmf.veevavault.com/ui/#doc_info/31474147/1/0", "VTMF-25397142")</f>
        <v/>
      </c>
      <c r="B1010" s="19" t="inlineStr">
        <is>
          <t>No</t>
        </is>
      </c>
      <c r="C1010" s="5" t="inlineStr">
        <is>
          <t>1.0</t>
        </is>
      </c>
      <c r="D1010" s="5" t="inlineStr">
        <is>
          <t>GCO</t>
        </is>
      </c>
      <c r="E1010" s="5" t="inlineStr">
        <is>
          <t>42847922MDD3003</t>
        </is>
      </c>
      <c r="F1010" s="16">
        <f>HYPERLINK("https://vtmf.veevavault.com/ui/#doc_info/31474147/1/0", "42847922MDD3003-USA-S10-US10275-IP Destruction Form-01 Nov 2025 (v1.0)")</f>
        <v/>
      </c>
      <c r="G1010" s="5" t="inlineStr">
        <is>
          <t>IP and Trial Supplies</t>
        </is>
      </c>
      <c r="H1010" s="5" t="inlineStr">
        <is>
          <t>IP Documentation</t>
        </is>
      </c>
      <c r="I1010" s="5" t="inlineStr">
        <is>
          <t>IP Destruction Form</t>
        </is>
      </c>
      <c r="J1010" s="5" t="inlineStr">
        <is>
          <t>IPDF</t>
        </is>
      </c>
      <c r="K1010" s="6" t="n">
        <v>167</v>
      </c>
      <c r="L1010" s="7" t="n">
        <v>45962</v>
      </c>
      <c r="M1010" s="11" t="n">
        <v>46129</v>
      </c>
      <c r="N1010" s="5" t="inlineStr">
        <is>
          <t>Approved</t>
        </is>
      </c>
      <c r="O1010" s="5" t="inlineStr">
        <is>
          <t>Site</t>
        </is>
      </c>
      <c r="P1010" s="5" t="inlineStr">
        <is>
          <t>United States</t>
        </is>
      </c>
      <c r="Q1010" s="13" t="inlineStr">
        <is>
          <t>S10-US10275</t>
        </is>
      </c>
      <c r="R1010" s="5" t="inlineStr">
        <is>
          <t>Juliet Leshner</t>
        </is>
      </c>
      <c r="S1010" s="8" t="n">
        <v>46129.22247685185</v>
      </c>
    </row>
    <row r="1011" hidden="1" ht="29" customHeight="1">
      <c r="A1011" s="15">
        <f>HYPERLINK("https://vtmf.veevavault.com/ui/#doc_info/31474148/1/0", "VTMF-25397143")</f>
        <v/>
      </c>
      <c r="B1011" s="19" t="inlineStr">
        <is>
          <t>No</t>
        </is>
      </c>
      <c r="C1011" s="5" t="inlineStr">
        <is>
          <t>1.0</t>
        </is>
      </c>
      <c r="D1011" s="5" t="inlineStr">
        <is>
          <t>GCO</t>
        </is>
      </c>
      <c r="E1011" s="5" t="inlineStr">
        <is>
          <t>42847922MDD3003</t>
        </is>
      </c>
      <c r="F1011" s="16">
        <f>HYPERLINK("https://vtmf.veevavault.com/ui/#doc_info/31474148/1/0", "42847922MDD3003-USA-S10-US10174-IP Destruction Form-04 Nov 2025 (v1.0)")</f>
        <v/>
      </c>
      <c r="G1011" s="5" t="inlineStr">
        <is>
          <t>IP and Trial Supplies</t>
        </is>
      </c>
      <c r="H1011" s="5" t="inlineStr">
        <is>
          <t>IP Documentation</t>
        </is>
      </c>
      <c r="I1011" s="5" t="inlineStr">
        <is>
          <t>IP Destruction Form</t>
        </is>
      </c>
      <c r="J1011" s="5" t="inlineStr">
        <is>
          <t>IPDF</t>
        </is>
      </c>
      <c r="K1011" s="6" t="n">
        <v>164</v>
      </c>
      <c r="L1011" s="7" t="n">
        <v>45965</v>
      </c>
      <c r="M1011" s="11" t="n">
        <v>46129</v>
      </c>
      <c r="N1011" s="5" t="inlineStr">
        <is>
          <t>Approved</t>
        </is>
      </c>
      <c r="O1011" s="5" t="inlineStr">
        <is>
          <t>Site</t>
        </is>
      </c>
      <c r="P1011" s="5" t="inlineStr">
        <is>
          <t>United States</t>
        </is>
      </c>
      <c r="Q1011" s="13" t="inlineStr">
        <is>
          <t>S10-US10174</t>
        </is>
      </c>
      <c r="R1011" s="5" t="inlineStr">
        <is>
          <t>Juliet Leshner</t>
        </is>
      </c>
      <c r="S1011" s="8" t="n">
        <v>46129.22247685185</v>
      </c>
    </row>
    <row r="1012" hidden="1" ht="29" customHeight="1">
      <c r="A1012" s="15">
        <f>HYPERLINK("https://vtmf.veevavault.com/ui/#doc_info/31474149/1/0", "VTMF-25397144")</f>
        <v/>
      </c>
      <c r="B1012" s="19" t="inlineStr">
        <is>
          <t>No</t>
        </is>
      </c>
      <c r="C1012" s="5" t="inlineStr">
        <is>
          <t>1.0</t>
        </is>
      </c>
      <c r="D1012" s="5" t="inlineStr">
        <is>
          <t>GCO</t>
        </is>
      </c>
      <c r="E1012" s="5" t="inlineStr">
        <is>
          <t>42847922MDD3003</t>
        </is>
      </c>
      <c r="F1012" s="16">
        <f>HYPERLINK("https://vtmf.veevavault.com/ui/#doc_info/31474149/1/0", "42847922MDD3003-USA-S10-US10092-IP Destruction Form-04 Nov 2025 (v1.0)")</f>
        <v/>
      </c>
      <c r="G1012" s="5" t="inlineStr">
        <is>
          <t>IP and Trial Supplies</t>
        </is>
      </c>
      <c r="H1012" s="5" t="inlineStr">
        <is>
          <t>IP Documentation</t>
        </is>
      </c>
      <c r="I1012" s="5" t="inlineStr">
        <is>
          <t>IP Destruction Form</t>
        </is>
      </c>
      <c r="J1012" s="5" t="inlineStr">
        <is>
          <t>IPDF</t>
        </is>
      </c>
      <c r="K1012" s="6" t="n">
        <v>164</v>
      </c>
      <c r="L1012" s="7" t="n">
        <v>45965</v>
      </c>
      <c r="M1012" s="11" t="n">
        <v>46129</v>
      </c>
      <c r="N1012" s="5" t="inlineStr">
        <is>
          <t>Approved</t>
        </is>
      </c>
      <c r="O1012" s="5" t="inlineStr">
        <is>
          <t>Site</t>
        </is>
      </c>
      <c r="P1012" s="5" t="inlineStr">
        <is>
          <t>United States</t>
        </is>
      </c>
      <c r="Q1012" s="13" t="inlineStr">
        <is>
          <t>S10-US10092</t>
        </is>
      </c>
      <c r="R1012" s="5" t="inlineStr">
        <is>
          <t>Juliet Leshner</t>
        </is>
      </c>
      <c r="S1012" s="8" t="n">
        <v>46129.22247685185</v>
      </c>
    </row>
    <row r="1013" hidden="1" ht="29" customHeight="1">
      <c r="A1013" s="15">
        <f>HYPERLINK("https://vtmf.veevavault.com/ui/#doc_info/31474150/1/0", "VTMF-25397145")</f>
        <v/>
      </c>
      <c r="B1013" s="19" t="inlineStr">
        <is>
          <t>No</t>
        </is>
      </c>
      <c r="C1013" s="5" t="inlineStr">
        <is>
          <t>1.0</t>
        </is>
      </c>
      <c r="D1013" s="5" t="inlineStr">
        <is>
          <t>GCO</t>
        </is>
      </c>
      <c r="E1013" s="5" t="inlineStr">
        <is>
          <t>42847922MDD3003</t>
        </is>
      </c>
      <c r="F1013" s="16">
        <f>HYPERLINK("https://vtmf.veevavault.com/ui/#doc_info/31474150/1/0", "42847922MDD3003-USA-S10-US10234-IP Destruction Form-06 Nov 2025 (v1.0)")</f>
        <v/>
      </c>
      <c r="G1013" s="5" t="inlineStr">
        <is>
          <t>IP and Trial Supplies</t>
        </is>
      </c>
      <c r="H1013" s="5" t="inlineStr">
        <is>
          <t>IP Documentation</t>
        </is>
      </c>
      <c r="I1013" s="5" t="inlineStr">
        <is>
          <t>IP Destruction Form</t>
        </is>
      </c>
      <c r="J1013" s="5" t="inlineStr">
        <is>
          <t>IPDF</t>
        </is>
      </c>
      <c r="K1013" s="6" t="n">
        <v>162</v>
      </c>
      <c r="L1013" s="7" t="n">
        <v>45967</v>
      </c>
      <c r="M1013" s="11" t="n">
        <v>46129</v>
      </c>
      <c r="N1013" s="5" t="inlineStr">
        <is>
          <t>Approved</t>
        </is>
      </c>
      <c r="O1013" s="5" t="inlineStr">
        <is>
          <t>Site</t>
        </is>
      </c>
      <c r="P1013" s="5" t="inlineStr">
        <is>
          <t>United States</t>
        </is>
      </c>
      <c r="Q1013" s="13" t="inlineStr">
        <is>
          <t>S10-US10234</t>
        </is>
      </c>
      <c r="R1013" s="5" t="inlineStr">
        <is>
          <t>Juliet Leshner</t>
        </is>
      </c>
      <c r="S1013" s="8" t="n">
        <v>46129.22247685185</v>
      </c>
    </row>
    <row r="1014" hidden="1" ht="29" customHeight="1">
      <c r="A1014" s="15">
        <f>HYPERLINK("https://vtmf.veevavault.com/ui/#doc_info/31474151/1/0", "VTMF-25397146")</f>
        <v/>
      </c>
      <c r="B1014" s="19" t="inlineStr">
        <is>
          <t>No</t>
        </is>
      </c>
      <c r="C1014" s="5" t="inlineStr">
        <is>
          <t>1.0</t>
        </is>
      </c>
      <c r="D1014" s="5" t="inlineStr">
        <is>
          <t>GCO</t>
        </is>
      </c>
      <c r="E1014" s="5" t="inlineStr">
        <is>
          <t>42847922MDD3003</t>
        </is>
      </c>
      <c r="F1014" s="16">
        <f>HYPERLINK("https://vtmf.veevavault.com/ui/#doc_info/31474151/1/0", "42847922MDD3003-USA-S10-US10118-IP Destruction Form-06 Nov 2025 (v1.0)")</f>
        <v/>
      </c>
      <c r="G1014" s="5" t="inlineStr">
        <is>
          <t>IP and Trial Supplies</t>
        </is>
      </c>
      <c r="H1014" s="5" t="inlineStr">
        <is>
          <t>IP Documentation</t>
        </is>
      </c>
      <c r="I1014" s="5" t="inlineStr">
        <is>
          <t>IP Destruction Form</t>
        </is>
      </c>
      <c r="J1014" s="5" t="inlineStr">
        <is>
          <t>IPDF</t>
        </is>
      </c>
      <c r="K1014" s="6" t="n">
        <v>162</v>
      </c>
      <c r="L1014" s="7" t="n">
        <v>45967</v>
      </c>
      <c r="M1014" s="11" t="n">
        <v>46129</v>
      </c>
      <c r="N1014" s="5" t="inlineStr">
        <is>
          <t>Approved</t>
        </is>
      </c>
      <c r="O1014" s="5" t="inlineStr">
        <is>
          <t>Site</t>
        </is>
      </c>
      <c r="P1014" s="5" t="inlineStr">
        <is>
          <t>United States</t>
        </is>
      </c>
      <c r="Q1014" s="13" t="inlineStr">
        <is>
          <t>S10-US10118</t>
        </is>
      </c>
      <c r="R1014" s="5" t="inlineStr">
        <is>
          <t>Juliet Leshner</t>
        </is>
      </c>
      <c r="S1014" s="8" t="n">
        <v>46129.22247685185</v>
      </c>
    </row>
    <row r="1015" hidden="1" ht="29" customHeight="1">
      <c r="A1015" s="15">
        <f>HYPERLINK("https://vtmf.veevavault.com/ui/#doc_info/31474152/1/0", "VTMF-25397147")</f>
        <v/>
      </c>
      <c r="B1015" s="19" t="inlineStr">
        <is>
          <t>No</t>
        </is>
      </c>
      <c r="C1015" s="5" t="inlineStr">
        <is>
          <t>1.0</t>
        </is>
      </c>
      <c r="D1015" s="5" t="inlineStr">
        <is>
          <t>GCO</t>
        </is>
      </c>
      <c r="E1015" s="5" t="inlineStr">
        <is>
          <t>42847922MDD3003</t>
        </is>
      </c>
      <c r="F1015" s="16">
        <f>HYPERLINK("https://vtmf.veevavault.com/ui/#doc_info/31474152/1/0", "42847922MDD3003-USA-S10-US10214-IP Destruction Form-06 Nov 2025 (v1.0)")</f>
        <v/>
      </c>
      <c r="G1015" s="5" t="inlineStr">
        <is>
          <t>IP and Trial Supplies</t>
        </is>
      </c>
      <c r="H1015" s="5" t="inlineStr">
        <is>
          <t>IP Documentation</t>
        </is>
      </c>
      <c r="I1015" s="5" t="inlineStr">
        <is>
          <t>IP Destruction Form</t>
        </is>
      </c>
      <c r="J1015" s="5" t="inlineStr">
        <is>
          <t>IPDF</t>
        </is>
      </c>
      <c r="K1015" s="6" t="n">
        <v>162</v>
      </c>
      <c r="L1015" s="7" t="n">
        <v>45967</v>
      </c>
      <c r="M1015" s="11" t="n">
        <v>46129</v>
      </c>
      <c r="N1015" s="5" t="inlineStr">
        <is>
          <t>Approved</t>
        </is>
      </c>
      <c r="O1015" s="5" t="inlineStr">
        <is>
          <t>Site</t>
        </is>
      </c>
      <c r="P1015" s="5" t="inlineStr">
        <is>
          <t>United States</t>
        </is>
      </c>
      <c r="Q1015" s="13" t="inlineStr">
        <is>
          <t>S10-US10214</t>
        </is>
      </c>
      <c r="R1015" s="5" t="inlineStr">
        <is>
          <t>Juliet Leshner</t>
        </is>
      </c>
      <c r="S1015" s="8" t="n">
        <v>46129.22247685185</v>
      </c>
    </row>
    <row r="1016" hidden="1" ht="29" customHeight="1">
      <c r="A1016" s="15">
        <f>HYPERLINK("https://vtmf.veevavault.com/ui/#doc_info/31474153/1/0", "VTMF-25397148")</f>
        <v/>
      </c>
      <c r="B1016" s="19" t="inlineStr">
        <is>
          <t>No</t>
        </is>
      </c>
      <c r="C1016" s="5" t="inlineStr">
        <is>
          <t>1.0</t>
        </is>
      </c>
      <c r="D1016" s="5" t="inlineStr">
        <is>
          <t>GCO</t>
        </is>
      </c>
      <c r="E1016" s="5" t="inlineStr">
        <is>
          <t>42847922MDD3003</t>
        </is>
      </c>
      <c r="F1016" s="16">
        <f>HYPERLINK("https://vtmf.veevavault.com/ui/#doc_info/31474153/1/0", "42847922MDD3003-USA-S10-US10040-IP Destruction Form-07 Nov 2025 (v1.0)")</f>
        <v/>
      </c>
      <c r="G1016" s="5" t="inlineStr">
        <is>
          <t>IP and Trial Supplies</t>
        </is>
      </c>
      <c r="H1016" s="5" t="inlineStr">
        <is>
          <t>IP Documentation</t>
        </is>
      </c>
      <c r="I1016" s="5" t="inlineStr">
        <is>
          <t>IP Destruction Form</t>
        </is>
      </c>
      <c r="J1016" s="5" t="inlineStr">
        <is>
          <t>IPDF</t>
        </is>
      </c>
      <c r="K1016" s="6" t="n">
        <v>161</v>
      </c>
      <c r="L1016" s="7" t="n">
        <v>45968</v>
      </c>
      <c r="M1016" s="11" t="n">
        <v>46129</v>
      </c>
      <c r="N1016" s="5" t="inlineStr">
        <is>
          <t>Approved</t>
        </is>
      </c>
      <c r="O1016" s="5" t="inlineStr">
        <is>
          <t>Site</t>
        </is>
      </c>
      <c r="P1016" s="5" t="inlineStr">
        <is>
          <t>United States</t>
        </is>
      </c>
      <c r="Q1016" s="13" t="inlineStr">
        <is>
          <t>S10-US10040</t>
        </is>
      </c>
      <c r="R1016" s="5" t="inlineStr">
        <is>
          <t>Juliet Leshner</t>
        </is>
      </c>
      <c r="S1016" s="8" t="n">
        <v>46129.22247685185</v>
      </c>
    </row>
    <row r="1017" hidden="1" ht="29" customHeight="1">
      <c r="A1017" s="15">
        <f>HYPERLINK("https://vtmf.veevavault.com/ui/#doc_info/31474154/1/0", "VTMF-25397149")</f>
        <v/>
      </c>
      <c r="B1017" s="19" t="inlineStr">
        <is>
          <t>No</t>
        </is>
      </c>
      <c r="C1017" s="5" t="inlineStr">
        <is>
          <t>1.0</t>
        </is>
      </c>
      <c r="D1017" s="5" t="inlineStr">
        <is>
          <t>GCO</t>
        </is>
      </c>
      <c r="E1017" s="5" t="inlineStr">
        <is>
          <t>42847922MDD3003</t>
        </is>
      </c>
      <c r="F1017" s="16">
        <f>HYPERLINK("https://vtmf.veevavault.com/ui/#doc_info/31474154/1/0", "42847922MDD3003-USA-S10-US10148-IP Destruction Form-12 Nov 2025 (v1.0)")</f>
        <v/>
      </c>
      <c r="G1017" s="5" t="inlineStr">
        <is>
          <t>IP and Trial Supplies</t>
        </is>
      </c>
      <c r="H1017" s="5" t="inlineStr">
        <is>
          <t>IP Documentation</t>
        </is>
      </c>
      <c r="I1017" s="5" t="inlineStr">
        <is>
          <t>IP Destruction Form</t>
        </is>
      </c>
      <c r="J1017" s="5" t="inlineStr">
        <is>
          <t>IPDF</t>
        </is>
      </c>
      <c r="K1017" s="6" t="n">
        <v>156</v>
      </c>
      <c r="L1017" s="7" t="n">
        <v>45973</v>
      </c>
      <c r="M1017" s="11" t="n">
        <v>46129</v>
      </c>
      <c r="N1017" s="5" t="inlineStr">
        <is>
          <t>Approved</t>
        </is>
      </c>
      <c r="O1017" s="5" t="inlineStr">
        <is>
          <t>Site</t>
        </is>
      </c>
      <c r="P1017" s="5" t="inlineStr">
        <is>
          <t>United States</t>
        </is>
      </c>
      <c r="Q1017" s="13" t="inlineStr">
        <is>
          <t>S10-US10148</t>
        </is>
      </c>
      <c r="R1017" s="5" t="inlineStr">
        <is>
          <t>Juliet Leshner</t>
        </is>
      </c>
      <c r="S1017" s="8" t="n">
        <v>46129.22247685185</v>
      </c>
    </row>
    <row r="1018" hidden="1" ht="29" customHeight="1">
      <c r="A1018" s="15">
        <f>HYPERLINK("https://vtmf.veevavault.com/ui/#doc_info/31474155/1/0", "VTMF-25397150")</f>
        <v/>
      </c>
      <c r="B1018" s="19" t="inlineStr">
        <is>
          <t>No</t>
        </is>
      </c>
      <c r="C1018" s="5" t="inlineStr">
        <is>
          <t>1.0</t>
        </is>
      </c>
      <c r="D1018" s="5" t="inlineStr">
        <is>
          <t>GCO</t>
        </is>
      </c>
      <c r="E1018" s="5" t="inlineStr">
        <is>
          <t>42847922MDD3003</t>
        </is>
      </c>
      <c r="F1018" s="16">
        <f>HYPERLINK("https://vtmf.veevavault.com/ui/#doc_info/31474155/1/0", "42847922MDD3003-USA-S10-US10120-IP Destruction Form-17 Nov 2025 (v1.0)")</f>
        <v/>
      </c>
      <c r="G1018" s="5" t="inlineStr">
        <is>
          <t>IP and Trial Supplies</t>
        </is>
      </c>
      <c r="H1018" s="5" t="inlineStr">
        <is>
          <t>IP Documentation</t>
        </is>
      </c>
      <c r="I1018" s="5" t="inlineStr">
        <is>
          <t>IP Destruction Form</t>
        </is>
      </c>
      <c r="J1018" s="5" t="inlineStr">
        <is>
          <t>IPDF</t>
        </is>
      </c>
      <c r="K1018" s="6" t="n">
        <v>151</v>
      </c>
      <c r="L1018" s="7" t="n">
        <v>45978</v>
      </c>
      <c r="M1018" s="11" t="n">
        <v>46129</v>
      </c>
      <c r="N1018" s="5" t="inlineStr">
        <is>
          <t>Approved</t>
        </is>
      </c>
      <c r="O1018" s="5" t="inlineStr">
        <is>
          <t>Site</t>
        </is>
      </c>
      <c r="P1018" s="5" t="inlineStr">
        <is>
          <t>United States</t>
        </is>
      </c>
      <c r="Q1018" s="13" t="inlineStr">
        <is>
          <t>S10-US10120</t>
        </is>
      </c>
      <c r="R1018" s="5" t="inlineStr">
        <is>
          <t>Juliet Leshner</t>
        </is>
      </c>
      <c r="S1018" s="8" t="n">
        <v>46129.22247685185</v>
      </c>
    </row>
    <row r="1019" hidden="1" ht="29" customHeight="1">
      <c r="A1019" s="15">
        <f>HYPERLINK("https://vtmf.veevavault.com/ui/#doc_info/31474156/1/0", "VTMF-25397151")</f>
        <v/>
      </c>
      <c r="B1019" s="19" t="inlineStr">
        <is>
          <t>No</t>
        </is>
      </c>
      <c r="C1019" s="5" t="inlineStr">
        <is>
          <t>1.0</t>
        </is>
      </c>
      <c r="D1019" s="5" t="inlineStr">
        <is>
          <t>GCO</t>
        </is>
      </c>
      <c r="E1019" s="5" t="inlineStr">
        <is>
          <t>42847922MDD3003</t>
        </is>
      </c>
      <c r="F1019" s="16">
        <f>HYPERLINK("https://vtmf.veevavault.com/ui/#doc_info/31474156/1/0", "42847922MDD3003-USA-S10-US10103-IP Destruction Form-17 Nov 2025 (v1.0)")</f>
        <v/>
      </c>
      <c r="G1019" s="5" t="inlineStr">
        <is>
          <t>IP and Trial Supplies</t>
        </is>
      </c>
      <c r="H1019" s="5" t="inlineStr">
        <is>
          <t>IP Documentation</t>
        </is>
      </c>
      <c r="I1019" s="5" t="inlineStr">
        <is>
          <t>IP Destruction Form</t>
        </is>
      </c>
      <c r="J1019" s="5" t="inlineStr">
        <is>
          <t>IPDF</t>
        </is>
      </c>
      <c r="K1019" s="6" t="n">
        <v>151</v>
      </c>
      <c r="L1019" s="7" t="n">
        <v>45978</v>
      </c>
      <c r="M1019" s="11" t="n">
        <v>46129</v>
      </c>
      <c r="N1019" s="5" t="inlineStr">
        <is>
          <t>Approved</t>
        </is>
      </c>
      <c r="O1019" s="5" t="inlineStr">
        <is>
          <t>Site</t>
        </is>
      </c>
      <c r="P1019" s="5" t="inlineStr">
        <is>
          <t>United States</t>
        </is>
      </c>
      <c r="Q1019" s="13" t="inlineStr">
        <is>
          <t>S10-US10103</t>
        </is>
      </c>
      <c r="R1019" s="5" t="inlineStr">
        <is>
          <t>Juliet Leshner</t>
        </is>
      </c>
      <c r="S1019" s="8" t="n">
        <v>46129.22247685185</v>
      </c>
    </row>
    <row r="1020" hidden="1" ht="29" customHeight="1">
      <c r="A1020" s="15">
        <f>HYPERLINK("https://vtmf.veevavault.com/ui/#doc_info/31474157/1/0", "VTMF-25397152")</f>
        <v/>
      </c>
      <c r="B1020" s="19" t="inlineStr">
        <is>
          <t>No</t>
        </is>
      </c>
      <c r="C1020" s="5" t="inlineStr">
        <is>
          <t>1.0</t>
        </is>
      </c>
      <c r="D1020" s="5" t="inlineStr">
        <is>
          <t>GCO</t>
        </is>
      </c>
      <c r="E1020" s="5" t="inlineStr">
        <is>
          <t>42847922MDD3003</t>
        </is>
      </c>
      <c r="F1020" s="16">
        <f>HYPERLINK("https://vtmf.veevavault.com/ui/#doc_info/31474157/1/0", "42847922MDD3003-USA-S10-US10212-IP Destruction Form-18 Nov 2025 (v1.0)")</f>
        <v/>
      </c>
      <c r="G1020" s="5" t="inlineStr">
        <is>
          <t>IP and Trial Supplies</t>
        </is>
      </c>
      <c r="H1020" s="5" t="inlineStr">
        <is>
          <t>IP Documentation</t>
        </is>
      </c>
      <c r="I1020" s="5" t="inlineStr">
        <is>
          <t>IP Destruction Form</t>
        </is>
      </c>
      <c r="J1020" s="5" t="inlineStr">
        <is>
          <t>IPDF</t>
        </is>
      </c>
      <c r="K1020" s="6" t="n">
        <v>150</v>
      </c>
      <c r="L1020" s="7" t="n">
        <v>45979</v>
      </c>
      <c r="M1020" s="11" t="n">
        <v>46129</v>
      </c>
      <c r="N1020" s="5" t="inlineStr">
        <is>
          <t>Approved</t>
        </is>
      </c>
      <c r="O1020" s="5" t="inlineStr">
        <is>
          <t>Site</t>
        </is>
      </c>
      <c r="P1020" s="5" t="inlineStr">
        <is>
          <t>United States</t>
        </is>
      </c>
      <c r="Q1020" s="13" t="inlineStr">
        <is>
          <t>S10-US10212</t>
        </is>
      </c>
      <c r="R1020" s="5" t="inlineStr">
        <is>
          <t>Juliet Leshner</t>
        </is>
      </c>
      <c r="S1020" s="8" t="n">
        <v>46129.22247685185</v>
      </c>
    </row>
    <row r="1021" hidden="1" ht="29" customHeight="1">
      <c r="A1021" s="15">
        <f>HYPERLINK("https://vtmf.veevavault.com/ui/#doc_info/31474158/1/0", "VTMF-25397153")</f>
        <v/>
      </c>
      <c r="B1021" s="19" t="inlineStr">
        <is>
          <t>No</t>
        </is>
      </c>
      <c r="C1021" s="5" t="inlineStr">
        <is>
          <t>1.0</t>
        </is>
      </c>
      <c r="D1021" s="5" t="inlineStr">
        <is>
          <t>GCO</t>
        </is>
      </c>
      <c r="E1021" s="5" t="inlineStr">
        <is>
          <t>42847922MDD3003</t>
        </is>
      </c>
      <c r="F1021" s="16">
        <f>HYPERLINK("https://vtmf.veevavault.com/ui/#doc_info/31474158/1/0", "42847922MDD3003-USA-S10-US10219-IP Destruction Form-20 Nov 2025 (v1.0)")</f>
        <v/>
      </c>
      <c r="G1021" s="5" t="inlineStr">
        <is>
          <t>IP and Trial Supplies</t>
        </is>
      </c>
      <c r="H1021" s="5" t="inlineStr">
        <is>
          <t>IP Documentation</t>
        </is>
      </c>
      <c r="I1021" s="5" t="inlineStr">
        <is>
          <t>IP Destruction Form</t>
        </is>
      </c>
      <c r="J1021" s="5" t="inlineStr">
        <is>
          <t>IPDF</t>
        </is>
      </c>
      <c r="K1021" s="6" t="n">
        <v>148</v>
      </c>
      <c r="L1021" s="7" t="n">
        <v>45981</v>
      </c>
      <c r="M1021" s="11" t="n">
        <v>46129</v>
      </c>
      <c r="N1021" s="5" t="inlineStr">
        <is>
          <t>Approved</t>
        </is>
      </c>
      <c r="O1021" s="5" t="inlineStr">
        <is>
          <t>Site</t>
        </is>
      </c>
      <c r="P1021" s="5" t="inlineStr">
        <is>
          <t>United States</t>
        </is>
      </c>
      <c r="Q1021" s="13" t="inlineStr">
        <is>
          <t>S10-US10219</t>
        </is>
      </c>
      <c r="R1021" s="5" t="inlineStr">
        <is>
          <t>Juliet Leshner</t>
        </is>
      </c>
      <c r="S1021" s="8" t="n">
        <v>46129.22247685185</v>
      </c>
    </row>
    <row r="1022" hidden="1" ht="29" customHeight="1">
      <c r="A1022" s="15">
        <f>HYPERLINK("https://vtmf.veevavault.com/ui/#doc_info/31474159/1/0", "VTMF-25397154")</f>
        <v/>
      </c>
      <c r="B1022" s="19" t="inlineStr">
        <is>
          <t>No</t>
        </is>
      </c>
      <c r="C1022" s="5" t="inlineStr">
        <is>
          <t>1.0</t>
        </is>
      </c>
      <c r="D1022" s="5" t="inlineStr">
        <is>
          <t>GCO</t>
        </is>
      </c>
      <c r="E1022" s="5" t="inlineStr">
        <is>
          <t>42847922MDD3003</t>
        </is>
      </c>
      <c r="F1022" s="16">
        <f>HYPERLINK("https://vtmf.veevavault.com/ui/#doc_info/31474159/1/0", "42847922MDD3003-USA-S10-US10219-IP Destruction Form-20 Nov 2025 (v1.0)")</f>
        <v/>
      </c>
      <c r="G1022" s="5" t="inlineStr">
        <is>
          <t>IP and Trial Supplies</t>
        </is>
      </c>
      <c r="H1022" s="5" t="inlineStr">
        <is>
          <t>IP Documentation</t>
        </is>
      </c>
      <c r="I1022" s="5" t="inlineStr">
        <is>
          <t>IP Destruction Form</t>
        </is>
      </c>
      <c r="J1022" s="5" t="inlineStr">
        <is>
          <t>IPDF</t>
        </is>
      </c>
      <c r="K1022" s="6" t="n">
        <v>148</v>
      </c>
      <c r="L1022" s="7" t="n">
        <v>45981</v>
      </c>
      <c r="M1022" s="11" t="n">
        <v>46129</v>
      </c>
      <c r="N1022" s="5" t="inlineStr">
        <is>
          <t>Approved</t>
        </is>
      </c>
      <c r="O1022" s="5" t="inlineStr">
        <is>
          <t>Site</t>
        </is>
      </c>
      <c r="P1022" s="5" t="inlineStr">
        <is>
          <t>United States</t>
        </is>
      </c>
      <c r="Q1022" s="13" t="inlineStr">
        <is>
          <t>S10-US10219</t>
        </is>
      </c>
      <c r="R1022" s="5" t="inlineStr">
        <is>
          <t>Juliet Leshner</t>
        </is>
      </c>
      <c r="S1022" s="8" t="n">
        <v>46129.22247685185</v>
      </c>
    </row>
    <row r="1023" hidden="1" ht="29" customHeight="1">
      <c r="A1023" s="15">
        <f>HYPERLINK("https://vtmf.veevavault.com/ui/#doc_info/31474168/1/0", "VTMF-25397163")</f>
        <v/>
      </c>
      <c r="B1023" s="19" t="inlineStr">
        <is>
          <t>No</t>
        </is>
      </c>
      <c r="C1023" s="5" t="inlineStr">
        <is>
          <t>1.0</t>
        </is>
      </c>
      <c r="D1023" s="5" t="inlineStr">
        <is>
          <t>GCO</t>
        </is>
      </c>
      <c r="E1023" s="5" t="inlineStr">
        <is>
          <t>42847922MDD3003</t>
        </is>
      </c>
      <c r="F1023" s="16">
        <f>HYPERLINK("https://vtmf.veevavault.com/ui/#doc_info/31474168/1/0", "42847922MDD3003-USA-S10-US10022-IP Destruction Form-14 Nov 2025 (v1.0)")</f>
        <v/>
      </c>
      <c r="G1023" s="5" t="inlineStr">
        <is>
          <t>IP and Trial Supplies</t>
        </is>
      </c>
      <c r="H1023" s="5" t="inlineStr">
        <is>
          <t>IP Documentation</t>
        </is>
      </c>
      <c r="I1023" s="5" t="inlineStr">
        <is>
          <t>IP Destruction Form</t>
        </is>
      </c>
      <c r="J1023" s="5" t="inlineStr">
        <is>
          <t>IPDF</t>
        </is>
      </c>
      <c r="K1023" s="6" t="n">
        <v>154</v>
      </c>
      <c r="L1023" s="7" t="n">
        <v>45975</v>
      </c>
      <c r="M1023" s="11" t="n">
        <v>46129</v>
      </c>
      <c r="N1023" s="5" t="inlineStr">
        <is>
          <t>Approved</t>
        </is>
      </c>
      <c r="O1023" s="5" t="inlineStr">
        <is>
          <t>Site</t>
        </is>
      </c>
      <c r="P1023" s="5" t="inlineStr">
        <is>
          <t>United States</t>
        </is>
      </c>
      <c r="Q1023" s="13" t="inlineStr">
        <is>
          <t>S10-US10022</t>
        </is>
      </c>
      <c r="R1023" s="5" t="inlineStr">
        <is>
          <t>Juliet Leshner</t>
        </is>
      </c>
      <c r="S1023" s="8" t="n">
        <v>46129.22247685185</v>
      </c>
    </row>
    <row r="1024" hidden="1" ht="29" customHeight="1">
      <c r="A1024" s="15">
        <f>HYPERLINK("https://vtmf.veevavault.com/ui/#doc_info/31474197/1/0", "VTMF-25397193")</f>
        <v/>
      </c>
      <c r="B1024" s="19" t="inlineStr">
        <is>
          <t>No</t>
        </is>
      </c>
      <c r="C1024" s="5" t="inlineStr">
        <is>
          <t>1.0</t>
        </is>
      </c>
      <c r="D1024" s="5" t="inlineStr">
        <is>
          <t>GCO</t>
        </is>
      </c>
      <c r="E1024" s="5" t="inlineStr">
        <is>
          <t>42847922MDD3003</t>
        </is>
      </c>
      <c r="F1024" s="16">
        <f>HYPERLINK("https://vtmf.veevavault.com/ui/#doc_info/31474197/1/0", "42847922MDD3003-USA-S10-US10007-IP Destruction Form-01 Dec 2025 (v1.0)")</f>
        <v/>
      </c>
      <c r="G1024" s="5" t="inlineStr">
        <is>
          <t>IP and Trial Supplies</t>
        </is>
      </c>
      <c r="H1024" s="5" t="inlineStr">
        <is>
          <t>IP Documentation</t>
        </is>
      </c>
      <c r="I1024" s="5" t="inlineStr">
        <is>
          <t>IP Destruction Form</t>
        </is>
      </c>
      <c r="J1024" s="5" t="inlineStr">
        <is>
          <t>IPDF</t>
        </is>
      </c>
      <c r="K1024" s="6" t="n">
        <v>137</v>
      </c>
      <c r="L1024" s="7" t="n">
        <v>45992</v>
      </c>
      <c r="M1024" s="11" t="n">
        <v>46129</v>
      </c>
      <c r="N1024" s="5" t="inlineStr">
        <is>
          <t>Approved</t>
        </is>
      </c>
      <c r="O1024" s="5" t="inlineStr">
        <is>
          <t>Site</t>
        </is>
      </c>
      <c r="P1024" s="5" t="inlineStr">
        <is>
          <t>United States</t>
        </is>
      </c>
      <c r="Q1024" s="13" t="inlineStr">
        <is>
          <t>S10-US10007</t>
        </is>
      </c>
      <c r="R1024" s="5" t="inlineStr">
        <is>
          <t>Juliet Leshner</t>
        </is>
      </c>
      <c r="S1024" s="8" t="n">
        <v>46129.22554398148</v>
      </c>
    </row>
    <row r="1025" hidden="1" ht="29" customHeight="1">
      <c r="A1025" s="15">
        <f>HYPERLINK("https://vtmf.veevavault.com/ui/#doc_info/31474198/1/0", "VTMF-25397194")</f>
        <v/>
      </c>
      <c r="B1025" s="19" t="inlineStr">
        <is>
          <t>No</t>
        </is>
      </c>
      <c r="C1025" s="5" t="inlineStr">
        <is>
          <t>1.0</t>
        </is>
      </c>
      <c r="D1025" s="5" t="inlineStr">
        <is>
          <t>GCO</t>
        </is>
      </c>
      <c r="E1025" s="5" t="inlineStr">
        <is>
          <t>42847922MDD3003</t>
        </is>
      </c>
      <c r="F1025" s="16">
        <f>HYPERLINK("https://vtmf.veevavault.com/ui/#doc_info/31474198/1/0", "42847922MDD3003-USA-S10-US10207-IP Destruction Form-04 Dec 2025 (v1.0)")</f>
        <v/>
      </c>
      <c r="G1025" s="5" t="inlineStr">
        <is>
          <t>IP and Trial Supplies</t>
        </is>
      </c>
      <c r="H1025" s="5" t="inlineStr">
        <is>
          <t>IP Documentation</t>
        </is>
      </c>
      <c r="I1025" s="5" t="inlineStr">
        <is>
          <t>IP Destruction Form</t>
        </is>
      </c>
      <c r="J1025" s="5" t="inlineStr">
        <is>
          <t>IPDF</t>
        </is>
      </c>
      <c r="K1025" s="6" t="n">
        <v>134</v>
      </c>
      <c r="L1025" s="7" t="n">
        <v>45995</v>
      </c>
      <c r="M1025" s="11" t="n">
        <v>46129</v>
      </c>
      <c r="N1025" s="5" t="inlineStr">
        <is>
          <t>Approved</t>
        </is>
      </c>
      <c r="O1025" s="5" t="inlineStr">
        <is>
          <t>Site</t>
        </is>
      </c>
      <c r="P1025" s="5" t="inlineStr">
        <is>
          <t>United States</t>
        </is>
      </c>
      <c r="Q1025" s="13" t="inlineStr">
        <is>
          <t>S10-US10207</t>
        </is>
      </c>
      <c r="R1025" s="5" t="inlineStr">
        <is>
          <t>Juliet Leshner</t>
        </is>
      </c>
      <c r="S1025" s="8" t="n">
        <v>46129.22554398148</v>
      </c>
    </row>
    <row r="1026" hidden="1" ht="29" customHeight="1">
      <c r="A1026" s="15">
        <f>HYPERLINK("https://vtmf.veevavault.com/ui/#doc_info/31474199/1/0", "VTMF-25397195")</f>
        <v/>
      </c>
      <c r="B1026" s="19" t="inlineStr">
        <is>
          <t>No</t>
        </is>
      </c>
      <c r="C1026" s="5" t="inlineStr">
        <is>
          <t>1.0</t>
        </is>
      </c>
      <c r="D1026" s="5" t="inlineStr">
        <is>
          <t>GCO</t>
        </is>
      </c>
      <c r="E1026" s="5" t="inlineStr">
        <is>
          <t>42847922MDD3003</t>
        </is>
      </c>
      <c r="F1026" s="16">
        <f>HYPERLINK("https://vtmf.veevavault.com/ui/#doc_info/31474199/1/0", "42847922MDD3003-USA-S10-US10264-IP Destruction Form-09 Dec 2025 (v1.0)")</f>
        <v/>
      </c>
      <c r="G1026" s="5" t="inlineStr">
        <is>
          <t>IP and Trial Supplies</t>
        </is>
      </c>
      <c r="H1026" s="5" t="inlineStr">
        <is>
          <t>IP Documentation</t>
        </is>
      </c>
      <c r="I1026" s="5" t="inlineStr">
        <is>
          <t>IP Destruction Form</t>
        </is>
      </c>
      <c r="J1026" s="5" t="inlineStr">
        <is>
          <t>IPDF</t>
        </is>
      </c>
      <c r="K1026" s="6" t="n">
        <v>129</v>
      </c>
      <c r="L1026" s="7" t="n">
        <v>46000</v>
      </c>
      <c r="M1026" s="11" t="n">
        <v>46129</v>
      </c>
      <c r="N1026" s="5" t="inlineStr">
        <is>
          <t>Approved</t>
        </is>
      </c>
      <c r="O1026" s="5" t="inlineStr">
        <is>
          <t>Site</t>
        </is>
      </c>
      <c r="P1026" s="5" t="inlineStr">
        <is>
          <t>United States</t>
        </is>
      </c>
      <c r="Q1026" s="13" t="inlineStr">
        <is>
          <t>S10-US10264</t>
        </is>
      </c>
      <c r="R1026" s="5" t="inlineStr">
        <is>
          <t>Juliet Leshner</t>
        </is>
      </c>
      <c r="S1026" s="8" t="n">
        <v>46129.22554398148</v>
      </c>
    </row>
    <row r="1027" hidden="1" ht="29" customHeight="1">
      <c r="A1027" s="15">
        <f>HYPERLINK("https://vtmf.veevavault.com/ui/#doc_info/31474200/1/0", "VTMF-25397196")</f>
        <v/>
      </c>
      <c r="B1027" s="19" t="inlineStr">
        <is>
          <t>No</t>
        </is>
      </c>
      <c r="C1027" s="5" t="inlineStr">
        <is>
          <t>1.0</t>
        </is>
      </c>
      <c r="D1027" s="5" t="inlineStr">
        <is>
          <t>GCO</t>
        </is>
      </c>
      <c r="E1027" s="5" t="inlineStr">
        <is>
          <t>42847922MDD3003</t>
        </is>
      </c>
      <c r="F1027" s="16">
        <f>HYPERLINK("https://vtmf.veevavault.com/ui/#doc_info/31474200/1/0", "42847922MDD3003-USA-S10-US10041-IP Destruction Form-09 Dec 2025 (v1.0)")</f>
        <v/>
      </c>
      <c r="G1027" s="5" t="inlineStr">
        <is>
          <t>IP and Trial Supplies</t>
        </is>
      </c>
      <c r="H1027" s="5" t="inlineStr">
        <is>
          <t>IP Documentation</t>
        </is>
      </c>
      <c r="I1027" s="5" t="inlineStr">
        <is>
          <t>IP Destruction Form</t>
        </is>
      </c>
      <c r="J1027" s="5" t="inlineStr">
        <is>
          <t>IPDF</t>
        </is>
      </c>
      <c r="K1027" s="6" t="n">
        <v>129</v>
      </c>
      <c r="L1027" s="7" t="n">
        <v>46000</v>
      </c>
      <c r="M1027" s="11" t="n">
        <v>46129</v>
      </c>
      <c r="N1027" s="5" t="inlineStr">
        <is>
          <t>Approved</t>
        </is>
      </c>
      <c r="O1027" s="5" t="inlineStr">
        <is>
          <t>Site</t>
        </is>
      </c>
      <c r="P1027" s="5" t="inlineStr">
        <is>
          <t>United States</t>
        </is>
      </c>
      <c r="Q1027" s="13" t="inlineStr">
        <is>
          <t>S10-US10041</t>
        </is>
      </c>
      <c r="R1027" s="5" t="inlineStr">
        <is>
          <t>Juliet Leshner</t>
        </is>
      </c>
      <c r="S1027" s="8" t="n">
        <v>46129.22554398148</v>
      </c>
    </row>
    <row r="1028" hidden="1" ht="29" customHeight="1">
      <c r="A1028" s="15">
        <f>HYPERLINK("https://vtmf.veevavault.com/ui/#doc_info/31474201/1/0", "VTMF-25397197")</f>
        <v/>
      </c>
      <c r="B1028" s="19" t="inlineStr">
        <is>
          <t>No</t>
        </is>
      </c>
      <c r="C1028" s="5" t="inlineStr">
        <is>
          <t>1.0</t>
        </is>
      </c>
      <c r="D1028" s="5" t="inlineStr">
        <is>
          <t>GCO</t>
        </is>
      </c>
      <c r="E1028" s="5" t="inlineStr">
        <is>
          <t>42847922MDD3003</t>
        </is>
      </c>
      <c r="F1028" s="16">
        <f>HYPERLINK("https://vtmf.veevavault.com/ui/#doc_info/31474201/1/0", "42847922MDD3003-USA-S10-US10071-IP Destruction Form-16 Dec 2025 (v1.0)")</f>
        <v/>
      </c>
      <c r="G1028" s="5" t="inlineStr">
        <is>
          <t>IP and Trial Supplies</t>
        </is>
      </c>
      <c r="H1028" s="5" t="inlineStr">
        <is>
          <t>IP Documentation</t>
        </is>
      </c>
      <c r="I1028" s="5" t="inlineStr">
        <is>
          <t>IP Destruction Form</t>
        </is>
      </c>
      <c r="J1028" s="5" t="inlineStr">
        <is>
          <t>IPDF</t>
        </is>
      </c>
      <c r="K1028" s="6" t="n">
        <v>122</v>
      </c>
      <c r="L1028" s="7" t="n">
        <v>46007</v>
      </c>
      <c r="M1028" s="11" t="n">
        <v>46129</v>
      </c>
      <c r="N1028" s="5" t="inlineStr">
        <is>
          <t>Approved</t>
        </is>
      </c>
      <c r="O1028" s="5" t="inlineStr">
        <is>
          <t>Site</t>
        </is>
      </c>
      <c r="P1028" s="5" t="inlineStr">
        <is>
          <t>United States</t>
        </is>
      </c>
      <c r="Q1028" s="13" t="inlineStr">
        <is>
          <t>S10-US10071</t>
        </is>
      </c>
      <c r="R1028" s="5" t="inlineStr">
        <is>
          <t>Juliet Leshner</t>
        </is>
      </c>
      <c r="S1028" s="8" t="n">
        <v>46129.22554398148</v>
      </c>
    </row>
    <row r="1029" hidden="1" ht="29" customHeight="1">
      <c r="A1029" s="15">
        <f>HYPERLINK("https://vtmf.veevavault.com/ui/#doc_info/31474202/1/0", "VTMF-25397198")</f>
        <v/>
      </c>
      <c r="B1029" s="19" t="inlineStr">
        <is>
          <t>No</t>
        </is>
      </c>
      <c r="C1029" s="5" t="inlineStr">
        <is>
          <t>1.0</t>
        </is>
      </c>
      <c r="D1029" s="5" t="inlineStr">
        <is>
          <t>GCO</t>
        </is>
      </c>
      <c r="E1029" s="5" t="inlineStr">
        <is>
          <t>42847922MDD3003</t>
        </is>
      </c>
      <c r="F1029" s="16">
        <f>HYPERLINK("https://vtmf.veevavault.com/ui/#doc_info/31474202/1/0", "42847922MDD3003-USA-S10-US10091-IP Destruction Form-18 Dec 2025 (v1.0)")</f>
        <v/>
      </c>
      <c r="G1029" s="5" t="inlineStr">
        <is>
          <t>IP and Trial Supplies</t>
        </is>
      </c>
      <c r="H1029" s="5" t="inlineStr">
        <is>
          <t>IP Documentation</t>
        </is>
      </c>
      <c r="I1029" s="5" t="inlineStr">
        <is>
          <t>IP Destruction Form</t>
        </is>
      </c>
      <c r="J1029" s="5" t="inlineStr">
        <is>
          <t>IPDF</t>
        </is>
      </c>
      <c r="K1029" s="6" t="n">
        <v>120</v>
      </c>
      <c r="L1029" s="7" t="n">
        <v>46009</v>
      </c>
      <c r="M1029" s="11" t="n">
        <v>46129</v>
      </c>
      <c r="N1029" s="5" t="inlineStr">
        <is>
          <t>Approved</t>
        </is>
      </c>
      <c r="O1029" s="5" t="inlineStr">
        <is>
          <t>Site</t>
        </is>
      </c>
      <c r="P1029" s="5" t="inlineStr">
        <is>
          <t>United States</t>
        </is>
      </c>
      <c r="Q1029" s="13" t="inlineStr">
        <is>
          <t>S10-US10091</t>
        </is>
      </c>
      <c r="R1029" s="5" t="inlineStr">
        <is>
          <t>Juliet Leshner</t>
        </is>
      </c>
      <c r="S1029" s="8" t="n">
        <v>46129.22554398148</v>
      </c>
    </row>
    <row r="1030" hidden="1" ht="29" customHeight="1">
      <c r="A1030" s="15">
        <f>HYPERLINK("https://vtmf.veevavault.com/ui/#doc_info/31474203/1/0", "VTMF-25397199")</f>
        <v/>
      </c>
      <c r="B1030" s="19" t="inlineStr">
        <is>
          <t>No</t>
        </is>
      </c>
      <c r="C1030" s="5" t="inlineStr">
        <is>
          <t>1.0</t>
        </is>
      </c>
      <c r="D1030" s="5" t="inlineStr">
        <is>
          <t>GCO</t>
        </is>
      </c>
      <c r="E1030" s="5" t="inlineStr">
        <is>
          <t>42847922MDD3003</t>
        </is>
      </c>
      <c r="F1030" s="16">
        <f>HYPERLINK("https://vtmf.veevavault.com/ui/#doc_info/31474203/1/0", "42847922MDD3003-USA-S10-US10091-IP Destruction Form-18 Dec 2025 (v1.0)")</f>
        <v/>
      </c>
      <c r="G1030" s="5" t="inlineStr">
        <is>
          <t>IP and Trial Supplies</t>
        </is>
      </c>
      <c r="H1030" s="5" t="inlineStr">
        <is>
          <t>IP Documentation</t>
        </is>
      </c>
      <c r="I1030" s="5" t="inlineStr">
        <is>
          <t>IP Destruction Form</t>
        </is>
      </c>
      <c r="J1030" s="5" t="inlineStr">
        <is>
          <t>IPDF</t>
        </is>
      </c>
      <c r="K1030" s="6" t="n">
        <v>120</v>
      </c>
      <c r="L1030" s="7" t="n">
        <v>46009</v>
      </c>
      <c r="M1030" s="11" t="n">
        <v>46129</v>
      </c>
      <c r="N1030" s="5" t="inlineStr">
        <is>
          <t>Approved</t>
        </is>
      </c>
      <c r="O1030" s="5" t="inlineStr">
        <is>
          <t>Site</t>
        </is>
      </c>
      <c r="P1030" s="5" t="inlineStr">
        <is>
          <t>United States</t>
        </is>
      </c>
      <c r="Q1030" s="13" t="inlineStr">
        <is>
          <t>S10-US10091</t>
        </is>
      </c>
      <c r="R1030" s="5" t="inlineStr">
        <is>
          <t>Juliet Leshner</t>
        </is>
      </c>
      <c r="S1030" s="8" t="n">
        <v>46129.22554398148</v>
      </c>
    </row>
    <row r="1031" hidden="1" ht="29" customHeight="1">
      <c r="A1031" s="15">
        <f>HYPERLINK("https://vtmf.veevavault.com/ui/#doc_info/31474204/1/0", "VTMF-25397200")</f>
        <v/>
      </c>
      <c r="B1031" s="19" t="inlineStr">
        <is>
          <t>No</t>
        </is>
      </c>
      <c r="C1031" s="5" t="inlineStr">
        <is>
          <t>1.0</t>
        </is>
      </c>
      <c r="D1031" s="5" t="inlineStr">
        <is>
          <t>GCO</t>
        </is>
      </c>
      <c r="E1031" s="5" t="inlineStr">
        <is>
          <t>42847922MDD3003</t>
        </is>
      </c>
      <c r="F1031" s="16">
        <f>HYPERLINK("https://vtmf.veevavault.com/ui/#doc_info/31474204/1/0", "42847922MDD3003-USA-S10-US10064-IP Destruction Form-18 Dec 2025 (v1.0)")</f>
        <v/>
      </c>
      <c r="G1031" s="5" t="inlineStr">
        <is>
          <t>IP and Trial Supplies</t>
        </is>
      </c>
      <c r="H1031" s="5" t="inlineStr">
        <is>
          <t>IP Documentation</t>
        </is>
      </c>
      <c r="I1031" s="5" t="inlineStr">
        <is>
          <t>IP Destruction Form</t>
        </is>
      </c>
      <c r="J1031" s="5" t="inlineStr">
        <is>
          <t>IPDF</t>
        </is>
      </c>
      <c r="K1031" s="6" t="n">
        <v>120</v>
      </c>
      <c r="L1031" s="7" t="n">
        <v>46009</v>
      </c>
      <c r="M1031" s="11" t="n">
        <v>46129</v>
      </c>
      <c r="N1031" s="5" t="inlineStr">
        <is>
          <t>Approved</t>
        </is>
      </c>
      <c r="O1031" s="5" t="inlineStr">
        <is>
          <t>Site</t>
        </is>
      </c>
      <c r="P1031" s="5" t="inlineStr">
        <is>
          <t>United States</t>
        </is>
      </c>
      <c r="Q1031" s="13" t="inlineStr">
        <is>
          <t>S10-US10064</t>
        </is>
      </c>
      <c r="R1031" s="5" t="inlineStr">
        <is>
          <t>Juliet Leshner</t>
        </is>
      </c>
      <c r="S1031" s="8" t="n">
        <v>46129.22554398148</v>
      </c>
    </row>
    <row r="1032" hidden="1" ht="29" customHeight="1">
      <c r="A1032" s="15">
        <f>HYPERLINK("https://vtmf.veevavault.com/ui/#doc_info/31476307/1/0", "VTMF-25399226")</f>
        <v/>
      </c>
      <c r="B1032" s="20" t="inlineStr">
        <is>
          <t>Yes</t>
        </is>
      </c>
      <c r="C1032" s="5" t="inlineStr">
        <is>
          <t>1.0</t>
        </is>
      </c>
      <c r="D1032" s="5" t="inlineStr">
        <is>
          <t>GCO</t>
        </is>
      </c>
      <c r="E1032" s="5" t="inlineStr">
        <is>
          <t>42847922MDD3003</t>
        </is>
      </c>
      <c r="F1032" s="16">
        <f>HYPERLINK("https://vtmf.veevavault.com/ui/#doc_info/31476307/1/0", "42847922MDD3003-USA-S10-US10012-Relevant Communications-30 Dec 2024 (v1.0)")</f>
        <v/>
      </c>
      <c r="G1032" s="5" t="inlineStr">
        <is>
          <t>Site Management</t>
        </is>
      </c>
      <c r="H1032" s="5" t="inlineStr">
        <is>
          <t>General</t>
        </is>
      </c>
      <c r="I1032" s="5" t="inlineStr">
        <is>
          <t>Relevant Communications</t>
        </is>
      </c>
      <c r="J1032" s="5" t="inlineStr">
        <is>
          <t>Visit part 2 OL Induction day 29_S10-US10012 Subject US100120002</t>
        </is>
      </c>
      <c r="K1032" s="6" t="n">
        <v>473</v>
      </c>
      <c r="L1032" s="7" t="n">
        <v>45656</v>
      </c>
      <c r="M1032" s="11" t="n">
        <v>46129</v>
      </c>
      <c r="N1032" s="5" t="inlineStr">
        <is>
          <t>Approved</t>
        </is>
      </c>
      <c r="O1032" s="5" t="inlineStr">
        <is>
          <t>Site</t>
        </is>
      </c>
      <c r="P1032" s="5" t="inlineStr">
        <is>
          <t>United States</t>
        </is>
      </c>
      <c r="Q1032" s="13" t="inlineStr">
        <is>
          <t>S10-US10012</t>
        </is>
      </c>
      <c r="R1032" s="5" t="inlineStr">
        <is>
          <t>Aurora Barbera</t>
        </is>
      </c>
      <c r="S1032" s="8" t="n">
        <v>46129.44730324074</v>
      </c>
    </row>
    <row r="1033" hidden="1" ht="29" customHeight="1">
      <c r="A1033" s="15">
        <f>HYPERLINK("https://vtmf.veevavault.com/ui/#doc_info/31476314/1/0", "VTMF-25399244")</f>
        <v/>
      </c>
      <c r="B1033" s="20" t="inlineStr">
        <is>
          <t>Yes</t>
        </is>
      </c>
      <c r="C1033" s="5" t="inlineStr">
        <is>
          <t>1.0</t>
        </is>
      </c>
      <c r="D1033" s="5" t="inlineStr">
        <is>
          <t>GCO</t>
        </is>
      </c>
      <c r="E1033" s="5" t="inlineStr">
        <is>
          <t>42847922MDD3003</t>
        </is>
      </c>
      <c r="F1033" s="16">
        <f>HYPERLINK("https://vtmf.veevavault.com/ui/#doc_info/31476314/1/0", "42847922MDD3003-ARG-S10-AR10010-Relevant Communications-03 Jan 2025 (v1.0)")</f>
        <v/>
      </c>
      <c r="G1033" s="5" t="inlineStr">
        <is>
          <t>Site Management</t>
        </is>
      </c>
      <c r="H1033" s="5" t="inlineStr">
        <is>
          <t>General</t>
        </is>
      </c>
      <c r="I1033" s="5" t="inlineStr">
        <is>
          <t>Relevant Communications</t>
        </is>
      </c>
      <c r="J1033" s="5" t="inlineStr">
        <is>
          <t>Screening extension request_S10-AR10010 Subject AR100100002</t>
        </is>
      </c>
      <c r="K1033" s="6" t="n">
        <v>469</v>
      </c>
      <c r="L1033" s="7" t="n">
        <v>45660</v>
      </c>
      <c r="M1033" s="11" t="n">
        <v>46129</v>
      </c>
      <c r="N1033" s="5" t="inlineStr">
        <is>
          <t>Approved</t>
        </is>
      </c>
      <c r="O1033" s="5" t="inlineStr">
        <is>
          <t>Site</t>
        </is>
      </c>
      <c r="P1033" s="5" t="inlineStr">
        <is>
          <t>Argentina</t>
        </is>
      </c>
      <c r="Q1033" s="13" t="inlineStr">
        <is>
          <t>S10-AR10010</t>
        </is>
      </c>
      <c r="R1033" s="5" t="inlineStr">
        <is>
          <t>Aurora Barbera</t>
        </is>
      </c>
      <c r="S1033" s="8" t="n">
        <v>46129.45001157407</v>
      </c>
    </row>
    <row r="1034" hidden="1" ht="29" customHeight="1">
      <c r="A1034" s="15">
        <f>HYPERLINK("https://vtmf.veevavault.com/ui/#doc_info/31476325/1/0", "VTMF-25399261")</f>
        <v/>
      </c>
      <c r="B1034" s="20" t="inlineStr">
        <is>
          <t>Yes</t>
        </is>
      </c>
      <c r="C1034" s="5" t="inlineStr">
        <is>
          <t>1.0</t>
        </is>
      </c>
      <c r="D1034" s="5" t="inlineStr">
        <is>
          <t>GCO</t>
        </is>
      </c>
      <c r="E1034" s="5" t="inlineStr">
        <is>
          <t>42847922MDD3003</t>
        </is>
      </c>
      <c r="F1034" s="16">
        <f>HYPERLINK("https://vtmf.veevavault.com/ui/#doc_info/31476325/1/0", "42847922MDD3003-USA-S10-US10108-Relevant Communications-03 Jan 2025 (v1.0)")</f>
        <v/>
      </c>
      <c r="G1034" s="5" t="inlineStr">
        <is>
          <t>Site Management</t>
        </is>
      </c>
      <c r="H1034" s="5" t="inlineStr">
        <is>
          <t>General</t>
        </is>
      </c>
      <c r="I1034" s="5" t="inlineStr">
        <is>
          <t>Relevant Communications</t>
        </is>
      </c>
      <c r="J1034" s="5" t="inlineStr">
        <is>
          <t>Visit Part 1 screening_S10-US10108 Subject US101080003</t>
        </is>
      </c>
      <c r="K1034" s="6" t="n">
        <v>469</v>
      </c>
      <c r="L1034" s="7" t="n">
        <v>45660</v>
      </c>
      <c r="M1034" s="11" t="n">
        <v>46129</v>
      </c>
      <c r="N1034" s="5" t="inlineStr">
        <is>
          <t>Approved</t>
        </is>
      </c>
      <c r="O1034" s="5" t="inlineStr">
        <is>
          <t>Site</t>
        </is>
      </c>
      <c r="P1034" s="5" t="inlineStr">
        <is>
          <t>United States</t>
        </is>
      </c>
      <c r="Q1034" s="13" t="inlineStr">
        <is>
          <t>S10-US10108</t>
        </is>
      </c>
      <c r="R1034" s="5" t="inlineStr">
        <is>
          <t>Aurora Barbera</t>
        </is>
      </c>
      <c r="S1034" s="8" t="n">
        <v>46129.45318287037</v>
      </c>
    </row>
    <row r="1035" hidden="1" ht="29" customHeight="1">
      <c r="A1035" s="15">
        <f>HYPERLINK("https://vtmf.veevavault.com/ui/#doc_info/31476338/1/0", "VTMF-25399281")</f>
        <v/>
      </c>
      <c r="B1035" s="20" t="inlineStr">
        <is>
          <t>Yes</t>
        </is>
      </c>
      <c r="C1035" s="5" t="inlineStr">
        <is>
          <t>1.0</t>
        </is>
      </c>
      <c r="D1035" s="5" t="inlineStr">
        <is>
          <t>GCO</t>
        </is>
      </c>
      <c r="E1035" s="5" t="inlineStr">
        <is>
          <t>42847922MDD3003</t>
        </is>
      </c>
      <c r="F1035" s="16">
        <f>HYPERLINK("https://vtmf.veevavault.com/ui/#doc_info/31476338/1/0", "42847922MDD3003-USA-S10-US10212-Relevant Communications-05 Jan 2025 (v1.0)")</f>
        <v/>
      </c>
      <c r="G1035" s="5" t="inlineStr">
        <is>
          <t>Site Management</t>
        </is>
      </c>
      <c r="H1035" s="5" t="inlineStr">
        <is>
          <t>General</t>
        </is>
      </c>
      <c r="I1035" s="5" t="inlineStr">
        <is>
          <t>Relevant Communications</t>
        </is>
      </c>
      <c r="J1035" s="5" t="inlineStr">
        <is>
          <t>Visit retest_US10212 Subject US102120002</t>
        </is>
      </c>
      <c r="K1035" s="6" t="n">
        <v>467</v>
      </c>
      <c r="L1035" s="7" t="n">
        <v>45662</v>
      </c>
      <c r="M1035" s="11" t="n">
        <v>46129</v>
      </c>
      <c r="N1035" s="5" t="inlineStr">
        <is>
          <t>Approved</t>
        </is>
      </c>
      <c r="O1035" s="5" t="inlineStr">
        <is>
          <t>Site</t>
        </is>
      </c>
      <c r="P1035" s="5" t="inlineStr">
        <is>
          <t>United States</t>
        </is>
      </c>
      <c r="Q1035" s="13" t="inlineStr">
        <is>
          <t>S10-US10212</t>
        </is>
      </c>
      <c r="R1035" s="5" t="inlineStr">
        <is>
          <t>Aurora Barbera</t>
        </is>
      </c>
      <c r="S1035" s="8" t="n">
        <v>46129.45553240741</v>
      </c>
    </row>
    <row r="1036" hidden="1" ht="29" customHeight="1">
      <c r="A1036" s="15">
        <f>HYPERLINK("https://vtmf.veevavault.com/ui/#doc_info/31476344/1/0", "VTMF-25399297")</f>
        <v/>
      </c>
      <c r="B1036" s="20" t="inlineStr">
        <is>
          <t>Yes</t>
        </is>
      </c>
      <c r="C1036" s="5" t="inlineStr">
        <is>
          <t>1.0</t>
        </is>
      </c>
      <c r="D1036" s="5" t="inlineStr">
        <is>
          <t>GCO</t>
        </is>
      </c>
      <c r="E1036" s="5" t="inlineStr">
        <is>
          <t>42847922MDD3003</t>
        </is>
      </c>
      <c r="F1036" s="16">
        <f>HYPERLINK("https://vtmf.veevavault.com/ui/#doc_info/31476344/1/0", "42847922MDD3003-USA-S10-US10212-Relevant Communications-06 Jan 2025 (v1.0)")</f>
        <v/>
      </c>
      <c r="G1036" s="5" t="inlineStr">
        <is>
          <t>Site Management</t>
        </is>
      </c>
      <c r="H1036" s="5" t="inlineStr">
        <is>
          <t>General</t>
        </is>
      </c>
      <c r="I1036" s="5" t="inlineStr">
        <is>
          <t>Relevant Communications</t>
        </is>
      </c>
      <c r="J1036" s="5" t="inlineStr">
        <is>
          <t>Visit part 1 screening_S10-US10212 Subject US102120002</t>
        </is>
      </c>
      <c r="K1036" s="6" t="n">
        <v>466</v>
      </c>
      <c r="L1036" s="7" t="n">
        <v>45663</v>
      </c>
      <c r="M1036" s="11" t="n">
        <v>46129</v>
      </c>
      <c r="N1036" s="5" t="inlineStr">
        <is>
          <t>Approved</t>
        </is>
      </c>
      <c r="O1036" s="5" t="inlineStr">
        <is>
          <t>Site</t>
        </is>
      </c>
      <c r="P1036" s="5" t="inlineStr">
        <is>
          <t>United States</t>
        </is>
      </c>
      <c r="Q1036" s="13" t="inlineStr">
        <is>
          <t>S10-US10212</t>
        </is>
      </c>
      <c r="R1036" s="5" t="inlineStr">
        <is>
          <t>Aurora Barbera</t>
        </is>
      </c>
      <c r="S1036" s="8" t="n">
        <v>46129.45810185185</v>
      </c>
    </row>
    <row r="1037" hidden="1" ht="29" customHeight="1">
      <c r="A1037" s="15">
        <f>HYPERLINK("https://vtmf.veevavault.com/ui/#doc_info/31476360/1/0", "VTMF-25399316")</f>
        <v/>
      </c>
      <c r="B1037" s="20" t="inlineStr">
        <is>
          <t>Yes</t>
        </is>
      </c>
      <c r="C1037" s="5" t="inlineStr">
        <is>
          <t>1.0</t>
        </is>
      </c>
      <c r="D1037" s="5" t="inlineStr">
        <is>
          <t>GCO</t>
        </is>
      </c>
      <c r="E1037" s="5" t="inlineStr">
        <is>
          <t>42847922MDD3003</t>
        </is>
      </c>
      <c r="F1037" s="16">
        <f>HYPERLINK("https://vtmf.veevavault.com/ui/#doc_info/31476360/1/0", "42847922MDD3003-USA-S10-US10058-Relevant Communications-07 Jan 2025 (v1.0)")</f>
        <v/>
      </c>
      <c r="G1037" s="5" t="inlineStr">
        <is>
          <t>Site Management</t>
        </is>
      </c>
      <c r="H1037" s="5" t="inlineStr">
        <is>
          <t>General</t>
        </is>
      </c>
      <c r="I1037" s="5" t="inlineStr">
        <is>
          <t>Relevant Communications</t>
        </is>
      </c>
      <c r="J1037" s="5" t="inlineStr">
        <is>
          <t>Reminder to site_S10-US10058</t>
        </is>
      </c>
      <c r="K1037" s="6" t="n">
        <v>465</v>
      </c>
      <c r="L1037" s="7" t="n">
        <v>45664</v>
      </c>
      <c r="M1037" s="11" t="n">
        <v>46129</v>
      </c>
      <c r="N1037" s="5" t="inlineStr">
        <is>
          <t>Approved</t>
        </is>
      </c>
      <c r="O1037" s="5" t="inlineStr">
        <is>
          <t>Site</t>
        </is>
      </c>
      <c r="P1037" s="5" t="inlineStr">
        <is>
          <t>United States</t>
        </is>
      </c>
      <c r="Q1037" s="13" t="inlineStr">
        <is>
          <t>S10-US10058</t>
        </is>
      </c>
      <c r="R1037" s="5" t="inlineStr">
        <is>
          <t>Aurora Barbera</t>
        </is>
      </c>
      <c r="S1037" s="8" t="n">
        <v>46129.45957175926</v>
      </c>
    </row>
    <row r="1038" hidden="1" ht="29" customHeight="1">
      <c r="A1038" s="15">
        <f>HYPERLINK("https://vtmf.veevavault.com/ui/#doc_info/31476380/1/0", "VTMF-25399698")</f>
        <v/>
      </c>
      <c r="B1038" s="20" t="inlineStr">
        <is>
          <t>Yes</t>
        </is>
      </c>
      <c r="C1038" s="5" t="inlineStr">
        <is>
          <t>1.0</t>
        </is>
      </c>
      <c r="D1038" s="5" t="inlineStr">
        <is>
          <t>GCO</t>
        </is>
      </c>
      <c r="E1038" s="5" t="inlineStr">
        <is>
          <t>42847922MDD3003</t>
        </is>
      </c>
      <c r="F1038" s="16">
        <f>HYPERLINK("https://vtmf.veevavault.com/ui/#doc_info/31476380/1/0", "42847922MDD3003-USA-S10-US10046-Relevant Communications-07 Jan 2025 (v1.0)")</f>
        <v/>
      </c>
      <c r="G1038" s="5" t="inlineStr">
        <is>
          <t>Site Management</t>
        </is>
      </c>
      <c r="H1038" s="5" t="inlineStr">
        <is>
          <t>General</t>
        </is>
      </c>
      <c r="I1038" s="5" t="inlineStr">
        <is>
          <t>Relevant Communications</t>
        </is>
      </c>
      <c r="J1038" s="5" t="inlineStr">
        <is>
          <t>CTNI-related information_S10-US10046 and S10-US10103</t>
        </is>
      </c>
      <c r="K1038" s="6" t="n">
        <v>465</v>
      </c>
      <c r="L1038" s="7" t="n">
        <v>45664</v>
      </c>
      <c r="M1038" s="11" t="n">
        <v>46129</v>
      </c>
      <c r="N1038" s="5" t="inlineStr">
        <is>
          <t>Approved</t>
        </is>
      </c>
      <c r="O1038" s="5" t="inlineStr">
        <is>
          <t>Site</t>
        </is>
      </c>
      <c r="P1038" s="5" t="inlineStr">
        <is>
          <t>United States</t>
        </is>
      </c>
      <c r="Q1038" s="13" t="inlineStr">
        <is>
          <t>S10-US10046, S10-US10103</t>
        </is>
      </c>
      <c r="R1038" s="5" t="inlineStr">
        <is>
          <t>Aurora Barbera</t>
        </is>
      </c>
      <c r="S1038" s="8" t="n">
        <v>46129.46291666666</v>
      </c>
    </row>
    <row r="1039" hidden="1" ht="29" customHeight="1">
      <c r="A1039" s="15">
        <f>HYPERLINK("https://vtmf.veevavault.com/ui/#doc_info/31477003/1/0", "VTMF-25399718")</f>
        <v/>
      </c>
      <c r="B1039" s="20" t="inlineStr">
        <is>
          <t>Yes</t>
        </is>
      </c>
      <c r="C1039" s="5" t="inlineStr">
        <is>
          <t>1.0</t>
        </is>
      </c>
      <c r="D1039" s="5" t="inlineStr">
        <is>
          <t>GCO</t>
        </is>
      </c>
      <c r="E1039" s="5" t="inlineStr">
        <is>
          <t>42847922MDD3003</t>
        </is>
      </c>
      <c r="F1039" s="16">
        <f>HYPERLINK("https://vtmf.veevavault.com/ui/#doc_info/31477003/1/0", "42847922MDD3003-USA-S10-US10149-Relevant Communications-10 Jan 2025 (v1.0)")</f>
        <v/>
      </c>
      <c r="G1039" s="5" t="inlineStr">
        <is>
          <t>Site Management</t>
        </is>
      </c>
      <c r="H1039" s="5" t="inlineStr">
        <is>
          <t>General</t>
        </is>
      </c>
      <c r="I1039" s="5" t="inlineStr">
        <is>
          <t>Relevant Communications</t>
        </is>
      </c>
      <c r="J1039" s="5" t="inlineStr">
        <is>
          <t>Visit part 1 screening_S10-US10149 Subject US101490002</t>
        </is>
      </c>
      <c r="K1039" s="6" t="n">
        <v>462</v>
      </c>
      <c r="L1039" s="7" t="n">
        <v>45667</v>
      </c>
      <c r="M1039" s="11" t="n">
        <v>46129</v>
      </c>
      <c r="N1039" s="5" t="inlineStr">
        <is>
          <t>Approved</t>
        </is>
      </c>
      <c r="O1039" s="5" t="inlineStr">
        <is>
          <t>Site</t>
        </is>
      </c>
      <c r="P1039" s="5" t="inlineStr">
        <is>
          <t>United States</t>
        </is>
      </c>
      <c r="Q1039" s="13" t="inlineStr">
        <is>
          <t>S10-US10149</t>
        </is>
      </c>
      <c r="R1039" s="5" t="inlineStr">
        <is>
          <t>Aurora Barbera</t>
        </is>
      </c>
      <c r="S1039" s="8" t="n">
        <v>46129.465</v>
      </c>
    </row>
    <row r="1040" hidden="1" ht="29" customHeight="1">
      <c r="A1040" s="15">
        <f>HYPERLINK("https://vtmf.veevavault.com/ui/#doc_info/31477009/1/0", "VTMF-25399735")</f>
        <v/>
      </c>
      <c r="B1040" s="20" t="inlineStr">
        <is>
          <t>Yes</t>
        </is>
      </c>
      <c r="C1040" s="5" t="inlineStr">
        <is>
          <t>1.0</t>
        </is>
      </c>
      <c r="D1040" s="5" t="inlineStr">
        <is>
          <t>GCO</t>
        </is>
      </c>
      <c r="E1040" s="5" t="inlineStr">
        <is>
          <t>42847922MDD3003</t>
        </is>
      </c>
      <c r="F1040" s="16">
        <f>HYPERLINK("https://vtmf.veevavault.com/ui/#doc_info/31477009/1/0", "42847922MDD3003-ARG-S10-AR10014-Relevant Communications-15 Jan 2025 (v1.0)")</f>
        <v/>
      </c>
      <c r="G1040" s="5" t="inlineStr">
        <is>
          <t>Site Management</t>
        </is>
      </c>
      <c r="H1040" s="5" t="inlineStr">
        <is>
          <t>General</t>
        </is>
      </c>
      <c r="I1040" s="5" t="inlineStr">
        <is>
          <t>Relevant Communications</t>
        </is>
      </c>
      <c r="J1040" s="5" t="inlineStr">
        <is>
          <t>Visit Part 1 DB Baseline_S10-AR10014 Subject AR100140002</t>
        </is>
      </c>
      <c r="K1040" s="6" t="n">
        <v>457</v>
      </c>
      <c r="L1040" s="7" t="n">
        <v>45672</v>
      </c>
      <c r="M1040" s="11" t="n">
        <v>46129</v>
      </c>
      <c r="N1040" s="5" t="inlineStr">
        <is>
          <t>Approved</t>
        </is>
      </c>
      <c r="O1040" s="5" t="inlineStr">
        <is>
          <t>Site</t>
        </is>
      </c>
      <c r="P1040" s="5" t="inlineStr">
        <is>
          <t>Argentina</t>
        </is>
      </c>
      <c r="Q1040" s="13" t="inlineStr">
        <is>
          <t>S10-AR10014</t>
        </is>
      </c>
      <c r="R1040" s="5" t="inlineStr">
        <is>
          <t>Aurora Barbera</t>
        </is>
      </c>
      <c r="S1040" s="8" t="n">
        <v>46129.46655092593</v>
      </c>
    </row>
    <row r="1041" hidden="1" ht="29" customHeight="1">
      <c r="A1041" s="15">
        <f>HYPERLINK("https://vtmf.veevavault.com/ui/#doc_info/31477018/1/0", "VTMF-25399753")</f>
        <v/>
      </c>
      <c r="B1041" s="20" t="inlineStr">
        <is>
          <t>Yes</t>
        </is>
      </c>
      <c r="C1041" s="5" t="inlineStr">
        <is>
          <t>1.0</t>
        </is>
      </c>
      <c r="D1041" s="5" t="inlineStr">
        <is>
          <t>GCO</t>
        </is>
      </c>
      <c r="E1041" s="5" t="inlineStr">
        <is>
          <t>42847922MDD3003</t>
        </is>
      </c>
      <c r="F1041" s="16">
        <f>HYPERLINK("https://vtmf.veevavault.com/ui/#doc_info/31477018/1/0", "42847922MDD3003-ARG-S10-AR10015-Relevant Communications-17 Jan 2025 (v1.0)")</f>
        <v/>
      </c>
      <c r="G1041" s="5" t="inlineStr">
        <is>
          <t>Site Management</t>
        </is>
      </c>
      <c r="H1041" s="5" t="inlineStr">
        <is>
          <t>General</t>
        </is>
      </c>
      <c r="I1041" s="5" t="inlineStr">
        <is>
          <t>Relevant Communications</t>
        </is>
      </c>
      <c r="J1041" s="5" t="inlineStr">
        <is>
          <t>Visit part 1 screening_S10-AR10015 Subject AR100150005</t>
        </is>
      </c>
      <c r="K1041" s="6" t="n">
        <v>455</v>
      </c>
      <c r="L1041" s="7" t="n">
        <v>45674</v>
      </c>
      <c r="M1041" s="11" t="n">
        <v>46129</v>
      </c>
      <c r="N1041" s="5" t="inlineStr">
        <is>
          <t>Approved</t>
        </is>
      </c>
      <c r="O1041" s="5" t="inlineStr">
        <is>
          <t>Site</t>
        </is>
      </c>
      <c r="P1041" s="5" t="inlineStr">
        <is>
          <t>Argentina</t>
        </is>
      </c>
      <c r="Q1041" s="13" t="inlineStr">
        <is>
          <t>S10-AR10015</t>
        </is>
      </c>
      <c r="R1041" s="5" t="inlineStr">
        <is>
          <t>Aurora Barbera</t>
        </is>
      </c>
      <c r="S1041" s="8" t="n">
        <v>46129.46846064815</v>
      </c>
    </row>
    <row r="1042" hidden="1" ht="29" customHeight="1">
      <c r="A1042" s="15">
        <f>HYPERLINK("https://vtmf.veevavault.com/ui/#doc_info/31477024/1/0", "VTMF-25399777")</f>
        <v/>
      </c>
      <c r="B1042" s="20" t="inlineStr">
        <is>
          <t>Yes</t>
        </is>
      </c>
      <c r="C1042" s="5" t="inlineStr">
        <is>
          <t>1.0</t>
        </is>
      </c>
      <c r="D1042" s="5" t="inlineStr">
        <is>
          <t>GCO</t>
        </is>
      </c>
      <c r="E1042" s="5" t="inlineStr">
        <is>
          <t>42847922MDD3003</t>
        </is>
      </c>
      <c r="F1042" s="16">
        <f>HYPERLINK("https://vtmf.veevavault.com/ui/#doc_info/31477024/1/0", "42847922MDD3003-ARG-S10-AR10015-Relevant Communications-22 Jan 2025 (v1.0)")</f>
        <v/>
      </c>
      <c r="G1042" s="5" t="inlineStr">
        <is>
          <t>Site Management</t>
        </is>
      </c>
      <c r="H1042" s="5" t="inlineStr">
        <is>
          <t>General</t>
        </is>
      </c>
      <c r="I1042" s="5" t="inlineStr">
        <is>
          <t>Relevant Communications</t>
        </is>
      </c>
      <c r="J1042" s="5" t="inlineStr">
        <is>
          <t>C-SSRS suicide attempt history_S10-AR10015 Subject AR100150005</t>
        </is>
      </c>
      <c r="K1042" s="6" t="n">
        <v>450</v>
      </c>
      <c r="L1042" s="7" t="n">
        <v>45679</v>
      </c>
      <c r="M1042" s="11" t="n">
        <v>46129</v>
      </c>
      <c r="N1042" s="5" t="inlineStr">
        <is>
          <t>Approved</t>
        </is>
      </c>
      <c r="O1042" s="5" t="inlineStr">
        <is>
          <t>Site</t>
        </is>
      </c>
      <c r="P1042" s="5" t="inlineStr">
        <is>
          <t>Argentina</t>
        </is>
      </c>
      <c r="Q1042" s="13" t="inlineStr">
        <is>
          <t>S10-AR10015</t>
        </is>
      </c>
      <c r="R1042" s="5" t="inlineStr">
        <is>
          <t>Aurora Barbera</t>
        </is>
      </c>
      <c r="S1042" s="8" t="n">
        <v>46129.46997685185</v>
      </c>
    </row>
    <row r="1043" hidden="1" ht="29" customHeight="1">
      <c r="A1043" s="15">
        <f>HYPERLINK("https://vtmf.veevavault.com/ui/#doc_info/31477032/1/0", "VTMF-25399794")</f>
        <v/>
      </c>
      <c r="B1043" s="20" t="inlineStr">
        <is>
          <t>Yes</t>
        </is>
      </c>
      <c r="C1043" s="5" t="inlineStr">
        <is>
          <t>1.0</t>
        </is>
      </c>
      <c r="D1043" s="5" t="inlineStr">
        <is>
          <t>GCO</t>
        </is>
      </c>
      <c r="E1043" s="5" t="inlineStr">
        <is>
          <t>42847922MDD3003</t>
        </is>
      </c>
      <c r="F1043" s="16">
        <f>HYPERLINK("https://vtmf.veevavault.com/ui/#doc_info/31477032/1/0", "42847922MDD3003-USA-S10-US10106-Relevant Communications-23 Jan 2025 (v1.0)")</f>
        <v/>
      </c>
      <c r="G1043" s="5" t="inlineStr">
        <is>
          <t>Site Management</t>
        </is>
      </c>
      <c r="H1043" s="5" t="inlineStr">
        <is>
          <t>General</t>
        </is>
      </c>
      <c r="I1043" s="5" t="inlineStr">
        <is>
          <t>Relevant Communications</t>
        </is>
      </c>
      <c r="J1043" s="5" t="inlineStr">
        <is>
          <t>Visit part 1 screening_S10-US10106 Subject US101060005</t>
        </is>
      </c>
      <c r="K1043" s="6" t="n">
        <v>449</v>
      </c>
      <c r="L1043" s="7" t="n">
        <v>45680</v>
      </c>
      <c r="M1043" s="11" t="n">
        <v>46129</v>
      </c>
      <c r="N1043" s="5" t="inlineStr">
        <is>
          <t>Approved</t>
        </is>
      </c>
      <c r="O1043" s="5" t="inlineStr">
        <is>
          <t>Site</t>
        </is>
      </c>
      <c r="P1043" s="5" t="inlineStr">
        <is>
          <t>United States</t>
        </is>
      </c>
      <c r="Q1043" s="13" t="inlineStr">
        <is>
          <t>S10-US10106</t>
        </is>
      </c>
      <c r="R1043" s="5" t="inlineStr">
        <is>
          <t>Aurora Barbera</t>
        </is>
      </c>
      <c r="S1043" s="8" t="n">
        <v>46129.47163194444</v>
      </c>
    </row>
    <row r="1044" hidden="1" ht="29" customHeight="1">
      <c r="A1044" s="15">
        <f>HYPERLINK("https://vtmf.veevavault.com/ui/#doc_info/31477043/1/0", "VTMF-25399822")</f>
        <v/>
      </c>
      <c r="B1044" s="20" t="inlineStr">
        <is>
          <t>Yes</t>
        </is>
      </c>
      <c r="C1044" s="5" t="inlineStr">
        <is>
          <t>1.0</t>
        </is>
      </c>
      <c r="D1044" s="5" t="inlineStr">
        <is>
          <t>GCO</t>
        </is>
      </c>
      <c r="E1044" s="5" t="inlineStr">
        <is>
          <t>42847922MDD3003</t>
        </is>
      </c>
      <c r="F1044" s="16">
        <f>HYPERLINK("https://vtmf.veevavault.com/ui/#doc_info/31477043/1/0", "42847922MDD3003-USA-S10-US10106-Relevant Communications-24 Jan 2025 (v1.0)")</f>
        <v/>
      </c>
      <c r="G1044" s="5" t="inlineStr">
        <is>
          <t>Site Management</t>
        </is>
      </c>
      <c r="H1044" s="5" t="inlineStr">
        <is>
          <t>General</t>
        </is>
      </c>
      <c r="I1044" s="5" t="inlineStr">
        <is>
          <t>Relevant Communications</t>
        </is>
      </c>
      <c r="J1044" s="5" t="inlineStr">
        <is>
          <t>Visit part 1 screening_S10-US10106 Subject US101060005</t>
        </is>
      </c>
      <c r="K1044" s="6" t="n">
        <v>448</v>
      </c>
      <c r="L1044" s="7" t="n">
        <v>45681</v>
      </c>
      <c r="M1044" s="11" t="n">
        <v>46129</v>
      </c>
      <c r="N1044" s="5" t="inlineStr">
        <is>
          <t>Approved</t>
        </is>
      </c>
      <c r="O1044" s="5" t="inlineStr">
        <is>
          <t>Site</t>
        </is>
      </c>
      <c r="P1044" s="5" t="inlineStr">
        <is>
          <t>United States</t>
        </is>
      </c>
      <c r="Q1044" s="13" t="inlineStr">
        <is>
          <t>S10-US10106</t>
        </is>
      </c>
      <c r="R1044" s="5" t="inlineStr">
        <is>
          <t>Aurora Barbera</t>
        </is>
      </c>
      <c r="S1044" s="8" t="n">
        <v>46129.47366898148</v>
      </c>
    </row>
    <row r="1045" hidden="1" ht="29" customHeight="1">
      <c r="A1045" s="15">
        <f>HYPERLINK("https://vtmf.veevavault.com/ui/#doc_info/31476985/1/0", "VTMF-25399850")</f>
        <v/>
      </c>
      <c r="B1045" s="20" t="inlineStr">
        <is>
          <t>Yes</t>
        </is>
      </c>
      <c r="C1045" s="5" t="inlineStr">
        <is>
          <t>1.0</t>
        </is>
      </c>
      <c r="D1045" s="5" t="inlineStr">
        <is>
          <t>GCO</t>
        </is>
      </c>
      <c r="E1045" s="5" t="inlineStr">
        <is>
          <t>42847922MDD3003</t>
        </is>
      </c>
      <c r="F1045" s="16">
        <f>HYPERLINK("https://vtmf.veevavault.com/ui/#doc_info/31476985/1/0", "42847922MDD3003-USA-S10-US10040-Relevant Communications-28 Jan 2025 (v1.0)")</f>
        <v/>
      </c>
      <c r="G1045" s="5" t="inlineStr">
        <is>
          <t>Site Management</t>
        </is>
      </c>
      <c r="H1045" s="5" t="inlineStr">
        <is>
          <t>General</t>
        </is>
      </c>
      <c r="I1045" s="5" t="inlineStr">
        <is>
          <t>Relevant Communications</t>
        </is>
      </c>
      <c r="J1045" s="5" t="inlineStr">
        <is>
          <t>Eligibility approved_S10-US10040 Dr Rutrick Subject US100400008</t>
        </is>
      </c>
      <c r="K1045" s="6" t="n">
        <v>444</v>
      </c>
      <c r="L1045" s="7" t="n">
        <v>45685</v>
      </c>
      <c r="M1045" s="11" t="n">
        <v>46129</v>
      </c>
      <c r="N1045" s="5" t="inlineStr">
        <is>
          <t>Approved</t>
        </is>
      </c>
      <c r="O1045" s="5" t="inlineStr">
        <is>
          <t>Site</t>
        </is>
      </c>
      <c r="P1045" s="5" t="inlineStr">
        <is>
          <t>United States</t>
        </is>
      </c>
      <c r="Q1045" s="13" t="inlineStr">
        <is>
          <t>S10-US10040</t>
        </is>
      </c>
      <c r="R1045" s="5" t="inlineStr">
        <is>
          <t>Aurora Barbera</t>
        </is>
      </c>
      <c r="S1045" s="8" t="n">
        <v>46129.4753125</v>
      </c>
    </row>
    <row r="1046" hidden="1" ht="29" customHeight="1">
      <c r="A1046" s="15">
        <f>HYPERLINK("https://vtmf.veevavault.com/ui/#doc_info/31477063/1/0", "VTMF-25399858")</f>
        <v/>
      </c>
      <c r="B1046" s="19" t="inlineStr">
        <is>
          <t>No</t>
        </is>
      </c>
      <c r="C1046" s="5" t="inlineStr">
        <is>
          <t>1.0</t>
        </is>
      </c>
      <c r="D1046" s="5" t="inlineStr">
        <is>
          <t>GCO</t>
        </is>
      </c>
      <c r="E1046" s="5" t="inlineStr">
        <is>
          <t>42847922MDD3003</t>
        </is>
      </c>
      <c r="F1046" s="16">
        <f>HYPERLINK("https://vtmf.veevavault.com/ui/#doc_info/31477063/1/0", "42847922MDD3003-ROU-S10-RO10003-Non-IP Shipment Documentation-23 Dec 2025 (v1.0)")</f>
        <v/>
      </c>
      <c r="G1046" s="5" t="inlineStr">
        <is>
          <t>IP and Trial Supplies</t>
        </is>
      </c>
      <c r="H1046" s="5" t="inlineStr">
        <is>
          <t>Non-IP Documentation</t>
        </is>
      </c>
      <c r="I1046" s="5" t="inlineStr">
        <is>
          <t>Non-IP Shipment Documentation</t>
        </is>
      </c>
      <c r="J1046" s="5" t="inlineStr">
        <is>
          <t>NIPSF_Binders, Romanian Med Diary, PCI and Infografic cards</t>
        </is>
      </c>
      <c r="K1046" s="6" t="n">
        <v>115</v>
      </c>
      <c r="L1046" s="7" t="n">
        <v>46014</v>
      </c>
      <c r="M1046" s="11" t="n">
        <v>46129</v>
      </c>
      <c r="N1046" s="5" t="inlineStr">
        <is>
          <t>Approved</t>
        </is>
      </c>
      <c r="O1046" s="5" t="inlineStr">
        <is>
          <t>Site</t>
        </is>
      </c>
      <c r="P1046" s="5" t="inlineStr">
        <is>
          <t>Romania</t>
        </is>
      </c>
      <c r="Q1046" s="13" t="inlineStr">
        <is>
          <t>S10-RO10003</t>
        </is>
      </c>
      <c r="R1046" s="5" t="inlineStr">
        <is>
          <t>Alexandra Matache</t>
        </is>
      </c>
      <c r="S1046" s="8" t="n">
        <v>46129.47605324074</v>
      </c>
    </row>
    <row r="1047" hidden="1" ht="29" customHeight="1">
      <c r="A1047" s="15">
        <f>HYPERLINK("https://vtmf.veevavault.com/ui/#doc_info/31476989/1/0", "VTMF-25399870")</f>
        <v/>
      </c>
      <c r="B1047" s="20" t="inlineStr">
        <is>
          <t>Yes</t>
        </is>
      </c>
      <c r="C1047" s="5" t="inlineStr">
        <is>
          <t>1.0</t>
        </is>
      </c>
      <c r="D1047" s="5" t="inlineStr">
        <is>
          <t>GCO</t>
        </is>
      </c>
      <c r="E1047" s="5" t="inlineStr">
        <is>
          <t>42847922MDD3003</t>
        </is>
      </c>
      <c r="F1047" s="16">
        <f>HYPERLINK("https://vtmf.veevavault.com/ui/#doc_info/31476989/1/0", "42847922MDD3003-USA-S10-US10007-Relevant Communications-30 Jan 2025 (v1.0)")</f>
        <v/>
      </c>
      <c r="G1047" s="5" t="inlineStr">
        <is>
          <t>Site Management</t>
        </is>
      </c>
      <c r="H1047" s="5" t="inlineStr">
        <is>
          <t>General</t>
        </is>
      </c>
      <c r="I1047" s="5" t="inlineStr">
        <is>
          <t>Relevant Communications</t>
        </is>
      </c>
      <c r="J1047" s="5" t="inlineStr">
        <is>
          <t>Visit part 1 DB Baseline_S10-US10007 Subject US100070011</t>
        </is>
      </c>
      <c r="K1047" s="6" t="n">
        <v>442</v>
      </c>
      <c r="L1047" s="7" t="n">
        <v>45687</v>
      </c>
      <c r="M1047" s="11" t="n">
        <v>46129</v>
      </c>
      <c r="N1047" s="5" t="inlineStr">
        <is>
          <t>Approved</t>
        </is>
      </c>
      <c r="O1047" s="5" t="inlineStr">
        <is>
          <t>Site</t>
        </is>
      </c>
      <c r="P1047" s="5" t="inlineStr">
        <is>
          <t>United States</t>
        </is>
      </c>
      <c r="Q1047" s="13" t="inlineStr">
        <is>
          <t>S10-US10007</t>
        </is>
      </c>
      <c r="R1047" s="5" t="inlineStr">
        <is>
          <t>Aurora Barbera</t>
        </is>
      </c>
      <c r="S1047" s="8" t="n">
        <v>46129.47693287037</v>
      </c>
    </row>
    <row r="1048" hidden="1" ht="29" customHeight="1">
      <c r="A1048" s="15">
        <f>HYPERLINK("https://vtmf.veevavault.com/ui/#doc_info/31477000/1/0", "VTMF-25399886")</f>
        <v/>
      </c>
      <c r="B1048" s="20" t="inlineStr">
        <is>
          <t>Yes</t>
        </is>
      </c>
      <c r="C1048" s="5" t="inlineStr">
        <is>
          <t>1.0</t>
        </is>
      </c>
      <c r="D1048" s="5" t="inlineStr">
        <is>
          <t>GCO</t>
        </is>
      </c>
      <c r="E1048" s="5" t="inlineStr">
        <is>
          <t>42847922MDD3003</t>
        </is>
      </c>
      <c r="F1048" s="16">
        <f>HYPERLINK("https://vtmf.veevavault.com/ui/#doc_info/31477000/1/0", "42847922MDD3003-BRA-S10-BR10002-Relevant Communications-30 Jan 2025 (v1.0)")</f>
        <v/>
      </c>
      <c r="G1048" s="5" t="inlineStr">
        <is>
          <t>Site Management</t>
        </is>
      </c>
      <c r="H1048" s="5" t="inlineStr">
        <is>
          <t>General</t>
        </is>
      </c>
      <c r="I1048" s="5" t="inlineStr">
        <is>
          <t>Relevant Communications</t>
        </is>
      </c>
      <c r="J1048" s="5" t="inlineStr">
        <is>
          <t>Visit part 1 screening_S10-BR10002 Subject BR100020009</t>
        </is>
      </c>
      <c r="K1048" s="6" t="n">
        <v>442</v>
      </c>
      <c r="L1048" s="7" t="n">
        <v>45687</v>
      </c>
      <c r="M1048" s="11" t="n">
        <v>46129</v>
      </c>
      <c r="N1048" s="5" t="inlineStr">
        <is>
          <t>Approved</t>
        </is>
      </c>
      <c r="O1048" s="5" t="inlineStr">
        <is>
          <t>Site</t>
        </is>
      </c>
      <c r="P1048" s="5" t="inlineStr">
        <is>
          <t>Brazil</t>
        </is>
      </c>
      <c r="Q1048" s="13" t="inlineStr">
        <is>
          <t>S10-BR10002</t>
        </is>
      </c>
      <c r="R1048" s="5" t="inlineStr">
        <is>
          <t>Aurora Barbera</t>
        </is>
      </c>
      <c r="S1048" s="8" t="n">
        <v>46129.47856481482</v>
      </c>
    </row>
    <row r="1049" hidden="1" ht="29" customHeight="1">
      <c r="A1049" s="15">
        <f>HYPERLINK("https://vtmf.veevavault.com/ui/#doc_info/31477105/1/0", "VTMF-25399896")</f>
        <v/>
      </c>
      <c r="B1049" s="19" t="inlineStr">
        <is>
          <t>No</t>
        </is>
      </c>
      <c r="C1049" s="5" t="inlineStr">
        <is>
          <t>1.0</t>
        </is>
      </c>
      <c r="D1049" s="5" t="inlineStr">
        <is>
          <t>GCO</t>
        </is>
      </c>
      <c r="E1049" s="5" t="inlineStr">
        <is>
          <t>42847922MDD3003</t>
        </is>
      </c>
      <c r="F1049" s="16">
        <f>HYPERLINK("https://vtmf.veevavault.com/ui/#doc_info/31477105/1/0", "42847922MDD3003-ROU-S10-RO10003-Non-IP Shipment Documentation-03 Feb 2026 (v1.0)")</f>
        <v/>
      </c>
      <c r="G1049" s="5" t="inlineStr">
        <is>
          <t>IP and Trial Supplies</t>
        </is>
      </c>
      <c r="H1049" s="5" t="inlineStr">
        <is>
          <t>Non-IP Documentation</t>
        </is>
      </c>
      <c r="I1049" s="5" t="inlineStr">
        <is>
          <t>Non-IP Shipment Documentation</t>
        </is>
      </c>
      <c r="J1049" s="5" t="inlineStr">
        <is>
          <t>NIPSF_Subject participation card, PCI and GCP Statement</t>
        </is>
      </c>
      <c r="K1049" s="6" t="n">
        <v>73</v>
      </c>
      <c r="L1049" s="7" t="n">
        <v>46056</v>
      </c>
      <c r="M1049" s="11" t="n">
        <v>46129</v>
      </c>
      <c r="N1049" s="5" t="inlineStr">
        <is>
          <t>Approved</t>
        </is>
      </c>
      <c r="O1049" s="5" t="inlineStr">
        <is>
          <t>Site</t>
        </is>
      </c>
      <c r="P1049" s="5" t="inlineStr">
        <is>
          <t>Romania</t>
        </is>
      </c>
      <c r="Q1049" s="13" t="inlineStr">
        <is>
          <t>S10-RO10003</t>
        </is>
      </c>
      <c r="R1049" s="5" t="inlineStr">
        <is>
          <t>Alexandra Matache</t>
        </is>
      </c>
      <c r="S1049" s="8" t="n">
        <v>46129.47944444444</v>
      </c>
    </row>
    <row r="1050" hidden="1" ht="43.5" customHeight="1">
      <c r="A1050" s="15">
        <f>HYPERLINK("https://vtmf.veevavault.com/ui/#doc_info/31477107/1/0", "VTMF-25399899")</f>
        <v/>
      </c>
      <c r="B1050" s="20" t="inlineStr">
        <is>
          <t>Yes</t>
        </is>
      </c>
      <c r="C1050" s="5" t="inlineStr">
        <is>
          <t>1.0</t>
        </is>
      </c>
      <c r="D1050" s="5" t="inlineStr">
        <is>
          <t>GCO</t>
        </is>
      </c>
      <c r="E1050" s="5" t="inlineStr">
        <is>
          <t>42847922MDD3003</t>
        </is>
      </c>
      <c r="F1050" s="16">
        <f>HYPERLINK("https://vtmf.veevavault.com/ui/#doc_info/31477107/1/0", "42847922MDD3003-ARG-S10-AR10010-Relevant Communications-31 Jan 2025 (v1.0)")</f>
        <v/>
      </c>
      <c r="G1050" s="5" t="inlineStr">
        <is>
          <t>Site Management</t>
        </is>
      </c>
      <c r="H1050" s="5" t="inlineStr">
        <is>
          <t>General</t>
        </is>
      </c>
      <c r="I1050" s="5" t="inlineStr">
        <is>
          <t>Relevant Communications</t>
        </is>
      </c>
      <c r="J1050" s="5" t="inlineStr">
        <is>
          <t>Randomized without Central Lab Results and without IQVIA MDR approval_S10-AR10010 Subject AR100100002</t>
        </is>
      </c>
      <c r="K1050" s="6" t="n">
        <v>441</v>
      </c>
      <c r="L1050" s="7" t="n">
        <v>45688</v>
      </c>
      <c r="M1050" s="11" t="n">
        <v>46129</v>
      </c>
      <c r="N1050" s="5" t="inlineStr">
        <is>
          <t>Approved</t>
        </is>
      </c>
      <c r="O1050" s="5" t="inlineStr">
        <is>
          <t>Site</t>
        </is>
      </c>
      <c r="P1050" s="5" t="inlineStr">
        <is>
          <t>Argentina</t>
        </is>
      </c>
      <c r="Q1050" s="13" t="inlineStr">
        <is>
          <t>S10-AR10010</t>
        </is>
      </c>
      <c r="R1050" s="5" t="inlineStr">
        <is>
          <t>Aurora Barbera</t>
        </is>
      </c>
      <c r="S1050" s="8" t="n">
        <v>46129.48023148148</v>
      </c>
    </row>
    <row r="1051" hidden="1" ht="29" customHeight="1">
      <c r="A1051" s="15">
        <f>HYPERLINK("https://vtmf.veevavault.com/ui/#doc_info/31477114/1/0", "VTMF-25399915")</f>
        <v/>
      </c>
      <c r="B1051" s="19" t="inlineStr">
        <is>
          <t>No</t>
        </is>
      </c>
      <c r="C1051" s="5" t="inlineStr">
        <is>
          <t>1.0</t>
        </is>
      </c>
      <c r="D1051" s="5" t="inlineStr">
        <is>
          <t>GCO</t>
        </is>
      </c>
      <c r="E1051" s="5" t="inlineStr">
        <is>
          <t>42847922MDD3003</t>
        </is>
      </c>
      <c r="F1051" s="16">
        <f>HYPERLINK("https://vtmf.veevavault.com/ui/#doc_info/31477114/1/0", "42847922MDD3003-ROU-S10-RO10003-Non-IP Shipment Documentation-16 Mar 2026 (v1.0)")</f>
        <v/>
      </c>
      <c r="G1051" s="5" t="inlineStr">
        <is>
          <t>IP and Trial Supplies</t>
        </is>
      </c>
      <c r="H1051" s="5" t="inlineStr">
        <is>
          <t>Non-IP Documentation</t>
        </is>
      </c>
      <c r="I1051" s="5" t="inlineStr">
        <is>
          <t>Non-IP Shipment Documentation</t>
        </is>
      </c>
      <c r="J1051" s="5" t="inlineStr">
        <is>
          <t>NIPSF_Part 2 Binders</t>
        </is>
      </c>
      <c r="K1051" s="6" t="n">
        <v>32</v>
      </c>
      <c r="L1051" s="7" t="n">
        <v>46097</v>
      </c>
      <c r="M1051" s="11" t="n">
        <v>46129</v>
      </c>
      <c r="N1051" s="5" t="inlineStr">
        <is>
          <t>Approved</t>
        </is>
      </c>
      <c r="O1051" s="5" t="inlineStr">
        <is>
          <t>Site</t>
        </is>
      </c>
      <c r="P1051" s="5" t="inlineStr">
        <is>
          <t>Romania</t>
        </is>
      </c>
      <c r="Q1051" s="13" t="inlineStr">
        <is>
          <t>S10-RO10003</t>
        </is>
      </c>
      <c r="R1051" s="5" t="inlineStr">
        <is>
          <t>Alexandra Matache</t>
        </is>
      </c>
      <c r="S1051" s="8" t="n">
        <v>46129.48199074074</v>
      </c>
    </row>
    <row r="1052" hidden="1" ht="29" customHeight="1">
      <c r="A1052" s="15">
        <f>HYPERLINK("https://vtmf.veevavault.com/ui/#doc_info/31477115/1/0", "VTMF-25399920")</f>
        <v/>
      </c>
      <c r="B1052" s="20" t="inlineStr">
        <is>
          <t>Yes</t>
        </is>
      </c>
      <c r="C1052" s="5" t="inlineStr">
        <is>
          <t>1.0</t>
        </is>
      </c>
      <c r="D1052" s="5" t="inlineStr">
        <is>
          <t>GCO</t>
        </is>
      </c>
      <c r="E1052" s="5" t="inlineStr">
        <is>
          <t>42847922MDD3003</t>
        </is>
      </c>
      <c r="F1052" s="16">
        <f>HYPERLINK("https://vtmf.veevavault.com/ui/#doc_info/31477115/1/0", "42847922MDD3003-USA-S10-US10174-Relevant Communications-07 Feb 2025 (v1.0)")</f>
        <v/>
      </c>
      <c r="G1052" s="5" t="inlineStr">
        <is>
          <t>Site Management</t>
        </is>
      </c>
      <c r="H1052" s="5" t="inlineStr">
        <is>
          <t>General</t>
        </is>
      </c>
      <c r="I1052" s="5" t="inlineStr">
        <is>
          <t>Relevant Communications</t>
        </is>
      </c>
      <c r="J1052" s="5" t="inlineStr">
        <is>
          <t>Screening extension approved_S10-US10174 Subject US101740002</t>
        </is>
      </c>
      <c r="K1052" s="6" t="n">
        <v>434</v>
      </c>
      <c r="L1052" s="7" t="n">
        <v>45695</v>
      </c>
      <c r="M1052" s="11" t="n">
        <v>46129</v>
      </c>
      <c r="N1052" s="5" t="inlineStr">
        <is>
          <t>Approved</t>
        </is>
      </c>
      <c r="O1052" s="5" t="inlineStr">
        <is>
          <t>Site</t>
        </is>
      </c>
      <c r="P1052" s="5" t="inlineStr">
        <is>
          <t>United States</t>
        </is>
      </c>
      <c r="Q1052" s="13" t="inlineStr">
        <is>
          <t>S10-US10174</t>
        </is>
      </c>
      <c r="R1052" s="5" t="inlineStr">
        <is>
          <t>Aurora Barbera</t>
        </is>
      </c>
      <c r="S1052" s="8" t="n">
        <v>46129.48247685185</v>
      </c>
    </row>
    <row r="1053" hidden="1" ht="29" customHeight="1">
      <c r="A1053" s="15">
        <f>HYPERLINK("https://vtmf.veevavault.com/ui/#doc_info/31477123/1/0", "VTMF-25399937")</f>
        <v/>
      </c>
      <c r="B1053" s="20" t="inlineStr">
        <is>
          <t>Yes</t>
        </is>
      </c>
      <c r="C1053" s="5" t="inlineStr">
        <is>
          <t>1.0</t>
        </is>
      </c>
      <c r="D1053" s="5" t="inlineStr">
        <is>
          <t>GCO</t>
        </is>
      </c>
      <c r="E1053" s="5" t="inlineStr">
        <is>
          <t>42847922MDD3003</t>
        </is>
      </c>
      <c r="F1053" s="16">
        <f>HYPERLINK("https://vtmf.veevavault.com/ui/#doc_info/31477123/1/0", "42847922MDD3003-USA-S10-US10228-Relevant Communications-14 Feb 2025 (v1.0)")</f>
        <v/>
      </c>
      <c r="G1053" s="5" t="inlineStr">
        <is>
          <t>Site Management</t>
        </is>
      </c>
      <c r="H1053" s="5" t="inlineStr">
        <is>
          <t>General</t>
        </is>
      </c>
      <c r="I1053" s="5" t="inlineStr">
        <is>
          <t>Relevant Communications</t>
        </is>
      </c>
      <c r="J1053" s="5" t="inlineStr">
        <is>
          <t>Visit 1 alert_S10-US10228 Subject US102280012</t>
        </is>
      </c>
      <c r="K1053" s="6" t="n">
        <v>427</v>
      </c>
      <c r="L1053" s="7" t="n">
        <v>45702</v>
      </c>
      <c r="M1053" s="11" t="n">
        <v>46129</v>
      </c>
      <c r="N1053" s="5" t="inlineStr">
        <is>
          <t>Approved</t>
        </is>
      </c>
      <c r="O1053" s="5" t="inlineStr">
        <is>
          <t>Site</t>
        </is>
      </c>
      <c r="P1053" s="5" t="inlineStr">
        <is>
          <t>United States</t>
        </is>
      </c>
      <c r="Q1053" s="13" t="inlineStr">
        <is>
          <t>S10-US10228</t>
        </is>
      </c>
      <c r="R1053" s="5" t="inlineStr">
        <is>
          <t>Aurora Barbera</t>
        </is>
      </c>
      <c r="S1053" s="8" t="n">
        <v>46129.48394675926</v>
      </c>
    </row>
    <row r="1054" hidden="1" ht="29" customHeight="1">
      <c r="A1054" s="15">
        <f>HYPERLINK("https://vtmf.veevavault.com/ui/#doc_info/31477222/1/0", "VTMF-25400305")</f>
        <v/>
      </c>
      <c r="B1054" s="20" t="inlineStr">
        <is>
          <t>Yes</t>
        </is>
      </c>
      <c r="C1054" s="5" t="inlineStr">
        <is>
          <t>1.0</t>
        </is>
      </c>
      <c r="D1054" s="5" t="inlineStr">
        <is>
          <t>GCO</t>
        </is>
      </c>
      <c r="E1054" s="5" t="inlineStr">
        <is>
          <t>42847922MDD3003</t>
        </is>
      </c>
      <c r="F1054" s="16">
        <f>HYPERLINK("https://vtmf.veevavault.com/ui/#doc_info/31477222/1/0", "42847922MDD3003-USA-S10-US10148-Relevant Communications-18 Feb 2025 (v1.0)")</f>
        <v/>
      </c>
      <c r="G1054" s="5" t="inlineStr">
        <is>
          <t>Site Management</t>
        </is>
      </c>
      <c r="H1054" s="5" t="inlineStr">
        <is>
          <t>General</t>
        </is>
      </c>
      <c r="I1054" s="5" t="inlineStr">
        <is>
          <t>Relevant Communications</t>
        </is>
      </c>
      <c r="J1054" s="5" t="inlineStr">
        <is>
          <t>Eligibility approved_S10-US10148 Dr Medina Subject US101480002</t>
        </is>
      </c>
      <c r="K1054" s="6" t="n">
        <v>423</v>
      </c>
      <c r="L1054" s="7" t="n">
        <v>45706</v>
      </c>
      <c r="M1054" s="11" t="n">
        <v>46129</v>
      </c>
      <c r="N1054" s="5" t="inlineStr">
        <is>
          <t>Approved</t>
        </is>
      </c>
      <c r="O1054" s="5" t="inlineStr">
        <is>
          <t>Site</t>
        </is>
      </c>
      <c r="P1054" s="5" t="inlineStr">
        <is>
          <t>United States</t>
        </is>
      </c>
      <c r="Q1054" s="13" t="inlineStr">
        <is>
          <t>S10-US10148</t>
        </is>
      </c>
      <c r="R1054" s="5" t="inlineStr">
        <is>
          <t>Aurora Barbera</t>
        </is>
      </c>
      <c r="S1054" s="8" t="n">
        <v>46129.48592592592</v>
      </c>
    </row>
    <row r="1055" hidden="1" ht="29" customHeight="1">
      <c r="A1055" s="15">
        <f>HYPERLINK("https://vtmf.veevavault.com/ui/#doc_info/31477236/1/0", "VTMF-25400322")</f>
        <v/>
      </c>
      <c r="B1055" s="20" t="inlineStr">
        <is>
          <t>Yes</t>
        </is>
      </c>
      <c r="C1055" s="5" t="inlineStr">
        <is>
          <t>1.0</t>
        </is>
      </c>
      <c r="D1055" s="5" t="inlineStr">
        <is>
          <t>GCO</t>
        </is>
      </c>
      <c r="E1055" s="5" t="inlineStr">
        <is>
          <t>42847922MDD3003</t>
        </is>
      </c>
      <c r="F1055" s="16">
        <f>HYPERLINK("https://vtmf.veevavault.com/ui/#doc_info/31477236/1/0", "42847922MDD3003-USA-S10-US10120-Relevant Communications-18 Feb 2025 (v1.0)")</f>
        <v/>
      </c>
      <c r="G1055" s="5" t="inlineStr">
        <is>
          <t>Site Management</t>
        </is>
      </c>
      <c r="H1055" s="5" t="inlineStr">
        <is>
          <t>General</t>
        </is>
      </c>
      <c r="I1055" s="5" t="inlineStr">
        <is>
          <t>Relevant Communications</t>
        </is>
      </c>
      <c r="J1055" s="5" t="inlineStr">
        <is>
          <t>Eligibility approved_S10-US10120 Dr Warnell Subject US101200011</t>
        </is>
      </c>
      <c r="K1055" s="6" t="n">
        <v>423</v>
      </c>
      <c r="L1055" s="7" t="n">
        <v>45706</v>
      </c>
      <c r="M1055" s="11" t="n">
        <v>46129</v>
      </c>
      <c r="N1055" s="5" t="inlineStr">
        <is>
          <t>Approved</t>
        </is>
      </c>
      <c r="O1055" s="5" t="inlineStr">
        <is>
          <t>Site</t>
        </is>
      </c>
      <c r="P1055" s="5" t="inlineStr">
        <is>
          <t>United States</t>
        </is>
      </c>
      <c r="Q1055" s="13" t="inlineStr">
        <is>
          <t>S10-US10120</t>
        </is>
      </c>
      <c r="R1055" s="5" t="inlineStr">
        <is>
          <t>Aurora Barbera</t>
        </is>
      </c>
      <c r="S1055" s="8" t="n">
        <v>46129.48731481482</v>
      </c>
    </row>
    <row r="1056" hidden="1" ht="29" customHeight="1">
      <c r="A1056" s="15">
        <f>HYPERLINK("https://vtmf.veevavault.com/ui/#doc_info/31477608/1/0", "VTMF-25400377")</f>
        <v/>
      </c>
      <c r="B1056" s="20" t="inlineStr">
        <is>
          <t>Yes</t>
        </is>
      </c>
      <c r="C1056" s="5" t="inlineStr">
        <is>
          <t>1.0</t>
        </is>
      </c>
      <c r="D1056" s="5" t="inlineStr">
        <is>
          <t>GCO</t>
        </is>
      </c>
      <c r="E1056" s="5" t="inlineStr">
        <is>
          <t>42847922MDD3003</t>
        </is>
      </c>
      <c r="F1056" s="16">
        <f>HYPERLINK("https://vtmf.veevavault.com/ui/#doc_info/31477608/1/0", "42847922MDD3003-USA-S10-US10148-Relevant Communications-18 Feb 2025 (v1.0)")</f>
        <v/>
      </c>
      <c r="G1056" s="5" t="inlineStr">
        <is>
          <t>Site Management</t>
        </is>
      </c>
      <c r="H1056" s="5" t="inlineStr">
        <is>
          <t>General</t>
        </is>
      </c>
      <c r="I1056" s="5" t="inlineStr">
        <is>
          <t>Relevant Communications</t>
        </is>
      </c>
      <c r="J1056" s="5" t="inlineStr">
        <is>
          <t>Open EDC queries_S10-US10148 Subject US101480002</t>
        </is>
      </c>
      <c r="K1056" s="6" t="n">
        <v>423</v>
      </c>
      <c r="L1056" s="7" t="n">
        <v>45706</v>
      </c>
      <c r="M1056" s="11" t="n">
        <v>46129</v>
      </c>
      <c r="N1056" s="5" t="inlineStr">
        <is>
          <t>Approved</t>
        </is>
      </c>
      <c r="O1056" s="5" t="inlineStr">
        <is>
          <t>Site</t>
        </is>
      </c>
      <c r="P1056" s="5" t="inlineStr">
        <is>
          <t>United States</t>
        </is>
      </c>
      <c r="Q1056" s="13" t="inlineStr">
        <is>
          <t>S10-US10148</t>
        </is>
      </c>
      <c r="R1056" s="5" t="inlineStr">
        <is>
          <t>Aurora Barbera</t>
        </is>
      </c>
      <c r="S1056" s="8" t="n">
        <v>46129.49434027778</v>
      </c>
    </row>
    <row r="1057" hidden="1" ht="29" customHeight="1">
      <c r="A1057" s="15">
        <f>HYPERLINK("https://vtmf.veevavault.com/ui/#doc_info/31477621/1/0", "VTMF-25400396")</f>
        <v/>
      </c>
      <c r="B1057" s="20" t="inlineStr">
        <is>
          <t>Yes</t>
        </is>
      </c>
      <c r="C1057" s="5" t="inlineStr">
        <is>
          <t>1.0</t>
        </is>
      </c>
      <c r="D1057" s="5" t="inlineStr">
        <is>
          <t>GCO</t>
        </is>
      </c>
      <c r="E1057" s="5" t="inlineStr">
        <is>
          <t>42847922MDD3003</t>
        </is>
      </c>
      <c r="F1057" s="16">
        <f>HYPERLINK("https://vtmf.veevavault.com/ui/#doc_info/31477621/1/0", "42847922MDD3003-USA-S10-US10120-Relevant Communications-19 Feb 2025 (v1.0)")</f>
        <v/>
      </c>
      <c r="G1057" s="5" t="inlineStr">
        <is>
          <t>Site Management</t>
        </is>
      </c>
      <c r="H1057" s="5" t="inlineStr">
        <is>
          <t>General</t>
        </is>
      </c>
      <c r="I1057" s="5" t="inlineStr">
        <is>
          <t>Relevant Communications</t>
        </is>
      </c>
      <c r="J1057" s="5" t="inlineStr">
        <is>
          <t>Eligibility approved_S10-US10120 Dr Knutson Subject US101200011</t>
        </is>
      </c>
      <c r="K1057" s="6" t="n">
        <v>422</v>
      </c>
      <c r="L1057" s="7" t="n">
        <v>45707</v>
      </c>
      <c r="M1057" s="11" t="n">
        <v>46129</v>
      </c>
      <c r="N1057" s="5" t="inlineStr">
        <is>
          <t>Approved</t>
        </is>
      </c>
      <c r="O1057" s="5" t="inlineStr">
        <is>
          <t>Site</t>
        </is>
      </c>
      <c r="P1057" s="5" t="inlineStr">
        <is>
          <t>United States</t>
        </is>
      </c>
      <c r="Q1057" s="13" t="inlineStr">
        <is>
          <t>S10-US10120</t>
        </is>
      </c>
      <c r="R1057" s="5" t="inlineStr">
        <is>
          <t>Aurora Barbera</t>
        </is>
      </c>
      <c r="S1057" s="8" t="n">
        <v>46129.49665509259</v>
      </c>
    </row>
    <row r="1058" hidden="1" ht="29" customHeight="1">
      <c r="A1058" s="15">
        <f>HYPERLINK("https://vtmf.veevavault.com/ui/#doc_info/31477627/1/0", "VTMF-25400408")</f>
        <v/>
      </c>
      <c r="B1058" s="20" t="inlineStr">
        <is>
          <t>Yes</t>
        </is>
      </c>
      <c r="C1058" s="5" t="inlineStr">
        <is>
          <t>1.0</t>
        </is>
      </c>
      <c r="D1058" s="5" t="inlineStr">
        <is>
          <t>GCO</t>
        </is>
      </c>
      <c r="E1058" s="5" t="inlineStr">
        <is>
          <t>42847922MDD3003</t>
        </is>
      </c>
      <c r="F1058" s="16">
        <f>HYPERLINK("https://vtmf.veevavault.com/ui/#doc_info/31477627/1/0", "42847922MDD3003-USA-S10-US10078-Relevant Communications-19 Feb 2025 (v1.0)")</f>
        <v/>
      </c>
      <c r="G1058" s="5" t="inlineStr">
        <is>
          <t>Site Management</t>
        </is>
      </c>
      <c r="H1058" s="5" t="inlineStr">
        <is>
          <t>General</t>
        </is>
      </c>
      <c r="I1058" s="5" t="inlineStr">
        <is>
          <t>Relevant Communications</t>
        </is>
      </c>
      <c r="J1058" s="5" t="inlineStr">
        <is>
          <t>Screening extension approved_S10-US10078 Subject US100780001</t>
        </is>
      </c>
      <c r="K1058" s="6" t="n">
        <v>422</v>
      </c>
      <c r="L1058" s="7" t="n">
        <v>45707</v>
      </c>
      <c r="M1058" s="11" t="n">
        <v>46129</v>
      </c>
      <c r="N1058" s="5" t="inlineStr">
        <is>
          <t>Approved</t>
        </is>
      </c>
      <c r="O1058" s="5" t="inlineStr">
        <is>
          <t>Site</t>
        </is>
      </c>
      <c r="P1058" s="5" t="inlineStr">
        <is>
          <t>United States</t>
        </is>
      </c>
      <c r="Q1058" s="13" t="inlineStr">
        <is>
          <t>S10-US10078</t>
        </is>
      </c>
      <c r="R1058" s="5" t="inlineStr">
        <is>
          <t>Aurora Barbera</t>
        </is>
      </c>
      <c r="S1058" s="8" t="n">
        <v>46129.49804398148</v>
      </c>
    </row>
    <row r="1059" hidden="1" ht="29" customHeight="1">
      <c r="A1059" s="15">
        <f>HYPERLINK("https://vtmf.veevavault.com/ui/#doc_info/31477629/1/0", "VTMF-25400417")</f>
        <v/>
      </c>
      <c r="B1059" s="20" t="inlineStr">
        <is>
          <t>Yes</t>
        </is>
      </c>
      <c r="C1059" s="5" t="inlineStr">
        <is>
          <t>1.0</t>
        </is>
      </c>
      <c r="D1059" s="5" t="inlineStr">
        <is>
          <t>GCO</t>
        </is>
      </c>
      <c r="E1059" s="5" t="inlineStr">
        <is>
          <t>42847922MDD3003</t>
        </is>
      </c>
      <c r="F1059" s="16">
        <f>HYPERLINK("https://vtmf.veevavault.com/ui/#doc_info/31477629/1/0", "42847922MDD3003-BRA-S10-BR10002-Relevant Communications-24 Feb 2025 (v1.0)")</f>
        <v/>
      </c>
      <c r="G1059" s="5" t="inlineStr">
        <is>
          <t>Site Management</t>
        </is>
      </c>
      <c r="H1059" s="5" t="inlineStr">
        <is>
          <t>General</t>
        </is>
      </c>
      <c r="I1059" s="5" t="inlineStr">
        <is>
          <t>Relevant Communications</t>
        </is>
      </c>
      <c r="J1059" s="5" t="inlineStr">
        <is>
          <t>Visit retest_S10-BR10002 Subject BR100020009</t>
        </is>
      </c>
      <c r="K1059" s="6" t="n">
        <v>417</v>
      </c>
      <c r="L1059" s="7" t="n">
        <v>45712</v>
      </c>
      <c r="M1059" s="11" t="n">
        <v>46129</v>
      </c>
      <c r="N1059" s="5" t="inlineStr">
        <is>
          <t>Approved</t>
        </is>
      </c>
      <c r="O1059" s="5" t="inlineStr">
        <is>
          <t>Site</t>
        </is>
      </c>
      <c r="P1059" s="5" t="inlineStr">
        <is>
          <t>Brazil</t>
        </is>
      </c>
      <c r="Q1059" s="13" t="inlineStr">
        <is>
          <t>S10-BR10002</t>
        </is>
      </c>
      <c r="R1059" s="5" t="inlineStr">
        <is>
          <t>Aurora Barbera</t>
        </is>
      </c>
      <c r="S1059" s="8" t="n">
        <v>46129.49934027778</v>
      </c>
    </row>
    <row r="1060" hidden="1" ht="29" customHeight="1">
      <c r="A1060" s="15">
        <f>HYPERLINK("https://vtmf.veevavault.com/ui/#doc_info/31477632/1/0", "VTMF-25400433")</f>
        <v/>
      </c>
      <c r="B1060" s="20" t="inlineStr">
        <is>
          <t>Yes</t>
        </is>
      </c>
      <c r="C1060" s="5" t="inlineStr">
        <is>
          <t>1.0</t>
        </is>
      </c>
      <c r="D1060" s="5" t="inlineStr">
        <is>
          <t>GCO</t>
        </is>
      </c>
      <c r="E1060" s="5" t="inlineStr">
        <is>
          <t>42847922MDD3003</t>
        </is>
      </c>
      <c r="F1060" s="16">
        <f>HYPERLINK("https://vtmf.veevavault.com/ui/#doc_info/31477632/1/0", "42847922MDD3003-BRA-S10-BR10002-Relevant Communications-24 Feb 2025 (v1.0)")</f>
        <v/>
      </c>
      <c r="G1060" s="5" t="inlineStr">
        <is>
          <t>Site Management</t>
        </is>
      </c>
      <c r="H1060" s="5" t="inlineStr">
        <is>
          <t>General</t>
        </is>
      </c>
      <c r="I1060" s="5" t="inlineStr">
        <is>
          <t>Relevant Communications</t>
        </is>
      </c>
      <c r="J1060" s="5" t="inlineStr">
        <is>
          <t>Visit part 1 DB Baseline_S10-BR10002 Subject BR100020009</t>
        </is>
      </c>
      <c r="K1060" s="6" t="n">
        <v>417</v>
      </c>
      <c r="L1060" s="7" t="n">
        <v>45712</v>
      </c>
      <c r="M1060" s="11" t="n">
        <v>46129</v>
      </c>
      <c r="N1060" s="5" t="inlineStr">
        <is>
          <t>Approved</t>
        </is>
      </c>
      <c r="O1060" s="5" t="inlineStr">
        <is>
          <t>Site</t>
        </is>
      </c>
      <c r="P1060" s="5" t="inlineStr">
        <is>
          <t>Brazil</t>
        </is>
      </c>
      <c r="Q1060" s="13" t="inlineStr">
        <is>
          <t>S10-BR10002</t>
        </is>
      </c>
      <c r="R1060" s="5" t="inlineStr">
        <is>
          <t>Aurora Barbera</t>
        </is>
      </c>
      <c r="S1060" s="8" t="n">
        <v>46129.50096064815</v>
      </c>
    </row>
    <row r="1061" hidden="1" ht="29" customHeight="1">
      <c r="A1061" s="15">
        <f>HYPERLINK("https://vtmf.veevavault.com/ui/#doc_info/31477298/1/0", "VTMF-25400442")</f>
        <v/>
      </c>
      <c r="B1061" s="20" t="inlineStr">
        <is>
          <t>Yes</t>
        </is>
      </c>
      <c r="C1061" s="5" t="inlineStr">
        <is>
          <t>1.0</t>
        </is>
      </c>
      <c r="D1061" s="5" t="inlineStr">
        <is>
          <t>GCO</t>
        </is>
      </c>
      <c r="E1061" s="5" t="inlineStr">
        <is>
          <t>42847922MDD3003</t>
        </is>
      </c>
      <c r="F1061" s="16">
        <f>HYPERLINK("https://vtmf.veevavault.com/ui/#doc_info/31477298/1/0", "42847922MDD3003-ARG-S10-AR10015-Relevant Communications-25 Apr 2025 (v1.0)")</f>
        <v/>
      </c>
      <c r="G1061" s="5" t="inlineStr">
        <is>
          <t>Site Management</t>
        </is>
      </c>
      <c r="H1061" s="5" t="inlineStr">
        <is>
          <t>General</t>
        </is>
      </c>
      <c r="I1061" s="5" t="inlineStr">
        <is>
          <t>Relevant Communications</t>
        </is>
      </c>
      <c r="J1061" s="5" t="inlineStr">
        <is>
          <t>Visit part 1 screening_S10-AR10015 Subject AR100150005</t>
        </is>
      </c>
      <c r="K1061" s="6" t="n">
        <v>357</v>
      </c>
      <c r="L1061" s="7" t="n">
        <v>45772</v>
      </c>
      <c r="M1061" s="11" t="n">
        <v>46129</v>
      </c>
      <c r="N1061" s="5" t="inlineStr">
        <is>
          <t>Approved</t>
        </is>
      </c>
      <c r="O1061" s="5" t="inlineStr">
        <is>
          <t>Site</t>
        </is>
      </c>
      <c r="P1061" s="5" t="inlineStr">
        <is>
          <t>Argentina</t>
        </is>
      </c>
      <c r="Q1061" s="13" t="inlineStr">
        <is>
          <t>S10-AR10015</t>
        </is>
      </c>
      <c r="R1061" s="5" t="inlineStr">
        <is>
          <t>Aurora Barbera</t>
        </is>
      </c>
      <c r="S1061" s="8" t="n">
        <v>46129.5028125</v>
      </c>
    </row>
    <row r="1062" hidden="1" ht="29" customHeight="1">
      <c r="A1062" s="15">
        <f>HYPERLINK("https://vtmf.veevavault.com/ui/#doc_info/31477820/1/0", "VTMF-25400565")</f>
        <v/>
      </c>
      <c r="B1062" s="20" t="inlineStr">
        <is>
          <t>Yes</t>
        </is>
      </c>
      <c r="C1062" s="5" t="inlineStr">
        <is>
          <t>1.0</t>
        </is>
      </c>
      <c r="D1062" s="5" t="inlineStr">
        <is>
          <t>GCO</t>
        </is>
      </c>
      <c r="E1062" s="5" t="inlineStr">
        <is>
          <t>42847922MDD3003</t>
        </is>
      </c>
      <c r="F1062" s="16">
        <f>HYPERLINK("https://vtmf.veevavault.com/ui/#doc_info/31477820/1/0", "42847922MDD3003-USA-S10-US10256-Relevant Communications-14 May 2025 (v1.0)")</f>
        <v/>
      </c>
      <c r="G1062" s="5" t="inlineStr">
        <is>
          <t>Site Management</t>
        </is>
      </c>
      <c r="H1062" s="5" t="inlineStr">
        <is>
          <t>General</t>
        </is>
      </c>
      <c r="I1062" s="5" t="inlineStr">
        <is>
          <t>Relevant Communications</t>
        </is>
      </c>
      <c r="J1062" s="5" t="inlineStr">
        <is>
          <t>Screening extension approved_S10-US10256 Subject US102560003</t>
        </is>
      </c>
      <c r="K1062" s="6" t="n">
        <v>338</v>
      </c>
      <c r="L1062" s="7" t="n">
        <v>45791</v>
      </c>
      <c r="M1062" s="11" t="n">
        <v>46129</v>
      </c>
      <c r="N1062" s="5" t="inlineStr">
        <is>
          <t>Approved</t>
        </is>
      </c>
      <c r="O1062" s="5" t="inlineStr">
        <is>
          <t>Site</t>
        </is>
      </c>
      <c r="P1062" s="5" t="inlineStr">
        <is>
          <t>United States</t>
        </is>
      </c>
      <c r="Q1062" s="13" t="inlineStr">
        <is>
          <t>S10-US10256</t>
        </is>
      </c>
      <c r="R1062" s="5" t="inlineStr">
        <is>
          <t>Aurora Barbera</t>
        </is>
      </c>
      <c r="S1062" s="8" t="n">
        <v>46129.51538194445</v>
      </c>
    </row>
    <row r="1063" hidden="1" ht="29" customHeight="1">
      <c r="A1063" s="15">
        <f>HYPERLINK("https://vtmf.veevavault.com/ui/#doc_info/31477829/1/0", "VTMF-25400588")</f>
        <v/>
      </c>
      <c r="B1063" s="20" t="inlineStr">
        <is>
          <t>Yes</t>
        </is>
      </c>
      <c r="C1063" s="5" t="inlineStr">
        <is>
          <t>1.0</t>
        </is>
      </c>
      <c r="D1063" s="5" t="inlineStr">
        <is>
          <t>GCO</t>
        </is>
      </c>
      <c r="E1063" s="5" t="inlineStr">
        <is>
          <t>42847922MDD3003</t>
        </is>
      </c>
      <c r="F1063" s="16">
        <f>HYPERLINK("https://vtmf.veevavault.com/ui/#doc_info/31477829/1/0", "42847922MDD3003-USA-S10-US10212-Relevant Communications-10 Jun 2025 (v1.0)")</f>
        <v/>
      </c>
      <c r="G1063" s="5" t="inlineStr">
        <is>
          <t>Site Management</t>
        </is>
      </c>
      <c r="H1063" s="5" t="inlineStr">
        <is>
          <t>General</t>
        </is>
      </c>
      <c r="I1063" s="5" t="inlineStr">
        <is>
          <t>Relevant Communications</t>
        </is>
      </c>
      <c r="J1063" s="5" t="inlineStr">
        <is>
          <t>Re-screening request approved_S10-US10212 Subject US102120002</t>
        </is>
      </c>
      <c r="K1063" s="6" t="n">
        <v>311</v>
      </c>
      <c r="L1063" s="7" t="n">
        <v>45818</v>
      </c>
      <c r="M1063" s="11" t="n">
        <v>46129</v>
      </c>
      <c r="N1063" s="5" t="inlineStr">
        <is>
          <t>Approved</t>
        </is>
      </c>
      <c r="O1063" s="5" t="inlineStr">
        <is>
          <t>Site</t>
        </is>
      </c>
      <c r="P1063" s="5" t="inlineStr">
        <is>
          <t>United States</t>
        </is>
      </c>
      <c r="Q1063" s="13" t="inlineStr">
        <is>
          <t>S10-US10212</t>
        </is>
      </c>
      <c r="R1063" s="5" t="inlineStr">
        <is>
          <t>Aurora Barbera</t>
        </is>
      </c>
      <c r="S1063" s="8" t="n">
        <v>46129.51912037037</v>
      </c>
    </row>
    <row r="1064" hidden="1" ht="29" customHeight="1">
      <c r="A1064" s="15">
        <f>HYPERLINK("https://vtmf.veevavault.com/ui/#doc_info/31477869/1/0", "VTMF-25400654")</f>
        <v/>
      </c>
      <c r="B1064" s="20" t="inlineStr">
        <is>
          <t>Yes</t>
        </is>
      </c>
      <c r="C1064" s="5" t="inlineStr">
        <is>
          <t>1.0</t>
        </is>
      </c>
      <c r="D1064" s="5" t="inlineStr">
        <is>
          <t>GCO</t>
        </is>
      </c>
      <c r="E1064" s="5" t="inlineStr">
        <is>
          <t>42847922MDD3003</t>
        </is>
      </c>
      <c r="F1064" s="16">
        <f>HYPERLINK("https://vtmf.veevavault.com/ui/#doc_info/31477869/1/0", "42847922MDD3003-ARG-S10-AR10010-Relevant Communications-26 Feb 2026 (v1.0)")</f>
        <v/>
      </c>
      <c r="G1064" s="5" t="inlineStr">
        <is>
          <t>Site Management</t>
        </is>
      </c>
      <c r="H1064" s="5" t="inlineStr">
        <is>
          <t>General</t>
        </is>
      </c>
      <c r="I1064" s="5" t="inlineStr">
        <is>
          <t>Relevant Communications</t>
        </is>
      </c>
      <c r="J1064" s="5" t="inlineStr">
        <is>
          <t>Visit retest_S10-AR10010 Subject AR100100002</t>
        </is>
      </c>
      <c r="K1064" s="6" t="n">
        <v>50</v>
      </c>
      <c r="L1064" s="7" t="n">
        <v>46079</v>
      </c>
      <c r="M1064" s="11" t="n">
        <v>46129</v>
      </c>
      <c r="N1064" s="5" t="inlineStr">
        <is>
          <t>Approved</t>
        </is>
      </c>
      <c r="O1064" s="5" t="inlineStr">
        <is>
          <t>Site</t>
        </is>
      </c>
      <c r="P1064" s="5" t="inlineStr">
        <is>
          <t>Argentina</t>
        </is>
      </c>
      <c r="Q1064" s="13" t="inlineStr">
        <is>
          <t>S10-AR10010</t>
        </is>
      </c>
      <c r="R1064" s="5" t="inlineStr">
        <is>
          <t>Aurora Barbera</t>
        </is>
      </c>
      <c r="S1064" s="8" t="n">
        <v>46129.52625</v>
      </c>
    </row>
    <row r="1065" hidden="1" ht="29" customHeight="1">
      <c r="A1065" s="15">
        <f>HYPERLINK("https://vtmf.veevavault.com/ui/#doc_info/31477878/1/0", "VTMF-25400674")</f>
        <v/>
      </c>
      <c r="B1065" s="20" t="inlineStr">
        <is>
          <t>Yes</t>
        </is>
      </c>
      <c r="C1065" s="5" t="inlineStr">
        <is>
          <t>1.0</t>
        </is>
      </c>
      <c r="D1065" s="5" t="inlineStr">
        <is>
          <t>GCO</t>
        </is>
      </c>
      <c r="E1065" s="5" t="inlineStr">
        <is>
          <t>42847922MDD3003</t>
        </is>
      </c>
      <c r="F1065" s="16">
        <f>HYPERLINK("https://vtmf.veevavault.com/ui/#doc_info/31477878/1/0", "42847922MDD3003-USA-S10-US10212-Relevant Communications-08 Jul 2025 (v1.0)")</f>
        <v/>
      </c>
      <c r="G1065" s="5" t="inlineStr">
        <is>
          <t>Site Management</t>
        </is>
      </c>
      <c r="H1065" s="5" t="inlineStr">
        <is>
          <t>General</t>
        </is>
      </c>
      <c r="I1065" s="5" t="inlineStr">
        <is>
          <t>Relevant Communications</t>
        </is>
      </c>
      <c r="J1065" s="5" t="inlineStr">
        <is>
          <t>Visit 1 alert_S10-US10212 Subject US102120017</t>
        </is>
      </c>
      <c r="K1065" s="6" t="n">
        <v>283</v>
      </c>
      <c r="L1065" s="7" t="n">
        <v>45846</v>
      </c>
      <c r="M1065" s="11" t="n">
        <v>46129</v>
      </c>
      <c r="N1065" s="5" t="inlineStr">
        <is>
          <t>Approved</t>
        </is>
      </c>
      <c r="O1065" s="5" t="inlineStr">
        <is>
          <t>Site</t>
        </is>
      </c>
      <c r="P1065" s="5" t="inlineStr">
        <is>
          <t>United States</t>
        </is>
      </c>
      <c r="Q1065" s="13" t="inlineStr">
        <is>
          <t>S10-US10212</t>
        </is>
      </c>
      <c r="R1065" s="5" t="inlineStr">
        <is>
          <t>Aurora Barbera</t>
        </is>
      </c>
      <c r="S1065" s="8" t="n">
        <v>46129.52802083334</v>
      </c>
    </row>
    <row r="1066" hidden="1" ht="29" customHeight="1">
      <c r="A1066" s="15">
        <f>HYPERLINK("https://vtmf.veevavault.com/ui/#doc_info/31477884/1/0", "VTMF-25400690")</f>
        <v/>
      </c>
      <c r="B1066" s="20" t="inlineStr">
        <is>
          <t>Yes</t>
        </is>
      </c>
      <c r="C1066" s="5" t="inlineStr">
        <is>
          <t>1.0</t>
        </is>
      </c>
      <c r="D1066" s="5" t="inlineStr">
        <is>
          <t>GCO</t>
        </is>
      </c>
      <c r="E1066" s="5" t="inlineStr">
        <is>
          <t>42847922MDD3003</t>
        </is>
      </c>
      <c r="F1066" s="16">
        <f>HYPERLINK("https://vtmf.veevavault.com/ui/#doc_info/31477884/1/0", "42847922MDD3003-BRA-S10-BR10002-Relevant Communications-23 Jul 2025 (v1.0)")</f>
        <v/>
      </c>
      <c r="G1066" s="5" t="inlineStr">
        <is>
          <t>Site Management</t>
        </is>
      </c>
      <c r="H1066" s="5" t="inlineStr">
        <is>
          <t>General</t>
        </is>
      </c>
      <c r="I1066" s="5" t="inlineStr">
        <is>
          <t>Relevant Communications</t>
        </is>
      </c>
      <c r="J1066" s="5" t="inlineStr">
        <is>
          <t>abnormal TSH And Free T4_S10-BR10002 Subjects BR100020009 and BR1000200011</t>
        </is>
      </c>
      <c r="K1066" s="6" t="n">
        <v>268</v>
      </c>
      <c r="L1066" s="7" t="n">
        <v>45861</v>
      </c>
      <c r="M1066" s="11" t="n">
        <v>46129</v>
      </c>
      <c r="N1066" s="5" t="inlineStr">
        <is>
          <t>Approved</t>
        </is>
      </c>
      <c r="O1066" s="5" t="inlineStr">
        <is>
          <t>Site</t>
        </is>
      </c>
      <c r="P1066" s="5" t="inlineStr">
        <is>
          <t>Brazil</t>
        </is>
      </c>
      <c r="Q1066" s="13" t="inlineStr">
        <is>
          <t>S10-BR10002</t>
        </is>
      </c>
      <c r="R1066" s="5" t="inlineStr">
        <is>
          <t>Aurora Barbera</t>
        </is>
      </c>
      <c r="S1066" s="8" t="n">
        <v>46129.52989583334</v>
      </c>
    </row>
    <row r="1067" hidden="1" ht="29" customHeight="1">
      <c r="A1067" s="15">
        <f>HYPERLINK("https://vtmf.veevavault.com/ui/#doc_info/31477892/1/0", "VTMF-25400705")</f>
        <v/>
      </c>
      <c r="B1067" s="20" t="inlineStr">
        <is>
          <t>Yes</t>
        </is>
      </c>
      <c r="C1067" s="5" t="inlineStr">
        <is>
          <t>1.0</t>
        </is>
      </c>
      <c r="D1067" s="5" t="inlineStr">
        <is>
          <t>GCO</t>
        </is>
      </c>
      <c r="E1067" s="5" t="inlineStr">
        <is>
          <t>42847922MDD3003</t>
        </is>
      </c>
      <c r="F1067" s="16">
        <f>HYPERLINK("https://vtmf.veevavault.com/ui/#doc_info/31477892/1/0", "42847922MDD3003-USA-S10-US10007-Relevant Communications-11 Aug 2025 (v1.0)")</f>
        <v/>
      </c>
      <c r="G1067" s="5" t="inlineStr">
        <is>
          <t>Site Management</t>
        </is>
      </c>
      <c r="H1067" s="5" t="inlineStr">
        <is>
          <t>General</t>
        </is>
      </c>
      <c r="I1067" s="5" t="inlineStr">
        <is>
          <t>Relevant Communications</t>
        </is>
      </c>
      <c r="J1067" s="5" t="inlineStr">
        <is>
          <t>Visit end of phase/treatment retest_S10-US10007 Subject US100070011</t>
        </is>
      </c>
      <c r="K1067" s="6" t="n">
        <v>249</v>
      </c>
      <c r="L1067" s="7" t="n">
        <v>45880</v>
      </c>
      <c r="M1067" s="11" t="n">
        <v>46129</v>
      </c>
      <c r="N1067" s="5" t="inlineStr">
        <is>
          <t>Approved</t>
        </is>
      </c>
      <c r="O1067" s="5" t="inlineStr">
        <is>
          <t>Site</t>
        </is>
      </c>
      <c r="P1067" s="5" t="inlineStr">
        <is>
          <t>United States</t>
        </is>
      </c>
      <c r="Q1067" s="13" t="inlineStr">
        <is>
          <t>S10-US10007</t>
        </is>
      </c>
      <c r="R1067" s="5" t="inlineStr">
        <is>
          <t>Aurora Barbera</t>
        </is>
      </c>
      <c r="S1067" s="8" t="n">
        <v>46129.53266203704</v>
      </c>
    </row>
    <row r="1068" hidden="1" ht="29" customHeight="1">
      <c r="A1068" s="15">
        <f>HYPERLINK("https://vtmf.veevavault.com/ui/#doc_info/31478003/1/0", "VTMF-25400724")</f>
        <v/>
      </c>
      <c r="B1068" s="20" t="inlineStr">
        <is>
          <t>Yes</t>
        </is>
      </c>
      <c r="C1068" s="5" t="inlineStr">
        <is>
          <t>1.0</t>
        </is>
      </c>
      <c r="D1068" s="5" t="inlineStr">
        <is>
          <t>GCO</t>
        </is>
      </c>
      <c r="E1068" s="5" t="inlineStr">
        <is>
          <t>42847922MDD3003</t>
        </is>
      </c>
      <c r="F1068" s="16">
        <f>HYPERLINK("https://vtmf.veevavault.com/ui/#doc_info/31478003/1/0", "42847922MDD3003-USA-S10-US10256-Relevant Communications-29 Sep 2025 (v1.0)")</f>
        <v/>
      </c>
      <c r="G1068" s="5" t="inlineStr">
        <is>
          <t>Site Management</t>
        </is>
      </c>
      <c r="H1068" s="5" t="inlineStr">
        <is>
          <t>General</t>
        </is>
      </c>
      <c r="I1068" s="5" t="inlineStr">
        <is>
          <t>Relevant Communications</t>
        </is>
      </c>
      <c r="J1068" s="5" t="inlineStr">
        <is>
          <t>Baseline Disclosure_S10-US10256 Subject 102560015</t>
        </is>
      </c>
      <c r="K1068" s="6" t="n">
        <v>200</v>
      </c>
      <c r="L1068" s="7" t="n">
        <v>45929</v>
      </c>
      <c r="M1068" s="11" t="n">
        <v>46129</v>
      </c>
      <c r="N1068" s="5" t="inlineStr">
        <is>
          <t>Approved</t>
        </is>
      </c>
      <c r="O1068" s="5" t="inlineStr">
        <is>
          <t>Site</t>
        </is>
      </c>
      <c r="P1068" s="5" t="inlineStr">
        <is>
          <t>United States</t>
        </is>
      </c>
      <c r="Q1068" s="13" t="inlineStr">
        <is>
          <t>S10-US10256</t>
        </is>
      </c>
      <c r="R1068" s="5" t="inlineStr">
        <is>
          <t>Aurora Barbera</t>
        </is>
      </c>
      <c r="S1068" s="8" t="n">
        <v>46129.53423611111</v>
      </c>
    </row>
    <row r="1069" hidden="1" ht="29" customHeight="1">
      <c r="A1069" s="15">
        <f>HYPERLINK("https://vtmf.veevavault.com/ui/#doc_info/31478019/1/0", "VTMF-25400738")</f>
        <v/>
      </c>
      <c r="B1069" s="20" t="inlineStr">
        <is>
          <t>Yes</t>
        </is>
      </c>
      <c r="C1069" s="5" t="inlineStr">
        <is>
          <t>1.0</t>
        </is>
      </c>
      <c r="D1069" s="5" t="inlineStr">
        <is>
          <t>GCO</t>
        </is>
      </c>
      <c r="E1069" s="5" t="inlineStr">
        <is>
          <t>42847922MDD3003</t>
        </is>
      </c>
      <c r="F1069" s="16">
        <f>HYPERLINK("https://vtmf.veevavault.com/ui/#doc_info/31478019/1/0", "42847922MDD3003-ARG-S10-AR10013-Relevant Communications-30 Sep 2025 (v1.0)")</f>
        <v/>
      </c>
      <c r="G1069" s="5" t="inlineStr">
        <is>
          <t>Site Management</t>
        </is>
      </c>
      <c r="H1069" s="5" t="inlineStr">
        <is>
          <t>General</t>
        </is>
      </c>
      <c r="I1069" s="5" t="inlineStr">
        <is>
          <t>Relevant Communications</t>
        </is>
      </c>
      <c r="J1069" s="5" t="inlineStr">
        <is>
          <t>Visit part 1 screening_S10-AR10013 Subject AR100130008</t>
        </is>
      </c>
      <c r="K1069" s="6" t="n">
        <v>199</v>
      </c>
      <c r="L1069" s="7" t="n">
        <v>45930</v>
      </c>
      <c r="M1069" s="11" t="n">
        <v>46129</v>
      </c>
      <c r="N1069" s="5" t="inlineStr">
        <is>
          <t>Approved</t>
        </is>
      </c>
      <c r="O1069" s="5" t="inlineStr">
        <is>
          <t>Site</t>
        </is>
      </c>
      <c r="P1069" s="5" t="inlineStr">
        <is>
          <t>Argentina</t>
        </is>
      </c>
      <c r="Q1069" s="13" t="inlineStr">
        <is>
          <t>S10-AR10013</t>
        </is>
      </c>
      <c r="R1069" s="5" t="inlineStr">
        <is>
          <t>Aurora Barbera</t>
        </is>
      </c>
      <c r="S1069" s="8" t="n">
        <v>46129.53614583334</v>
      </c>
    </row>
    <row r="1070" hidden="1" ht="29" customHeight="1">
      <c r="A1070" s="15">
        <f>HYPERLINK("https://vtmf.veevavault.com/ui/#doc_info/31478039/1/0", "VTMF-25400769")</f>
        <v/>
      </c>
      <c r="B1070" s="20" t="inlineStr">
        <is>
          <t>Yes</t>
        </is>
      </c>
      <c r="C1070" s="5" t="inlineStr">
        <is>
          <t>1.0</t>
        </is>
      </c>
      <c r="D1070" s="5" t="inlineStr">
        <is>
          <t>GCO</t>
        </is>
      </c>
      <c r="E1070" s="5" t="inlineStr">
        <is>
          <t>42847922MDD3003</t>
        </is>
      </c>
      <c r="F1070" s="16">
        <f>HYPERLINK("https://vtmf.veevavault.com/ui/#doc_info/31478039/1/0", "42847922MDD3003-BRA-S10-BR10002-Relevant Communications-15 Oct 2025 (v1.0)")</f>
        <v/>
      </c>
      <c r="G1070" s="5" t="inlineStr">
        <is>
          <t>Site Management</t>
        </is>
      </c>
      <c r="H1070" s="5" t="inlineStr">
        <is>
          <t>General</t>
        </is>
      </c>
      <c r="I1070" s="5" t="inlineStr">
        <is>
          <t>Relevant Communications</t>
        </is>
      </c>
      <c r="J1070" s="5" t="inlineStr">
        <is>
          <t>Visit part 2 DB week 13_S10-BR10002 Subject BR100020009</t>
        </is>
      </c>
      <c r="K1070" s="6" t="n">
        <v>184</v>
      </c>
      <c r="L1070" s="7" t="n">
        <v>45945</v>
      </c>
      <c r="M1070" s="11" t="n">
        <v>46129</v>
      </c>
      <c r="N1070" s="5" t="inlineStr">
        <is>
          <t>Approved</t>
        </is>
      </c>
      <c r="O1070" s="5" t="inlineStr">
        <is>
          <t>Site</t>
        </is>
      </c>
      <c r="P1070" s="5" t="inlineStr">
        <is>
          <t>Brazil</t>
        </is>
      </c>
      <c r="Q1070" s="13" t="inlineStr">
        <is>
          <t>S10-BR10002</t>
        </is>
      </c>
      <c r="R1070" s="5" t="inlineStr">
        <is>
          <t>Aurora Barbera</t>
        </is>
      </c>
      <c r="S1070" s="8" t="n">
        <v>46129.53934027778</v>
      </c>
    </row>
    <row r="1071" hidden="1" ht="29" customHeight="1">
      <c r="A1071" s="15">
        <f>HYPERLINK("https://vtmf.veevavault.com/ui/#doc_info/31477951/1/0", "VTMF-25400809")</f>
        <v/>
      </c>
      <c r="B1071" s="20" t="inlineStr">
        <is>
          <t>Yes</t>
        </is>
      </c>
      <c r="C1071" s="5" t="inlineStr">
        <is>
          <t>1.0</t>
        </is>
      </c>
      <c r="D1071" s="5" t="inlineStr">
        <is>
          <t>GCO</t>
        </is>
      </c>
      <c r="E1071" s="5" t="inlineStr">
        <is>
          <t>42847922MDD3003</t>
        </is>
      </c>
      <c r="F1071" s="16">
        <f>HYPERLINK("https://vtmf.veevavault.com/ui/#doc_info/31477951/1/0", "42847922MDD3003-ARG-S10-AR10015-Relevant Communications-20 May 2025 (v1.0)")</f>
        <v/>
      </c>
      <c r="G1071" s="5" t="inlineStr">
        <is>
          <t>Site Management</t>
        </is>
      </c>
      <c r="H1071" s="5" t="inlineStr">
        <is>
          <t>General</t>
        </is>
      </c>
      <c r="I1071" s="5" t="inlineStr">
        <is>
          <t>Relevant Communications</t>
        </is>
      </c>
      <c r="J1071" s="5" t="inlineStr">
        <is>
          <t>Visit part 2 OL Induction Baseline_S10-AR10015 Subject AR100150005</t>
        </is>
      </c>
      <c r="K1071" s="6" t="n">
        <v>332</v>
      </c>
      <c r="L1071" s="7" t="n">
        <v>45797</v>
      </c>
      <c r="M1071" s="11" t="n">
        <v>46129</v>
      </c>
      <c r="N1071" s="5" t="inlineStr">
        <is>
          <t>Approved</t>
        </is>
      </c>
      <c r="O1071" s="5" t="inlineStr">
        <is>
          <t>Site</t>
        </is>
      </c>
      <c r="P1071" s="5" t="inlineStr">
        <is>
          <t>Argentina</t>
        </is>
      </c>
      <c r="Q1071" s="13" t="inlineStr">
        <is>
          <t>S10-AR10015</t>
        </is>
      </c>
      <c r="R1071" s="5" t="inlineStr">
        <is>
          <t>Aurora Barbera</t>
        </is>
      </c>
      <c r="S1071" s="8" t="n">
        <v>46129.54384259259</v>
      </c>
    </row>
    <row r="1072" hidden="1" ht="29" customHeight="1">
      <c r="A1072" s="15">
        <f>HYPERLINK("https://vtmf.veevavault.com/ui/#doc_info/31477969/1/0", "VTMF-25400849")</f>
        <v/>
      </c>
      <c r="B1072" s="20" t="inlineStr">
        <is>
          <t>Yes</t>
        </is>
      </c>
      <c r="C1072" s="5" t="inlineStr">
        <is>
          <t>1.0</t>
        </is>
      </c>
      <c r="D1072" s="5" t="inlineStr">
        <is>
          <t>GCO</t>
        </is>
      </c>
      <c r="E1072" s="5" t="inlineStr">
        <is>
          <t>42847922MDD3003</t>
        </is>
      </c>
      <c r="F1072" s="16">
        <f>HYPERLINK("https://vtmf.veevavault.com/ui/#doc_info/31477969/1/0", "42847922MDD3003-ARG-S10-AR10010-Relevant Communications-17 Feb 2026 (v1.0)")</f>
        <v/>
      </c>
      <c r="G1072" s="5" t="inlineStr">
        <is>
          <t>Site Management</t>
        </is>
      </c>
      <c r="H1072" s="5" t="inlineStr">
        <is>
          <t>General</t>
        </is>
      </c>
      <c r="I1072" s="5" t="inlineStr">
        <is>
          <t>Relevant Communications</t>
        </is>
      </c>
      <c r="J1072" s="5" t="inlineStr">
        <is>
          <t>Visit retest_S10-AR10010 Subject AR100100002</t>
        </is>
      </c>
      <c r="K1072" s="6" t="n">
        <v>59</v>
      </c>
      <c r="L1072" s="7" t="n">
        <v>46070</v>
      </c>
      <c r="M1072" s="11" t="n">
        <v>46129</v>
      </c>
      <c r="N1072" s="5" t="inlineStr">
        <is>
          <t>Approved</t>
        </is>
      </c>
      <c r="O1072" s="5" t="inlineStr">
        <is>
          <t>Site</t>
        </is>
      </c>
      <c r="P1072" s="5" t="inlineStr">
        <is>
          <t>Argentina</t>
        </is>
      </c>
      <c r="Q1072" s="13" t="inlineStr">
        <is>
          <t>S10-AR10010</t>
        </is>
      </c>
      <c r="R1072" s="5" t="inlineStr">
        <is>
          <t>Aurora Barbera</t>
        </is>
      </c>
      <c r="S1072" s="8" t="n">
        <v>46129.54696759259</v>
      </c>
    </row>
    <row r="1073" hidden="1" ht="29" customHeight="1">
      <c r="A1073" s="15">
        <f>HYPERLINK("https://vtmf.veevavault.com/ui/#doc_info/31481022/1/0", "VTMF-25403330")</f>
        <v/>
      </c>
      <c r="B1073" s="20" t="inlineStr">
        <is>
          <t>Yes</t>
        </is>
      </c>
      <c r="C1073" s="5" t="inlineStr">
        <is>
          <t>1.0</t>
        </is>
      </c>
      <c r="D1073" s="5" t="inlineStr">
        <is>
          <t>GCO</t>
        </is>
      </c>
      <c r="E1073" s="5" t="inlineStr">
        <is>
          <t>42847922MDD3003</t>
        </is>
      </c>
      <c r="F1073" s="16">
        <f>HYPERLINK("https://vtmf.veevavault.com/ui/#doc_info/31481022/1/0", "42847922MDD3003-BRA-S10-BR10008-Relevant Communications-13 Jan 2026 (v1.0)")</f>
        <v/>
      </c>
      <c r="G1073" s="5" t="inlineStr">
        <is>
          <t>IRB/IEC and other Approvals</t>
        </is>
      </c>
      <c r="H1073" s="5" t="inlineStr">
        <is>
          <t>General</t>
        </is>
      </c>
      <c r="I1073" s="5" t="inlineStr">
        <is>
          <t>Relevant Communications</t>
        </is>
      </c>
      <c r="J1073" s="5" t="inlineStr">
        <is>
          <t>Email communication_IRB Investiga — De-accreditation; 13jJan2026</t>
        </is>
      </c>
      <c r="K1073" s="6" t="n">
        <v>94</v>
      </c>
      <c r="L1073" s="7" t="n">
        <v>46035</v>
      </c>
      <c r="M1073" s="11" t="n">
        <v>46129</v>
      </c>
      <c r="N1073" s="5" t="inlineStr">
        <is>
          <t>Approved</t>
        </is>
      </c>
      <c r="O1073" s="5" t="inlineStr">
        <is>
          <t>Site</t>
        </is>
      </c>
      <c r="P1073" s="5" t="inlineStr">
        <is>
          <t>Brazil</t>
        </is>
      </c>
      <c r="Q1073" s="13" t="inlineStr">
        <is>
          <t>S10-BR10008</t>
        </is>
      </c>
      <c r="R1073" s="5" t="inlineStr">
        <is>
          <t>Briellen Santos</t>
        </is>
      </c>
      <c r="S1073" s="8" t="n">
        <v>46129.7847337963</v>
      </c>
    </row>
    <row r="1074" hidden="1" ht="29" customHeight="1">
      <c r="A1074" s="15">
        <f>HYPERLINK("https://vtmf.veevavault.com/ui/#doc_info/31468214/1/0", "VTMF-25441558")</f>
        <v/>
      </c>
      <c r="B1074" s="20" t="inlineStr">
        <is>
          <t>Yes</t>
        </is>
      </c>
      <c r="C1074" s="5" t="inlineStr">
        <is>
          <t>1.0</t>
        </is>
      </c>
      <c r="D1074" s="5" t="inlineStr">
        <is>
          <t>GCO</t>
        </is>
      </c>
      <c r="E1074" s="5" t="inlineStr">
        <is>
          <t>42847922MDD3003</t>
        </is>
      </c>
      <c r="F1074" s="16">
        <f>HYPERLINK("https://vtmf.veevavault.com/ui/#doc_info/31468214/1/0", "42847922MDD3003-BRA-S10-BR10010-Relevant Communications-23 Mar 2026 (v1.0)")</f>
        <v/>
      </c>
      <c r="G1074" s="5" t="inlineStr">
        <is>
          <t>Site Management</t>
        </is>
      </c>
      <c r="H1074" s="5" t="inlineStr">
        <is>
          <t>General</t>
        </is>
      </c>
      <c r="I1074" s="5" t="inlineStr">
        <is>
          <t>Relevant Communications</t>
        </is>
      </c>
      <c r="J1074" s="5" t="inlineStr">
        <is>
          <t>Email: CAPA ICF + FUP Letter; 23Mar2026</t>
        </is>
      </c>
      <c r="K1074" s="6" t="n">
        <v>32</v>
      </c>
      <c r="L1074" s="7" t="n">
        <v>46104</v>
      </c>
      <c r="M1074" s="11" t="n">
        <v>46136</v>
      </c>
      <c r="N1074" s="5" t="inlineStr">
        <is>
          <t>Approved</t>
        </is>
      </c>
      <c r="O1074" s="5" t="inlineStr">
        <is>
          <t>Site</t>
        </is>
      </c>
      <c r="P1074" s="5" t="inlineStr">
        <is>
          <t>Brazil</t>
        </is>
      </c>
      <c r="Q1074" s="13" t="inlineStr">
        <is>
          <t>S10-BR10010</t>
        </is>
      </c>
      <c r="R1074" s="5" t="inlineStr">
        <is>
          <t>GUILHERME BENEVIDES</t>
        </is>
      </c>
      <c r="S1074" s="8" t="n">
        <v>46128.61311342593</v>
      </c>
    </row>
    <row r="1075" hidden="1" ht="29" customHeight="1">
      <c r="A1075" s="15">
        <f>HYPERLINK("https://vtmf.veevavault.com/ui/#doc_info/31162989/1/0", "VTMF-25441662")</f>
        <v/>
      </c>
      <c r="B1075" s="20" t="inlineStr">
        <is>
          <t>Yes</t>
        </is>
      </c>
      <c r="C1075" s="5" t="inlineStr">
        <is>
          <t>1.0</t>
        </is>
      </c>
      <c r="D1075" s="5" t="inlineStr">
        <is>
          <t>GCO</t>
        </is>
      </c>
      <c r="E1075" s="5" t="inlineStr">
        <is>
          <t>42847922MDD3003</t>
        </is>
      </c>
      <c r="F1075" s="16">
        <f>HYPERLINK("https://vtmf.veevavault.com/ui/#doc_info/31162989/1/0", "42847922MDD3003-BRA-S10-BR10021-IP Documentation of Return-20 Feb 2025 (v1.0)")</f>
        <v/>
      </c>
      <c r="G1075" s="5" t="inlineStr">
        <is>
          <t>IP and Trial Supplies</t>
        </is>
      </c>
      <c r="H1075" s="5" t="inlineStr">
        <is>
          <t>IP Documentation</t>
        </is>
      </c>
      <c r="I1075" s="5" t="inlineStr">
        <is>
          <t>IP Documentation Return</t>
        </is>
      </c>
      <c r="J1075" s="5" t="inlineStr">
        <is>
          <t>IP Return_ID 203_Recco, K; 20Feb2025</t>
        </is>
      </c>
      <c r="K1075" s="6" t="n">
        <v>428</v>
      </c>
      <c r="L1075" s="7" t="n">
        <v>45708</v>
      </c>
      <c r="M1075" s="11" t="n">
        <v>46136</v>
      </c>
      <c r="N1075" s="5" t="inlineStr">
        <is>
          <t>Approved</t>
        </is>
      </c>
      <c r="O1075" s="5" t="inlineStr">
        <is>
          <t>Site</t>
        </is>
      </c>
      <c r="P1075" s="5" t="inlineStr">
        <is>
          <t>Brazil</t>
        </is>
      </c>
      <c r="Q1075" s="13" t="inlineStr">
        <is>
          <t>S10-BR10021</t>
        </is>
      </c>
      <c r="R1075" s="5" t="inlineStr">
        <is>
          <t>GUILHERME BENEVIDES</t>
        </is>
      </c>
      <c r="S1075" s="8" t="n">
        <v>46092.86383101852</v>
      </c>
    </row>
    <row r="1076" hidden="1" ht="409.5" customHeight="1">
      <c r="A1076" s="15">
        <f>HYPERLINK("https://vtmf.veevavault.com/ui/#doc_info/12518386/3/0", "VTMF-8370988")</f>
        <v/>
      </c>
      <c r="B1076" s="18" t="inlineStr">
        <is>
          <t>N/A</t>
        </is>
      </c>
      <c r="C1076" s="5" t="inlineStr">
        <is>
          <t>3.0</t>
        </is>
      </c>
      <c r="D1076" s="5" t="inlineStr">
        <is>
          <t>GCO</t>
        </is>
      </c>
      <c r="E1076" s="5" t="inlineStr">
        <is>
          <t>17000139BLC3001, 17000139BLC3002, 17000139BLC3004, 42756493BLC2003, 42756493BLC3001, 42756493BLC3004, 42756493BLC3005, 42756493CAN2002, 42847922MDD3003, 53718678RSV2005, 53718678RSV2008, 54767414SMM3001, 56021927PCR3002, 56021927PCR3003, 56021927PCR3011, 61186372NSC2007, 61186372NSC3002, 61186372NSC3004, 63723283LUC1001, 64007957MMY3001, 64091742PCR3001, 67652000PCR3002, 67864238PACRD2001, 67953964MDD3002, 67953964MDD3003, 67953964MDD3004, 67953964MDD3005, 68284528MMY3004, 70033093ACS3003, 70033093AFL3002, 70033093STR3001, 70033093THR2001, 73841937NSC3003, 77242113CRD3001, 77242113PSA3001, 77242113PSA3002, 77242113PSO3001, 77242113PSO3002, 77242113PSO3003, 77242113PSO3006, 77242113UCO2001, 77242113UCO3001, 77474462ADM2003, 78934804CRD2001, 78934804UCO2001, 80202135CDP3001, 80202135EBF3001, 80202135LUN2001, 80202135SJS3001, 80202135SLE2001, 80202135SLE3001, 95475939ADM2001, 95597528ADM2001, AC-055-315, AC-055G203, AC-065A310, AC-065B302, CNTO1275ISD3001, CNTO1275JPA3001, CNTO136COV2001, CNTO1959CRD3007, CNTO1959ISD3001, CNTO1959PSA3005, CNTO1959PSA4002, CNTO1959UCO2002, CNTO1959UCO3001, CNTO1959UCO3004, PCI-32765CAN3001, PCI-32765MCL3002, R092670PSY3016</t>
        </is>
      </c>
      <c r="F1076" s="16">
        <f>HYPERLINK("https://vtmf.veevavault.com/ui/#doc_info/12518386/3/0", "Country_Regulations de ANMAT Argentina v2.0 (v3.0)")</f>
        <v/>
      </c>
      <c r="G1076" s="5" t="inlineStr">
        <is>
          <t>Trial Management</t>
        </is>
      </c>
      <c r="H1076" s="5" t="inlineStr">
        <is>
          <t>Trial Oversight</t>
        </is>
      </c>
      <c r="I1076" s="5" t="inlineStr">
        <is>
          <t>Study Specific Training Material</t>
        </is>
      </c>
      <c r="J1076" s="5" t="inlineStr">
        <is>
          <t>Regulations de ANMAT Argentina v2.0</t>
        </is>
      </c>
      <c r="K1076" s="6" t="n">
        <v>2194</v>
      </c>
      <c r="L1076" s="7" t="n">
        <v>43920</v>
      </c>
      <c r="M1076" s="11" t="n">
        <v>46114</v>
      </c>
      <c r="N1076" s="5" t="inlineStr">
        <is>
          <t>Approved</t>
        </is>
      </c>
      <c r="O1076" s="5" t="inlineStr">
        <is>
          <t>Country</t>
        </is>
      </c>
      <c r="P1076" s="5" t="inlineStr">
        <is>
          <t>Argentina</t>
        </is>
      </c>
      <c r="Q1076" s="13" t="inlineStr"/>
      <c r="R1076" s="5" t="inlineStr">
        <is>
          <t>Jen Goodridge</t>
        </is>
      </c>
      <c r="S1076" s="8" t="n">
        <v>46113.91569444445</v>
      </c>
    </row>
    <row r="1077">
      <c r="Q1077" s="5" t="n"/>
      <c r="U1077" s="9" t="n"/>
    </row>
    <row r="1078">
      <c r="U1078" s="9" t="n"/>
    </row>
    <row r="1079">
      <c r="U1079" s="9" t="n"/>
    </row>
    <row r="1080">
      <c r="U1080" s="9" t="n"/>
    </row>
    <row r="1081">
      <c r="U1081" s="9" t="n"/>
    </row>
    <row r="1082">
      <c r="U1082" s="9" t="n"/>
    </row>
    <row r="1083">
      <c r="U1083" s="9" t="n"/>
    </row>
    <row r="1084">
      <c r="U1084" s="9" t="n"/>
    </row>
    <row r="1085">
      <c r="U1085" s="9" t="n"/>
    </row>
    <row r="1086">
      <c r="U1086" s="9" t="n"/>
    </row>
    <row r="1087">
      <c r="U1087" s="9" t="n"/>
    </row>
    <row r="1088">
      <c r="U1088" s="9" t="n"/>
    </row>
    <row r="1089">
      <c r="U1089" s="9" t="n"/>
    </row>
    <row r="1090">
      <c r="U1090" s="9" t="n"/>
    </row>
    <row r="1091">
      <c r="U1091" s="9" t="n"/>
    </row>
    <row r="1092">
      <c r="U1092" s="9" t="n"/>
    </row>
    <row r="1093">
      <c r="U1093" s="9" t="n"/>
    </row>
    <row r="1094">
      <c r="U1094" s="9" t="n"/>
    </row>
    <row r="1095">
      <c r="U1095" s="9" t="n"/>
    </row>
    <row r="1096">
      <c r="U1096" s="9" t="n"/>
    </row>
    <row r="1097">
      <c r="U1097" s="9" t="n"/>
    </row>
    <row r="1098">
      <c r="U1098" s="9" t="n"/>
    </row>
    <row r="1099">
      <c r="U1099" s="9" t="n"/>
    </row>
    <row r="1100">
      <c r="U1100" s="9" t="n"/>
    </row>
    <row r="1101">
      <c r="U1101" s="9" t="n"/>
    </row>
    <row r="1102">
      <c r="U1102" s="9" t="n"/>
    </row>
    <row r="1103">
      <c r="U1103" s="9" t="n"/>
    </row>
    <row r="1104">
      <c r="U1104" s="9" t="n"/>
    </row>
    <row r="1105">
      <c r="U1105" s="9" t="n"/>
    </row>
    <row r="1106">
      <c r="U1106" s="9" t="n"/>
    </row>
    <row r="1107">
      <c r="U1107" s="9" t="n"/>
    </row>
    <row r="1108">
      <c r="U1108" s="9" t="n"/>
    </row>
    <row r="1109">
      <c r="U1109" s="9" t="n"/>
    </row>
    <row r="1110">
      <c r="U1110" s="9" t="n"/>
    </row>
    <row r="1111">
      <c r="U1111" s="9" t="n"/>
    </row>
    <row r="1112">
      <c r="U1112" s="9" t="n"/>
    </row>
    <row r="1113">
      <c r="U1113" s="9" t="n"/>
    </row>
    <row r="1114">
      <c r="U1114" s="9" t="n"/>
    </row>
    <row r="1115">
      <c r="U1115" s="9" t="n"/>
    </row>
    <row r="1116">
      <c r="U1116" s="9" t="n"/>
    </row>
    <row r="1117">
      <c r="U1117" s="9" t="n"/>
    </row>
    <row r="1118">
      <c r="U1118" s="9" t="n"/>
    </row>
    <row r="1119">
      <c r="U1119" s="9" t="n"/>
    </row>
    <row r="1120">
      <c r="U1120" s="9" t="n"/>
    </row>
    <row r="1121">
      <c r="U1121" s="9" t="n"/>
    </row>
    <row r="1122">
      <c r="U1122" s="9" t="n"/>
    </row>
    <row r="1123">
      <c r="U1123" s="9" t="n"/>
    </row>
    <row r="1124">
      <c r="U1124" s="9" t="n"/>
    </row>
    <row r="1125">
      <c r="U1125" s="9" t="n"/>
    </row>
    <row r="1126">
      <c r="U1126" s="9" t="n"/>
    </row>
    <row r="1127">
      <c r="U1127" s="9" t="n"/>
    </row>
    <row r="1128">
      <c r="U1128" s="9" t="n"/>
    </row>
    <row r="1129">
      <c r="U1129" s="9" t="n"/>
    </row>
    <row r="1130">
      <c r="U1130" s="9" t="n"/>
    </row>
    <row r="1131">
      <c r="U1131" s="9" t="n"/>
    </row>
    <row r="1132">
      <c r="U1132" s="9" t="n"/>
    </row>
    <row r="1133">
      <c r="U1133" s="9" t="n"/>
    </row>
    <row r="1134">
      <c r="U1134" s="9" t="n"/>
    </row>
    <row r="1135">
      <c r="U1135" s="9" t="n"/>
    </row>
    <row r="1136">
      <c r="U1136" s="9" t="n"/>
    </row>
    <row r="1137">
      <c r="U1137" s="9" t="n"/>
    </row>
    <row r="1138">
      <c r="U1138" s="9" t="n"/>
    </row>
    <row r="1139">
      <c r="U1139" s="9" t="n"/>
    </row>
    <row r="1140">
      <c r="U1140" s="9" t="n"/>
    </row>
    <row r="1141">
      <c r="U1141" s="9" t="n"/>
    </row>
    <row r="1142">
      <c r="U1142" s="9" t="n"/>
    </row>
    <row r="1143">
      <c r="U1143" s="9" t="n"/>
    </row>
    <row r="1144">
      <c r="U1144" s="9" t="n"/>
    </row>
    <row r="1145">
      <c r="U1145" s="9" t="n"/>
    </row>
    <row r="1146">
      <c r="U1146" s="9" t="n"/>
    </row>
    <row r="1147">
      <c r="U1147" s="9" t="n"/>
    </row>
    <row r="1148">
      <c r="U1148" s="9" t="n"/>
    </row>
    <row r="1149">
      <c r="U1149" s="9" t="n"/>
    </row>
    <row r="1150">
      <c r="U1150" s="9" t="n"/>
    </row>
    <row r="1151">
      <c r="U1151" s="9" t="n"/>
    </row>
    <row r="1152">
      <c r="U1152" s="9" t="n"/>
    </row>
    <row r="1153">
      <c r="U1153" s="9" t="n"/>
    </row>
    <row r="1154">
      <c r="U1154" s="9" t="n"/>
    </row>
    <row r="1155">
      <c r="U1155" s="9" t="n"/>
    </row>
    <row r="1156">
      <c r="U1156" s="9" t="n"/>
    </row>
    <row r="1157">
      <c r="U1157" s="9" t="n"/>
    </row>
    <row r="1158">
      <c r="U1158" s="9" t="n"/>
    </row>
    <row r="1159">
      <c r="U1159" s="9" t="n"/>
    </row>
    <row r="1160">
      <c r="U1160" s="9" t="n"/>
    </row>
    <row r="1161">
      <c r="U1161" s="9" t="n"/>
    </row>
    <row r="1162">
      <c r="U1162" s="9" t="n"/>
    </row>
    <row r="1163">
      <c r="U1163" s="9" t="n"/>
    </row>
    <row r="1164">
      <c r="U1164" s="9" t="n"/>
    </row>
    <row r="1165">
      <c r="U1165" s="9" t="n"/>
    </row>
    <row r="1166">
      <c r="U1166" s="9" t="n"/>
    </row>
    <row r="1167">
      <c r="U1167" s="9" t="n"/>
    </row>
    <row r="1168">
      <c r="U1168" s="9" t="n"/>
    </row>
    <row r="1169">
      <c r="U1169" s="9" t="n"/>
    </row>
    <row r="1170">
      <c r="U1170" s="9" t="n"/>
    </row>
    <row r="1171">
      <c r="U1171" s="9" t="n"/>
    </row>
    <row r="1172">
      <c r="U1172" s="9" t="n"/>
    </row>
    <row r="1173">
      <c r="U1173" s="9" t="n"/>
    </row>
    <row r="1174">
      <c r="U1174" s="9" t="n"/>
    </row>
    <row r="1175">
      <c r="U1175" s="9" t="n"/>
    </row>
    <row r="1176">
      <c r="U1176" s="9" t="n"/>
    </row>
    <row r="1177">
      <c r="U1177" s="9" t="n"/>
    </row>
    <row r="1178">
      <c r="U1178" s="9" t="n"/>
    </row>
    <row r="1179">
      <c r="U1179" s="9" t="n"/>
    </row>
    <row r="1180">
      <c r="U1180" s="9" t="n"/>
    </row>
    <row r="1181">
      <c r="U1181" s="9" t="n"/>
    </row>
    <row r="1182">
      <c r="U1182" s="9" t="n"/>
    </row>
    <row r="1183">
      <c r="U1183" s="9" t="n"/>
    </row>
    <row r="1184">
      <c r="U1184" s="9" t="n"/>
    </row>
    <row r="1185">
      <c r="U1185" s="9" t="n"/>
    </row>
    <row r="1186">
      <c r="U1186" s="9" t="n"/>
    </row>
    <row r="1187">
      <c r="U1187" s="9" t="n"/>
    </row>
    <row r="1188">
      <c r="U1188" s="9" t="n"/>
    </row>
    <row r="1189">
      <c r="U1189" s="9" t="n"/>
    </row>
    <row r="1190">
      <c r="U1190" s="9" t="n"/>
    </row>
    <row r="1191">
      <c r="U1191" s="9" t="n"/>
    </row>
    <row r="1192">
      <c r="U1192" s="9" t="n"/>
    </row>
    <row r="1193">
      <c r="U1193" s="9" t="n"/>
    </row>
    <row r="1194">
      <c r="U1194" s="9" t="n"/>
    </row>
    <row r="1195">
      <c r="U1195" s="9" t="n"/>
    </row>
    <row r="1196">
      <c r="U1196" s="9" t="n"/>
    </row>
    <row r="1197">
      <c r="U1197" s="9" t="n"/>
    </row>
    <row r="1198">
      <c r="U1198" s="9" t="n"/>
    </row>
    <row r="1199">
      <c r="U1199" s="9" t="n"/>
    </row>
    <row r="1200">
      <c r="U1200" s="9" t="n"/>
    </row>
    <row r="1201">
      <c r="U1201" s="9" t="n"/>
    </row>
    <row r="1202">
      <c r="U1202" s="9" t="n"/>
    </row>
    <row r="1203">
      <c r="U1203" s="9" t="n"/>
    </row>
    <row r="1204">
      <c r="U1204" s="9" t="n"/>
    </row>
    <row r="1205">
      <c r="U1205" s="9" t="n"/>
    </row>
    <row r="1206">
      <c r="U1206" s="9" t="n"/>
    </row>
    <row r="1207">
      <c r="U1207" s="9" t="n"/>
    </row>
    <row r="1208">
      <c r="U1208" s="9" t="n"/>
    </row>
    <row r="1209">
      <c r="U1209" s="9" t="n"/>
    </row>
    <row r="1210">
      <c r="U1210" s="9" t="n"/>
    </row>
    <row r="1211">
      <c r="U1211" s="9" t="n"/>
    </row>
    <row r="1212">
      <c r="U1212" s="9" t="n"/>
    </row>
    <row r="1213">
      <c r="U1213" s="9" t="n"/>
    </row>
    <row r="1214">
      <c r="U1214" s="9" t="n"/>
    </row>
    <row r="1215">
      <c r="U1215" s="9" t="n"/>
    </row>
    <row r="1216">
      <c r="U1216" s="9" t="n"/>
    </row>
    <row r="1217">
      <c r="U1217" s="9" t="n"/>
    </row>
    <row r="1218">
      <c r="U1218" s="9" t="n"/>
    </row>
    <row r="1219">
      <c r="U1219" s="9" t="n"/>
    </row>
    <row r="1220">
      <c r="U1220" s="9" t="n"/>
    </row>
    <row r="1221">
      <c r="U1221" s="9" t="n"/>
    </row>
    <row r="1222">
      <c r="U1222" s="9" t="n"/>
    </row>
    <row r="1223">
      <c r="U1223" s="9" t="n"/>
    </row>
    <row r="1224">
      <c r="U1224" s="9" t="n"/>
    </row>
    <row r="1225">
      <c r="U1225" s="9" t="n"/>
    </row>
    <row r="1226">
      <c r="U1226" s="9" t="n"/>
    </row>
    <row r="1227">
      <c r="U1227" s="9" t="n"/>
    </row>
    <row r="1228">
      <c r="U1228" s="9" t="n"/>
    </row>
    <row r="1229">
      <c r="U1229" s="9" t="n"/>
    </row>
    <row r="1230">
      <c r="U1230" s="9" t="n"/>
    </row>
    <row r="1231">
      <c r="U1231" s="9" t="n"/>
    </row>
    <row r="1232">
      <c r="U1232" s="9" t="n"/>
    </row>
    <row r="1233">
      <c r="U1233" s="9" t="n"/>
    </row>
    <row r="1234">
      <c r="U1234" s="9" t="n"/>
    </row>
    <row r="1235">
      <c r="U1235" s="9" t="n"/>
    </row>
    <row r="1236">
      <c r="U1236" s="9" t="n"/>
    </row>
    <row r="1237">
      <c r="U1237" s="9" t="n"/>
    </row>
    <row r="1238">
      <c r="U1238" s="9" t="n"/>
    </row>
    <row r="1239">
      <c r="U1239" s="9" t="n"/>
    </row>
    <row r="1240">
      <c r="U1240" s="9" t="n"/>
    </row>
    <row r="1241">
      <c r="U1241" s="9" t="n"/>
    </row>
    <row r="1242">
      <c r="U1242" s="9" t="n"/>
    </row>
    <row r="1243">
      <c r="U1243" s="9" t="n"/>
    </row>
    <row r="1244">
      <c r="U1244" s="9" t="n"/>
    </row>
    <row r="1245">
      <c r="U1245" s="9" t="n"/>
    </row>
    <row r="1246">
      <c r="U1246" s="9" t="n"/>
    </row>
    <row r="1247">
      <c r="U1247" s="9" t="n"/>
    </row>
    <row r="1248">
      <c r="U1248" s="9" t="n"/>
    </row>
    <row r="1249">
      <c r="U1249" s="9" t="n"/>
    </row>
    <row r="1250">
      <c r="U1250" s="9" t="n"/>
    </row>
    <row r="1251">
      <c r="U1251" s="9" t="n"/>
    </row>
    <row r="1252">
      <c r="U1252" s="9" t="n"/>
    </row>
    <row r="1253">
      <c r="U1253" s="9" t="n"/>
    </row>
    <row r="1254">
      <c r="U1254" s="9" t="n"/>
    </row>
    <row r="1255">
      <c r="U1255" s="9" t="n"/>
    </row>
    <row r="1256">
      <c r="U1256" s="9" t="n"/>
    </row>
    <row r="1257">
      <c r="U1257" s="9" t="n"/>
    </row>
    <row r="1258">
      <c r="U1258" s="9" t="n"/>
    </row>
    <row r="1259">
      <c r="U1259" s="9" t="n"/>
    </row>
    <row r="1260">
      <c r="U1260" s="9" t="n"/>
    </row>
    <row r="1261">
      <c r="U1261" s="9" t="n"/>
    </row>
    <row r="1262">
      <c r="U1262" s="9" t="n"/>
    </row>
    <row r="1263">
      <c r="U1263" s="9" t="n"/>
    </row>
    <row r="1264">
      <c r="U1264" s="9" t="n"/>
    </row>
    <row r="1265">
      <c r="U1265" s="9" t="n"/>
    </row>
    <row r="1266">
      <c r="U1266" s="9" t="n"/>
    </row>
    <row r="1267">
      <c r="U1267" s="9" t="n"/>
    </row>
    <row r="1268">
      <c r="U1268" s="9" t="n"/>
    </row>
    <row r="1269">
      <c r="U1269" s="9" t="n"/>
    </row>
    <row r="1270">
      <c r="U1270" s="9" t="n"/>
    </row>
    <row r="1271">
      <c r="U1271" s="9" t="n"/>
    </row>
    <row r="1272">
      <c r="U1272" s="9" t="n"/>
    </row>
    <row r="1273">
      <c r="U1273" s="9" t="n"/>
    </row>
    <row r="1274">
      <c r="U1274" s="9" t="n"/>
    </row>
    <row r="1275">
      <c r="U1275" s="9" t="n"/>
    </row>
    <row r="1276">
      <c r="U1276" s="9" t="n"/>
    </row>
    <row r="1277">
      <c r="U1277" s="9" t="n"/>
    </row>
    <row r="1278">
      <c r="U1278" s="9" t="n"/>
    </row>
    <row r="1279">
      <c r="U1279" s="9" t="n"/>
    </row>
    <row r="1280">
      <c r="U1280" s="9" t="n"/>
    </row>
    <row r="1281">
      <c r="U1281" s="9" t="n"/>
    </row>
    <row r="1282">
      <c r="U1282" s="9" t="n"/>
    </row>
    <row r="1283">
      <c r="U1283" s="9" t="n"/>
    </row>
    <row r="1284">
      <c r="U1284" s="9" t="n"/>
    </row>
    <row r="1285">
      <c r="U1285" s="9" t="n"/>
    </row>
    <row r="1286">
      <c r="U1286" s="9" t="n"/>
    </row>
    <row r="1287">
      <c r="U1287" s="9" t="n"/>
    </row>
    <row r="1288">
      <c r="U1288" s="9" t="n"/>
    </row>
    <row r="1289">
      <c r="U1289" s="9" t="n"/>
    </row>
    <row r="1290">
      <c r="U1290" s="9" t="n"/>
    </row>
    <row r="1291">
      <c r="U1291" s="9" t="n"/>
    </row>
    <row r="1292">
      <c r="U1292" s="9" t="n"/>
    </row>
    <row r="1293">
      <c r="U1293" s="9" t="n"/>
    </row>
    <row r="1294">
      <c r="U1294" s="9" t="n"/>
    </row>
    <row r="1295">
      <c r="U1295" s="9" t="n"/>
    </row>
    <row r="1296">
      <c r="U1296" s="9" t="n"/>
    </row>
    <row r="1297">
      <c r="U1297" s="9" t="n"/>
    </row>
    <row r="1298">
      <c r="U1298" s="9" t="n"/>
    </row>
    <row r="1299">
      <c r="U1299" s="9" t="n"/>
    </row>
    <row r="1300">
      <c r="U1300" s="9" t="n"/>
    </row>
    <row r="1301">
      <c r="U1301" s="9" t="n"/>
    </row>
    <row r="1302">
      <c r="U1302" s="9" t="n"/>
    </row>
    <row r="1303">
      <c r="U1303" s="9" t="n"/>
    </row>
    <row r="1304">
      <c r="U1304" s="9" t="n"/>
    </row>
    <row r="1305">
      <c r="U1305" s="9" t="n"/>
    </row>
    <row r="1306">
      <c r="U1306" s="9" t="n"/>
    </row>
    <row r="1307">
      <c r="U1307" s="9" t="n"/>
    </row>
    <row r="1308">
      <c r="U1308" s="9" t="n"/>
    </row>
    <row r="1309">
      <c r="U1309" s="9" t="n"/>
    </row>
    <row r="1310">
      <c r="U1310" s="9" t="n"/>
    </row>
    <row r="1311">
      <c r="U1311" s="9" t="n"/>
    </row>
    <row r="1312">
      <c r="U1312" s="9" t="n"/>
    </row>
    <row r="1313">
      <c r="U1313" s="9" t="n"/>
    </row>
    <row r="1314">
      <c r="U1314" s="9" t="n"/>
    </row>
    <row r="1315">
      <c r="U1315" s="9" t="n"/>
    </row>
    <row r="1316">
      <c r="U1316" s="9" t="n"/>
    </row>
    <row r="1317">
      <c r="U1317" s="9" t="n"/>
    </row>
    <row r="1318">
      <c r="U1318" s="9" t="n"/>
    </row>
    <row r="1319">
      <c r="U1319" s="9" t="n"/>
    </row>
    <row r="1320">
      <c r="U1320" s="9" t="n"/>
    </row>
    <row r="1321">
      <c r="U1321" s="9" t="n"/>
    </row>
    <row r="1322">
      <c r="U1322" s="9" t="n"/>
    </row>
    <row r="1323">
      <c r="U1323" s="9" t="n"/>
    </row>
    <row r="1324">
      <c r="U1324" s="9" t="n"/>
    </row>
    <row r="1325">
      <c r="U1325" s="9" t="n"/>
    </row>
    <row r="1326">
      <c r="U1326" s="9" t="n"/>
    </row>
    <row r="1327">
      <c r="U1327" s="9" t="n"/>
    </row>
    <row r="1328">
      <c r="U1328" s="9" t="n"/>
    </row>
    <row r="1329">
      <c r="U1329" s="9" t="n"/>
    </row>
    <row r="1330">
      <c r="U1330" s="9" t="n"/>
    </row>
    <row r="1331">
      <c r="U1331" s="9" t="n"/>
    </row>
    <row r="1332">
      <c r="U1332" s="9" t="n"/>
    </row>
    <row r="1333">
      <c r="U1333" s="9" t="n"/>
    </row>
    <row r="1334">
      <c r="U1334" s="9" t="n"/>
    </row>
    <row r="1335">
      <c r="U1335" s="9" t="n"/>
    </row>
    <row r="1336">
      <c r="U1336" s="9" t="n"/>
    </row>
    <row r="1337">
      <c r="U1337" s="9" t="n"/>
    </row>
    <row r="1338">
      <c r="U1338" s="9" t="n"/>
    </row>
    <row r="1339">
      <c r="U1339" s="9" t="n"/>
    </row>
    <row r="1340">
      <c r="U1340" s="9" t="n"/>
    </row>
    <row r="1341">
      <c r="U1341" s="9" t="n"/>
    </row>
    <row r="1342">
      <c r="U1342" s="9" t="n"/>
    </row>
    <row r="1343">
      <c r="U1343" s="9" t="n"/>
    </row>
    <row r="1344">
      <c r="U1344" s="9" t="n"/>
    </row>
    <row r="1345">
      <c r="U1345" s="9" t="n"/>
    </row>
    <row r="1346">
      <c r="U1346" s="9" t="n"/>
    </row>
    <row r="1347">
      <c r="U1347" s="9" t="n"/>
    </row>
    <row r="1348">
      <c r="U1348" s="9" t="n"/>
    </row>
    <row r="1349">
      <c r="U1349" s="9" t="n"/>
    </row>
    <row r="1350">
      <c r="U1350" s="9" t="n"/>
    </row>
    <row r="1351">
      <c r="U1351" s="9" t="n"/>
    </row>
    <row r="1352">
      <c r="U1352" s="9" t="n"/>
    </row>
    <row r="1353">
      <c r="U1353" s="9" t="n"/>
    </row>
    <row r="1354">
      <c r="U1354" s="9" t="n"/>
    </row>
    <row r="1355">
      <c r="U1355" s="9" t="n"/>
    </row>
    <row r="1356">
      <c r="U1356" s="9" t="n"/>
    </row>
    <row r="1357">
      <c r="U1357" s="9" t="n"/>
    </row>
    <row r="1358">
      <c r="U1358" s="9" t="n"/>
    </row>
    <row r="1359">
      <c r="U1359" s="9" t="n"/>
    </row>
    <row r="1360">
      <c r="U1360" s="9" t="n"/>
    </row>
    <row r="1361">
      <c r="U1361" s="9" t="n"/>
    </row>
    <row r="1362">
      <c r="U1362" s="9" t="n"/>
    </row>
    <row r="1363">
      <c r="U1363" s="9" t="n"/>
    </row>
    <row r="1364">
      <c r="U1364" s="9" t="n"/>
    </row>
    <row r="1365">
      <c r="U1365" s="9" t="n"/>
    </row>
    <row r="1366">
      <c r="U1366" s="9" t="n"/>
    </row>
    <row r="1367">
      <c r="U1367" s="9" t="n"/>
    </row>
    <row r="1368">
      <c r="U1368" s="9" t="n"/>
    </row>
    <row r="1369">
      <c r="U1369" s="9" t="n"/>
    </row>
    <row r="1370">
      <c r="U1370" s="9" t="n"/>
    </row>
    <row r="1371">
      <c r="U1371" s="9" t="n"/>
    </row>
    <row r="1372">
      <c r="U1372" s="9" t="n"/>
    </row>
    <row r="1373">
      <c r="U1373" s="9" t="n"/>
    </row>
    <row r="1374">
      <c r="U1374" s="9" t="n"/>
    </row>
    <row r="1375">
      <c r="U1375" s="9" t="n"/>
    </row>
    <row r="1376">
      <c r="U1376" s="9" t="n"/>
    </row>
    <row r="1377">
      <c r="U1377" s="9" t="n"/>
    </row>
    <row r="1378">
      <c r="U1378" s="9" t="n"/>
    </row>
    <row r="1379">
      <c r="U1379" s="9" t="n"/>
    </row>
    <row r="1380">
      <c r="U1380" s="9" t="n"/>
    </row>
    <row r="1381">
      <c r="U1381" s="9" t="n"/>
    </row>
    <row r="1382">
      <c r="U1382" s="9" t="n"/>
    </row>
    <row r="1383">
      <c r="U1383" s="9" t="n"/>
    </row>
    <row r="1384">
      <c r="U1384" s="9" t="n"/>
    </row>
    <row r="1385">
      <c r="U1385" s="9" t="n"/>
    </row>
    <row r="1386">
      <c r="U1386" s="9" t="n"/>
    </row>
    <row r="1387">
      <c r="U1387" s="9" t="n"/>
    </row>
    <row r="1388">
      <c r="U1388" s="9" t="n"/>
    </row>
    <row r="1389">
      <c r="U1389" s="9" t="n"/>
    </row>
    <row r="1390">
      <c r="U1390" s="9" t="n"/>
    </row>
    <row r="1391">
      <c r="U1391" s="9" t="n"/>
    </row>
    <row r="1392">
      <c r="U1392" s="9" t="n"/>
    </row>
    <row r="1393">
      <c r="U1393" s="9" t="n"/>
    </row>
    <row r="1394">
      <c r="U1394" s="9" t="n"/>
    </row>
    <row r="1395">
      <c r="U1395" s="9" t="n"/>
    </row>
    <row r="1396">
      <c r="U1396" s="9" t="n"/>
    </row>
    <row r="1397">
      <c r="U1397" s="9" t="n"/>
    </row>
    <row r="1398">
      <c r="U1398" s="9" t="n"/>
    </row>
    <row r="1399">
      <c r="U1399" s="9" t="n"/>
    </row>
    <row r="1400">
      <c r="U1400" s="9" t="n"/>
    </row>
    <row r="1401">
      <c r="U1401" s="9" t="n"/>
    </row>
    <row r="1402">
      <c r="U1402" s="9" t="n"/>
    </row>
    <row r="1403">
      <c r="U1403" s="9" t="n"/>
    </row>
    <row r="1404">
      <c r="U1404" s="9" t="n"/>
    </row>
    <row r="1405">
      <c r="U1405" s="9" t="n"/>
    </row>
    <row r="1406">
      <c r="U1406" s="9" t="n"/>
    </row>
    <row r="1407">
      <c r="U1407" s="9" t="n"/>
    </row>
    <row r="1408">
      <c r="U1408" s="9" t="n"/>
    </row>
    <row r="1409">
      <c r="U1409" s="9" t="n"/>
    </row>
    <row r="1410">
      <c r="U1410" s="9" t="n"/>
    </row>
    <row r="1411">
      <c r="U1411" s="9" t="n"/>
    </row>
    <row r="1412">
      <c r="U1412" s="9" t="n"/>
    </row>
    <row r="1413">
      <c r="U1413" s="9" t="n"/>
    </row>
    <row r="1414">
      <c r="U1414" s="9" t="n"/>
    </row>
    <row r="1415">
      <c r="U1415" s="9" t="n"/>
    </row>
    <row r="1416">
      <c r="U1416" s="9" t="n"/>
    </row>
    <row r="1417">
      <c r="U1417" s="9" t="n"/>
    </row>
    <row r="1418">
      <c r="U1418" s="9" t="n"/>
    </row>
    <row r="1419">
      <c r="U1419" s="9" t="n"/>
    </row>
    <row r="1420">
      <c r="U1420" s="9" t="n"/>
    </row>
    <row r="1421">
      <c r="U1421" s="9" t="n"/>
    </row>
    <row r="1422">
      <c r="U1422" s="9" t="n"/>
    </row>
    <row r="1423">
      <c r="U1423" s="9" t="n"/>
    </row>
    <row r="1424">
      <c r="U1424" s="9" t="n"/>
    </row>
    <row r="1425">
      <c r="U1425" s="9" t="n"/>
    </row>
    <row r="1426">
      <c r="U1426" s="9" t="n"/>
    </row>
    <row r="1427">
      <c r="U1427" s="9" t="n"/>
    </row>
    <row r="1428">
      <c r="U1428" s="9" t="n"/>
    </row>
    <row r="1429">
      <c r="U1429" s="9" t="n"/>
    </row>
    <row r="1430">
      <c r="U1430" s="9" t="n"/>
    </row>
    <row r="1431">
      <c r="U1431" s="9" t="n"/>
    </row>
    <row r="1432">
      <c r="U1432" s="9" t="n"/>
    </row>
    <row r="1433">
      <c r="U1433" s="9" t="n"/>
    </row>
    <row r="1434">
      <c r="U1434" s="9" t="n"/>
    </row>
    <row r="1435">
      <c r="U1435" s="9" t="n"/>
    </row>
    <row r="1436">
      <c r="U1436" s="9" t="n"/>
    </row>
    <row r="1437">
      <c r="U1437" s="9" t="n"/>
    </row>
    <row r="1438">
      <c r="U1438" s="9" t="n"/>
    </row>
    <row r="1439">
      <c r="U1439" s="9" t="n"/>
    </row>
    <row r="1440">
      <c r="U1440" s="9" t="n"/>
    </row>
    <row r="1441">
      <c r="U1441" s="9" t="n"/>
    </row>
    <row r="1442">
      <c r="U1442" s="9" t="n"/>
    </row>
    <row r="1443">
      <c r="U1443" s="9" t="n"/>
    </row>
    <row r="1444">
      <c r="U1444" s="9" t="n"/>
    </row>
    <row r="1445">
      <c r="U1445" s="9" t="n"/>
    </row>
    <row r="1446">
      <c r="U1446" s="9" t="n"/>
    </row>
    <row r="1447">
      <c r="U1447" s="9" t="n"/>
    </row>
    <row r="1448">
      <c r="U1448" s="9" t="n"/>
    </row>
    <row r="1449">
      <c r="U1449" s="9" t="n"/>
    </row>
    <row r="1450">
      <c r="U1450" s="9" t="n"/>
    </row>
    <row r="1451">
      <c r="U1451" s="9" t="n"/>
    </row>
    <row r="1452">
      <c r="U1452" s="9" t="n"/>
    </row>
    <row r="1453">
      <c r="U1453" s="9" t="n"/>
    </row>
    <row r="1454">
      <c r="U1454" s="9" t="n"/>
    </row>
    <row r="1455">
      <c r="U1455" s="9" t="n"/>
    </row>
    <row r="1456">
      <c r="U1456" s="9" t="n"/>
    </row>
    <row r="1457">
      <c r="U1457" s="9" t="n"/>
    </row>
    <row r="1458">
      <c r="U1458" s="9" t="n"/>
    </row>
    <row r="1459">
      <c r="U1459" s="9" t="n"/>
    </row>
    <row r="1460">
      <c r="U1460" s="9" t="n"/>
    </row>
    <row r="1461">
      <c r="U1461" s="9" t="n"/>
    </row>
    <row r="1462">
      <c r="U1462" s="9" t="n"/>
    </row>
    <row r="1463">
      <c r="U1463" s="9" t="n"/>
    </row>
    <row r="1464">
      <c r="U1464" s="9" t="n"/>
    </row>
    <row r="1465">
      <c r="U1465" s="9" t="n"/>
    </row>
    <row r="1466">
      <c r="U1466" s="9" t="n"/>
    </row>
    <row r="1467">
      <c r="U1467" s="9" t="n"/>
    </row>
    <row r="1468">
      <c r="U1468" s="9" t="n"/>
    </row>
    <row r="1469">
      <c r="U1469" s="9" t="n"/>
    </row>
    <row r="1470">
      <c r="U1470" s="9" t="n"/>
    </row>
    <row r="1471">
      <c r="U1471" s="9" t="n"/>
    </row>
    <row r="1472">
      <c r="U1472" s="9" t="n"/>
    </row>
    <row r="1473">
      <c r="U1473" s="9" t="n"/>
    </row>
    <row r="1474">
      <c r="U1474" s="9" t="n"/>
    </row>
    <row r="1475">
      <c r="U1475" s="9" t="n"/>
    </row>
    <row r="1476">
      <c r="U1476" s="9" t="n"/>
    </row>
    <row r="1477">
      <c r="U1477" s="9" t="n"/>
    </row>
    <row r="1478">
      <c r="U1478" s="9" t="n"/>
    </row>
    <row r="1479">
      <c r="U1479" s="9" t="n"/>
    </row>
    <row r="1480">
      <c r="U1480" s="9" t="n"/>
    </row>
    <row r="1481">
      <c r="U1481" s="9" t="n"/>
    </row>
    <row r="1482">
      <c r="U1482" s="9" t="n"/>
    </row>
    <row r="1483">
      <c r="U1483" s="9" t="n"/>
    </row>
    <row r="1484">
      <c r="U1484" s="9" t="n"/>
    </row>
    <row r="1485">
      <c r="U1485" s="9" t="n"/>
    </row>
    <row r="1486">
      <c r="U1486" s="9" t="n"/>
    </row>
    <row r="1487">
      <c r="U1487" s="9" t="n"/>
    </row>
    <row r="1488">
      <c r="U1488" s="9" t="n"/>
    </row>
    <row r="1489">
      <c r="U1489" s="9" t="n"/>
    </row>
    <row r="1490">
      <c r="U1490" s="9" t="n"/>
    </row>
    <row r="1491">
      <c r="U1491" s="9" t="n"/>
    </row>
    <row r="1492">
      <c r="U1492" s="9" t="n"/>
    </row>
    <row r="1493">
      <c r="U1493" s="9" t="n"/>
    </row>
    <row r="1494">
      <c r="U1494" s="9" t="n"/>
    </row>
    <row r="1495">
      <c r="U1495" s="9" t="n"/>
    </row>
    <row r="1496">
      <c r="U1496" s="9" t="n"/>
    </row>
    <row r="1497">
      <c r="U1497" s="9" t="n"/>
    </row>
    <row r="1498">
      <c r="U1498" s="9" t="n"/>
    </row>
    <row r="1499">
      <c r="U1499" s="9" t="n"/>
    </row>
    <row r="1500">
      <c r="U1500" s="9" t="n"/>
    </row>
    <row r="1501">
      <c r="U1501" s="9" t="n"/>
    </row>
    <row r="1502">
      <c r="U1502" s="9" t="n"/>
    </row>
    <row r="1503">
      <c r="U1503" s="9" t="n"/>
    </row>
    <row r="1504">
      <c r="U1504" s="9" t="n"/>
    </row>
    <row r="1505">
      <c r="U1505" s="9" t="n"/>
    </row>
    <row r="1506">
      <c r="U1506" s="9" t="n"/>
    </row>
    <row r="1507">
      <c r="U1507" s="9" t="n"/>
    </row>
    <row r="1508">
      <c r="U1508" s="9" t="n"/>
    </row>
    <row r="1509">
      <c r="U1509" s="9" t="n"/>
    </row>
    <row r="1510">
      <c r="U1510" s="9" t="n"/>
    </row>
    <row r="1511">
      <c r="U1511" s="9" t="n"/>
    </row>
    <row r="1512">
      <c r="U1512" s="9" t="n"/>
    </row>
    <row r="1513">
      <c r="U1513" s="9" t="n"/>
    </row>
    <row r="1514">
      <c r="U1514" s="9" t="n"/>
    </row>
    <row r="1515">
      <c r="U1515" s="9" t="n"/>
    </row>
    <row r="1516">
      <c r="U1516" s="9" t="n"/>
    </row>
    <row r="1517">
      <c r="U1517" s="9" t="n"/>
    </row>
    <row r="1518">
      <c r="U1518" s="9" t="n"/>
    </row>
    <row r="1519">
      <c r="U1519" s="9" t="n"/>
    </row>
    <row r="1520">
      <c r="U1520" s="9" t="n"/>
    </row>
    <row r="1521">
      <c r="U1521" s="9" t="n"/>
    </row>
    <row r="1522">
      <c r="U1522" s="9" t="n"/>
    </row>
    <row r="1523">
      <c r="U1523" s="9" t="n"/>
    </row>
    <row r="1524">
      <c r="U1524" s="9" t="n"/>
    </row>
    <row r="1525">
      <c r="U1525" s="9" t="n"/>
    </row>
    <row r="1526">
      <c r="U1526" s="9" t="n"/>
    </row>
    <row r="1527">
      <c r="U1527" s="9" t="n"/>
    </row>
    <row r="1528">
      <c r="U1528" s="9" t="n"/>
    </row>
    <row r="1529">
      <c r="U1529" s="9" t="n"/>
    </row>
    <row r="1530">
      <c r="U1530" s="9" t="n"/>
    </row>
    <row r="1531">
      <c r="U1531" s="9" t="n"/>
    </row>
    <row r="1532">
      <c r="U1532" s="9" t="n"/>
    </row>
    <row r="1533">
      <c r="U1533" s="9" t="n"/>
    </row>
    <row r="1534">
      <c r="U1534" s="9" t="n"/>
    </row>
    <row r="1535">
      <c r="U1535" s="9" t="n"/>
    </row>
    <row r="1536">
      <c r="U1536" s="9" t="n"/>
    </row>
    <row r="1537">
      <c r="U1537" s="9" t="n"/>
    </row>
    <row r="1538">
      <c r="U1538" s="9" t="n"/>
    </row>
    <row r="1539">
      <c r="U1539" s="9" t="n"/>
    </row>
    <row r="1540">
      <c r="U1540" s="9" t="n"/>
    </row>
    <row r="1541">
      <c r="U1541" s="9" t="n"/>
    </row>
    <row r="1542">
      <c r="U1542" s="9" t="n"/>
    </row>
    <row r="1543">
      <c r="U1543" s="9" t="n"/>
    </row>
    <row r="1544">
      <c r="U1544" s="9" t="n"/>
    </row>
    <row r="1545">
      <c r="U1545" s="9" t="n"/>
    </row>
    <row r="1546">
      <c r="U1546" s="9" t="n"/>
    </row>
    <row r="1547">
      <c r="U1547" s="9" t="n"/>
    </row>
    <row r="1548">
      <c r="U1548" s="9" t="n"/>
    </row>
    <row r="1549">
      <c r="U1549" s="9" t="n"/>
    </row>
    <row r="1550">
      <c r="U1550" s="9" t="n"/>
    </row>
    <row r="1551">
      <c r="U1551" s="9" t="n"/>
    </row>
    <row r="1552">
      <c r="U1552" s="9" t="n"/>
    </row>
    <row r="1553">
      <c r="U1553" s="9" t="n"/>
    </row>
    <row r="1554">
      <c r="U1554" s="9" t="n"/>
    </row>
    <row r="1555">
      <c r="U1555" s="9" t="n"/>
    </row>
    <row r="1556">
      <c r="U1556" s="9" t="n"/>
    </row>
    <row r="1557">
      <c r="U1557" s="9" t="n"/>
    </row>
    <row r="1558">
      <c r="U1558" s="9" t="n"/>
    </row>
    <row r="1559">
      <c r="U1559" s="9" t="n"/>
    </row>
    <row r="1560">
      <c r="U1560" s="9" t="n"/>
    </row>
    <row r="1561">
      <c r="U1561" s="9" t="n"/>
    </row>
    <row r="1562">
      <c r="U1562" s="9" t="n"/>
    </row>
    <row r="1563">
      <c r="U1563" s="9" t="n"/>
    </row>
    <row r="1564">
      <c r="U1564" s="9" t="n"/>
    </row>
    <row r="1565">
      <c r="U1565" s="9" t="n"/>
    </row>
    <row r="1566">
      <c r="U1566" s="9" t="n"/>
    </row>
    <row r="1567">
      <c r="U1567" s="9" t="n"/>
    </row>
    <row r="1568">
      <c r="U1568" s="9" t="n"/>
    </row>
    <row r="1569">
      <c r="U1569" s="9" t="n"/>
    </row>
    <row r="1570">
      <c r="U1570" s="9" t="n"/>
    </row>
    <row r="1571">
      <c r="U1571" s="9" t="n"/>
    </row>
    <row r="1572">
      <c r="U1572" s="9" t="n"/>
    </row>
    <row r="1573">
      <c r="U1573" s="9" t="n"/>
    </row>
    <row r="1574">
      <c r="U1574" s="9" t="n"/>
    </row>
    <row r="1575">
      <c r="U1575" s="9" t="n"/>
    </row>
    <row r="1576">
      <c r="U1576" s="9" t="n"/>
    </row>
    <row r="1577">
      <c r="U1577" s="9" t="n"/>
    </row>
    <row r="1578">
      <c r="U1578" s="9" t="n"/>
    </row>
    <row r="1579">
      <c r="U1579" s="9" t="n"/>
    </row>
    <row r="1580">
      <c r="U1580" s="9" t="n"/>
    </row>
    <row r="1581">
      <c r="U1581" s="9" t="n"/>
    </row>
    <row r="1582">
      <c r="U1582" s="9" t="n"/>
    </row>
    <row r="1583">
      <c r="U1583" s="9" t="n"/>
    </row>
    <row r="1584">
      <c r="U1584" s="9" t="n"/>
    </row>
    <row r="1585">
      <c r="U1585" s="9" t="n"/>
    </row>
    <row r="1586">
      <c r="U1586" s="9" t="n"/>
    </row>
    <row r="1587">
      <c r="U1587" s="9" t="n"/>
    </row>
    <row r="1588">
      <c r="U1588" s="9" t="n"/>
    </row>
    <row r="1589">
      <c r="U1589" s="9" t="n"/>
    </row>
    <row r="1590">
      <c r="U1590" s="9" t="n"/>
    </row>
    <row r="1591">
      <c r="U1591" s="9" t="n"/>
    </row>
    <row r="1592">
      <c r="U1592" s="9" t="n"/>
    </row>
    <row r="1593">
      <c r="U1593" s="9" t="n"/>
    </row>
    <row r="1594">
      <c r="U1594" s="9" t="n"/>
    </row>
    <row r="1595">
      <c r="U1595" s="9" t="n"/>
    </row>
    <row r="1596">
      <c r="U1596" s="9" t="n"/>
    </row>
    <row r="1597">
      <c r="U1597" s="9" t="n"/>
    </row>
    <row r="1598">
      <c r="U1598" s="9" t="n"/>
    </row>
    <row r="1599">
      <c r="U1599" s="9" t="n"/>
    </row>
    <row r="1600">
      <c r="U1600" s="9" t="n"/>
    </row>
    <row r="1601">
      <c r="U1601" s="9" t="n"/>
    </row>
    <row r="1602">
      <c r="U1602" s="9" t="n"/>
    </row>
    <row r="1603">
      <c r="U1603" s="9" t="n"/>
    </row>
    <row r="1604">
      <c r="U1604" s="9" t="n"/>
    </row>
    <row r="1605">
      <c r="U1605" s="9" t="n"/>
    </row>
    <row r="1606">
      <c r="U1606" s="9" t="n"/>
    </row>
    <row r="1607">
      <c r="U1607" s="9" t="n"/>
    </row>
    <row r="1608">
      <c r="U1608" s="9" t="n"/>
    </row>
    <row r="1609">
      <c r="U1609" s="9" t="n"/>
    </row>
    <row r="1610">
      <c r="U1610" s="9" t="n"/>
    </row>
    <row r="1611">
      <c r="U1611" s="9" t="n"/>
    </row>
    <row r="1612">
      <c r="U1612" s="9" t="n"/>
    </row>
    <row r="1613">
      <c r="U1613" s="9" t="n"/>
    </row>
    <row r="1614">
      <c r="U1614" s="9" t="n"/>
    </row>
    <row r="1615">
      <c r="U1615" s="9" t="n"/>
    </row>
    <row r="1616">
      <c r="U1616" s="9" t="n"/>
    </row>
    <row r="1617">
      <c r="U1617" s="9" t="n"/>
    </row>
    <row r="1618">
      <c r="U1618" s="9" t="n"/>
    </row>
    <row r="1619">
      <c r="U1619" s="9" t="n"/>
    </row>
    <row r="1620">
      <c r="U1620" s="9" t="n"/>
    </row>
    <row r="1621">
      <c r="U1621" s="9" t="n"/>
    </row>
    <row r="1622">
      <c r="U1622" s="9" t="n"/>
    </row>
    <row r="1623">
      <c r="U1623" s="9" t="n"/>
    </row>
    <row r="1624">
      <c r="U1624" s="9" t="n"/>
    </row>
    <row r="1625">
      <c r="U1625" s="9" t="n"/>
    </row>
    <row r="1626">
      <c r="U1626" s="9" t="n"/>
    </row>
    <row r="1627">
      <c r="U1627" s="9" t="n"/>
    </row>
    <row r="1628">
      <c r="U1628" s="9" t="n"/>
    </row>
    <row r="1629">
      <c r="U1629" s="9" t="n"/>
    </row>
    <row r="1630">
      <c r="U1630" s="9" t="n"/>
    </row>
    <row r="1631">
      <c r="U1631" s="9" t="n"/>
    </row>
    <row r="1632">
      <c r="U1632" s="9" t="n"/>
    </row>
    <row r="1633">
      <c r="U1633" s="9" t="n"/>
    </row>
    <row r="1634">
      <c r="U1634" s="9" t="n"/>
    </row>
    <row r="1635">
      <c r="U1635" s="9" t="n"/>
    </row>
    <row r="1636">
      <c r="U1636" s="9" t="n"/>
    </row>
    <row r="1637">
      <c r="U1637" s="9" t="n"/>
    </row>
    <row r="1638">
      <c r="U1638" s="9" t="n"/>
    </row>
    <row r="1639">
      <c r="U1639" s="9" t="n"/>
    </row>
    <row r="1640">
      <c r="U1640" s="9" t="n"/>
    </row>
    <row r="1641">
      <c r="U1641" s="9" t="n"/>
    </row>
    <row r="1642">
      <c r="U1642" s="9" t="n"/>
    </row>
    <row r="1643">
      <c r="U1643" s="9" t="n"/>
    </row>
    <row r="1644">
      <c r="U1644" s="9" t="n"/>
    </row>
    <row r="1645">
      <c r="U1645" s="9" t="n"/>
    </row>
    <row r="1646">
      <c r="U1646" s="9" t="n"/>
    </row>
    <row r="1647">
      <c r="U1647" s="9" t="n"/>
    </row>
    <row r="1648">
      <c r="U1648" s="9" t="n"/>
    </row>
    <row r="1649">
      <c r="U1649" s="9" t="n"/>
    </row>
    <row r="1650">
      <c r="U1650" s="9" t="n"/>
    </row>
    <row r="1651">
      <c r="U1651" s="9" t="n"/>
    </row>
    <row r="1652">
      <c r="U1652" s="9" t="n"/>
    </row>
    <row r="1653">
      <c r="U1653" s="9" t="n"/>
    </row>
    <row r="1654">
      <c r="U1654" s="9" t="n"/>
    </row>
    <row r="1655">
      <c r="U1655" s="9" t="n"/>
    </row>
    <row r="1656">
      <c r="U1656" s="9" t="n"/>
    </row>
    <row r="1657">
      <c r="U1657" s="9" t="n"/>
    </row>
    <row r="1658">
      <c r="U1658" s="9" t="n"/>
    </row>
    <row r="1659">
      <c r="U1659" s="9" t="n"/>
    </row>
    <row r="1660">
      <c r="U1660" s="9" t="n"/>
    </row>
    <row r="1661">
      <c r="U1661" s="9" t="n"/>
    </row>
    <row r="1662">
      <c r="U1662" s="9" t="n"/>
    </row>
    <row r="1663">
      <c r="U1663" s="9" t="n"/>
    </row>
    <row r="1664">
      <c r="U1664" s="9" t="n"/>
    </row>
    <row r="1665">
      <c r="U1665" s="9" t="n"/>
    </row>
    <row r="1666">
      <c r="U1666" s="9" t="n"/>
    </row>
    <row r="1667">
      <c r="U1667" s="9" t="n"/>
    </row>
    <row r="1668">
      <c r="U1668" s="9" t="n"/>
    </row>
    <row r="1669">
      <c r="U1669" s="9" t="n"/>
    </row>
    <row r="1670">
      <c r="U1670" s="9" t="n"/>
    </row>
    <row r="1671">
      <c r="U1671" s="9" t="n"/>
    </row>
    <row r="1672">
      <c r="U1672" s="9" t="n"/>
    </row>
    <row r="1673">
      <c r="U1673" s="9" t="n"/>
    </row>
    <row r="1674">
      <c r="U1674" s="9" t="n"/>
    </row>
    <row r="1675">
      <c r="U1675" s="9" t="n"/>
    </row>
    <row r="1676">
      <c r="U1676" s="9" t="n"/>
    </row>
    <row r="1677">
      <c r="U1677" s="9" t="n"/>
    </row>
    <row r="1678">
      <c r="U1678" s="9" t="n"/>
    </row>
    <row r="1679">
      <c r="U1679" s="9" t="n"/>
    </row>
    <row r="1680">
      <c r="U1680" s="9" t="n"/>
    </row>
    <row r="1681">
      <c r="U1681" s="9" t="n"/>
    </row>
    <row r="1682">
      <c r="U1682" s="9" t="n"/>
    </row>
    <row r="1683">
      <c r="U1683" s="9" t="n"/>
    </row>
    <row r="1684">
      <c r="U1684" s="9" t="n"/>
    </row>
    <row r="1685">
      <c r="U1685" s="9" t="n"/>
    </row>
    <row r="1686">
      <c r="U1686" s="9" t="n"/>
    </row>
    <row r="1687">
      <c r="U1687" s="9" t="n"/>
    </row>
    <row r="1688">
      <c r="U1688" s="9" t="n"/>
    </row>
    <row r="1689">
      <c r="U1689" s="9" t="n"/>
    </row>
    <row r="1690">
      <c r="U1690" s="9" t="n"/>
    </row>
    <row r="1691">
      <c r="U1691" s="9" t="n"/>
    </row>
    <row r="1692">
      <c r="U1692" s="9" t="n"/>
    </row>
    <row r="1693">
      <c r="U1693" s="9" t="n"/>
    </row>
    <row r="1694">
      <c r="U1694" s="9" t="n"/>
    </row>
    <row r="1695">
      <c r="U1695" s="9" t="n"/>
    </row>
    <row r="1696">
      <c r="U1696" s="9" t="n"/>
    </row>
    <row r="1697">
      <c r="U1697" s="9" t="n"/>
    </row>
    <row r="1698">
      <c r="U1698" s="9" t="n"/>
    </row>
    <row r="1699">
      <c r="U1699" s="9" t="n"/>
    </row>
    <row r="1700">
      <c r="U1700" s="9" t="n"/>
    </row>
    <row r="1701">
      <c r="U1701" s="9" t="n"/>
    </row>
    <row r="1702">
      <c r="U1702" s="9" t="n"/>
    </row>
    <row r="1703">
      <c r="U1703" s="9" t="n"/>
    </row>
    <row r="1704">
      <c r="U1704" s="9" t="n"/>
    </row>
    <row r="1705">
      <c r="U1705" s="9" t="n"/>
    </row>
    <row r="1706">
      <c r="U1706" s="9" t="n"/>
    </row>
    <row r="1707">
      <c r="U1707" s="9" t="n"/>
    </row>
    <row r="1708">
      <c r="U1708" s="9" t="n"/>
    </row>
    <row r="1709">
      <c r="U1709" s="9" t="n"/>
    </row>
    <row r="1710">
      <c r="U1710" s="9" t="n"/>
    </row>
    <row r="1711">
      <c r="U1711" s="9" t="n"/>
    </row>
    <row r="1712">
      <c r="U1712" s="9" t="n"/>
    </row>
    <row r="1713">
      <c r="U1713" s="9" t="n"/>
    </row>
    <row r="1714">
      <c r="U1714" s="9" t="n"/>
    </row>
    <row r="1715">
      <c r="U1715" s="9" t="n"/>
    </row>
    <row r="1716">
      <c r="U1716" s="9" t="n"/>
    </row>
    <row r="1717">
      <c r="U1717" s="9" t="n"/>
    </row>
    <row r="1718">
      <c r="U1718" s="9" t="n"/>
    </row>
    <row r="1719">
      <c r="U1719" s="9" t="n"/>
    </row>
    <row r="1720">
      <c r="U1720" s="9" t="n"/>
    </row>
    <row r="1721">
      <c r="U1721" s="9" t="n"/>
    </row>
    <row r="1722">
      <c r="U1722" s="9" t="n"/>
    </row>
    <row r="1723">
      <c r="U1723" s="9" t="n"/>
    </row>
    <row r="1724">
      <c r="U1724" s="9" t="n"/>
    </row>
    <row r="1725">
      <c r="U1725" s="9" t="n"/>
    </row>
    <row r="1726">
      <c r="U1726" s="9" t="n"/>
    </row>
    <row r="1727">
      <c r="U1727" s="9" t="n"/>
    </row>
    <row r="1728">
      <c r="U1728" s="9" t="n"/>
    </row>
    <row r="1729">
      <c r="U1729" s="9" t="n"/>
    </row>
    <row r="1730">
      <c r="U1730" s="9" t="n"/>
    </row>
    <row r="1731">
      <c r="U1731" s="9" t="n"/>
    </row>
    <row r="1732">
      <c r="U1732" s="9" t="n"/>
    </row>
    <row r="1733">
      <c r="U1733" s="9" t="n"/>
    </row>
    <row r="1734">
      <c r="U1734" s="9" t="n"/>
    </row>
    <row r="1735">
      <c r="U1735" s="9" t="n"/>
    </row>
    <row r="1736">
      <c r="U1736" s="9" t="n"/>
    </row>
    <row r="1737">
      <c r="U1737" s="9" t="n"/>
    </row>
    <row r="1738">
      <c r="U1738" s="9" t="n"/>
    </row>
    <row r="1739">
      <c r="U1739" s="9" t="n"/>
    </row>
    <row r="1740">
      <c r="U1740" s="9" t="n"/>
    </row>
    <row r="1741">
      <c r="U1741" s="9" t="n"/>
    </row>
    <row r="1742">
      <c r="U1742" s="9" t="n"/>
    </row>
    <row r="1743">
      <c r="U1743" s="9" t="n"/>
    </row>
    <row r="1744">
      <c r="U1744" s="9" t="n"/>
    </row>
    <row r="1745">
      <c r="U1745" s="9" t="n"/>
    </row>
    <row r="1746">
      <c r="U1746" s="9" t="n"/>
    </row>
    <row r="1747">
      <c r="U1747" s="9" t="n"/>
    </row>
    <row r="1748">
      <c r="U1748" s="9" t="n"/>
    </row>
    <row r="1749">
      <c r="U1749" s="9" t="n"/>
    </row>
    <row r="1750">
      <c r="U1750" s="9" t="n"/>
    </row>
    <row r="1751">
      <c r="U1751" s="9" t="n"/>
    </row>
    <row r="1752">
      <c r="U1752" s="9" t="n"/>
    </row>
    <row r="1753">
      <c r="U1753" s="9" t="n"/>
    </row>
    <row r="1754">
      <c r="U1754" s="9" t="n"/>
    </row>
    <row r="1755">
      <c r="U1755" s="9" t="n"/>
    </row>
    <row r="1756">
      <c r="U1756" s="9" t="n"/>
    </row>
    <row r="1757">
      <c r="U1757" s="9" t="n"/>
    </row>
    <row r="1758">
      <c r="U1758" s="9" t="n"/>
    </row>
    <row r="1759">
      <c r="U1759" s="9" t="n"/>
    </row>
    <row r="1760">
      <c r="U1760" s="9" t="n"/>
    </row>
    <row r="1761">
      <c r="U1761" s="9" t="n"/>
    </row>
    <row r="1762">
      <c r="U1762" s="9" t="n"/>
    </row>
    <row r="1763">
      <c r="U1763" s="9" t="n"/>
    </row>
    <row r="1764">
      <c r="U1764" s="9" t="n"/>
    </row>
    <row r="1765">
      <c r="U1765" s="9" t="n"/>
    </row>
    <row r="1766">
      <c r="U1766" s="9" t="n"/>
    </row>
    <row r="1767">
      <c r="U1767" s="9" t="n"/>
    </row>
    <row r="1768">
      <c r="U1768" s="9" t="n"/>
    </row>
    <row r="1769">
      <c r="U1769" s="9" t="n"/>
    </row>
    <row r="1770">
      <c r="U1770" s="9" t="n"/>
    </row>
    <row r="1771">
      <c r="U1771" s="9" t="n"/>
    </row>
    <row r="1772">
      <c r="U1772" s="9" t="n"/>
    </row>
    <row r="1773">
      <c r="U1773" s="9" t="n"/>
    </row>
    <row r="1774">
      <c r="U1774" s="9" t="n"/>
    </row>
    <row r="1775">
      <c r="U1775" s="9" t="n"/>
    </row>
    <row r="1776">
      <c r="U1776" s="9" t="n"/>
    </row>
    <row r="1777">
      <c r="U1777" s="9" t="n"/>
    </row>
    <row r="1778">
      <c r="U1778" s="9" t="n"/>
    </row>
    <row r="1779">
      <c r="U1779" s="9" t="n"/>
    </row>
    <row r="1780">
      <c r="U1780" s="9" t="n"/>
    </row>
    <row r="1781">
      <c r="U1781" s="9" t="n"/>
    </row>
    <row r="1782">
      <c r="U1782" s="9" t="n"/>
    </row>
    <row r="1783">
      <c r="U1783" s="9" t="n"/>
    </row>
    <row r="1784">
      <c r="U1784" s="9" t="n"/>
    </row>
    <row r="1785">
      <c r="U1785" s="9" t="n"/>
    </row>
    <row r="1786">
      <c r="U1786" s="9" t="n"/>
    </row>
    <row r="1787">
      <c r="U1787" s="9" t="n"/>
    </row>
    <row r="1788">
      <c r="U1788" s="9" t="n"/>
    </row>
    <row r="1789">
      <c r="U1789" s="9" t="n"/>
    </row>
    <row r="1790">
      <c r="U1790" s="9" t="n"/>
    </row>
    <row r="1791">
      <c r="U1791" s="9" t="n"/>
    </row>
    <row r="1792">
      <c r="U1792" s="9" t="n"/>
    </row>
    <row r="1793">
      <c r="U1793" s="9" t="n"/>
    </row>
    <row r="1794">
      <c r="U1794" s="9" t="n"/>
    </row>
    <row r="1795">
      <c r="U1795" s="9" t="n"/>
    </row>
    <row r="1796">
      <c r="U1796" s="9" t="n"/>
    </row>
    <row r="1797">
      <c r="U1797" s="9" t="n"/>
    </row>
    <row r="1798">
      <c r="U1798" s="9" t="n"/>
    </row>
    <row r="1799">
      <c r="U1799" s="9" t="n"/>
    </row>
    <row r="1800">
      <c r="U1800" s="9" t="n"/>
    </row>
    <row r="1801">
      <c r="U1801" s="9" t="n"/>
    </row>
    <row r="1802">
      <c r="U1802" s="9" t="n"/>
    </row>
    <row r="1803">
      <c r="U1803" s="9" t="n"/>
    </row>
    <row r="1804">
      <c r="U1804" s="9" t="n"/>
    </row>
    <row r="1805">
      <c r="U1805" s="9" t="n"/>
    </row>
    <row r="1806">
      <c r="U1806" s="9" t="n"/>
    </row>
    <row r="1807">
      <c r="U1807" s="9" t="n"/>
    </row>
    <row r="1808">
      <c r="U1808" s="9" t="n"/>
    </row>
    <row r="1809">
      <c r="U1809" s="9" t="n"/>
    </row>
    <row r="1810">
      <c r="U1810" s="9" t="n"/>
    </row>
    <row r="1811">
      <c r="U1811" s="9" t="n"/>
    </row>
    <row r="1812">
      <c r="U1812" s="9" t="n"/>
    </row>
    <row r="1813">
      <c r="U1813" s="9" t="n"/>
    </row>
    <row r="1814">
      <c r="U1814" s="9" t="n"/>
    </row>
    <row r="1815">
      <c r="U1815" s="9" t="n"/>
    </row>
    <row r="1816">
      <c r="U1816" s="9" t="n"/>
    </row>
    <row r="1817">
      <c r="U1817" s="9" t="n"/>
    </row>
    <row r="1818">
      <c r="U1818" s="9" t="n"/>
    </row>
    <row r="1819">
      <c r="U1819" s="9" t="n"/>
    </row>
    <row r="1820">
      <c r="U1820" s="9" t="n"/>
    </row>
    <row r="1821">
      <c r="U1821" s="9" t="n"/>
    </row>
    <row r="1822">
      <c r="U1822" s="9" t="n"/>
    </row>
    <row r="1823">
      <c r="U1823" s="9" t="n"/>
    </row>
    <row r="1824">
      <c r="U1824" s="9" t="n"/>
    </row>
    <row r="1825">
      <c r="U1825" s="9" t="n"/>
    </row>
    <row r="1826">
      <c r="U1826" s="9" t="n"/>
    </row>
    <row r="1827">
      <c r="U1827" s="9" t="n"/>
    </row>
    <row r="1828">
      <c r="U1828" s="9" t="n"/>
    </row>
    <row r="1829">
      <c r="U1829" s="9" t="n"/>
    </row>
    <row r="1830">
      <c r="U1830" s="9" t="n"/>
    </row>
    <row r="1831">
      <c r="U1831" s="9" t="n"/>
    </row>
    <row r="1832">
      <c r="U1832" s="9" t="n"/>
    </row>
    <row r="1833">
      <c r="U1833" s="9" t="n"/>
    </row>
    <row r="1834">
      <c r="U1834" s="9" t="n"/>
    </row>
    <row r="1835">
      <c r="U1835" s="9" t="n"/>
    </row>
    <row r="1836">
      <c r="U1836" s="9" t="n"/>
    </row>
    <row r="1837">
      <c r="U1837" s="9" t="n"/>
    </row>
    <row r="1838">
      <c r="U1838" s="9" t="n"/>
    </row>
    <row r="1839">
      <c r="U1839" s="9" t="n"/>
    </row>
    <row r="1840">
      <c r="U1840" s="9" t="n"/>
    </row>
    <row r="1841">
      <c r="U1841" s="9" t="n"/>
    </row>
    <row r="1842">
      <c r="U1842" s="9" t="n"/>
    </row>
    <row r="1843">
      <c r="U1843" s="9" t="n"/>
    </row>
    <row r="1844">
      <c r="U1844" s="9" t="n"/>
    </row>
    <row r="1845">
      <c r="U1845" s="9" t="n"/>
    </row>
    <row r="1846">
      <c r="U1846" s="9" t="n"/>
    </row>
    <row r="1847">
      <c r="U1847" s="9" t="n"/>
    </row>
    <row r="1848">
      <c r="U1848" s="9" t="n"/>
    </row>
    <row r="1849">
      <c r="U1849" s="9" t="n"/>
    </row>
    <row r="1850">
      <c r="U1850" s="9" t="n"/>
    </row>
    <row r="1851">
      <c r="U1851" s="9" t="n"/>
    </row>
    <row r="1852">
      <c r="U1852" s="9" t="n"/>
    </row>
    <row r="1853">
      <c r="U1853" s="9" t="n"/>
    </row>
    <row r="1854">
      <c r="U1854" s="9" t="n"/>
    </row>
    <row r="1855">
      <c r="U1855" s="9" t="n"/>
    </row>
    <row r="1856">
      <c r="U1856" s="9" t="n"/>
    </row>
    <row r="1857">
      <c r="U1857" s="9" t="n"/>
    </row>
    <row r="1858">
      <c r="U1858" s="9" t="n"/>
    </row>
    <row r="1859">
      <c r="U1859" s="9" t="n"/>
    </row>
    <row r="1860">
      <c r="U1860" s="9" t="n"/>
    </row>
    <row r="1861">
      <c r="U1861" s="9" t="n"/>
    </row>
    <row r="1862">
      <c r="U1862" s="9" t="n"/>
    </row>
    <row r="1863">
      <c r="U1863" s="9" t="n"/>
    </row>
    <row r="1864">
      <c r="U1864" s="9" t="n"/>
    </row>
    <row r="1865">
      <c r="U1865" s="9" t="n"/>
    </row>
    <row r="1866">
      <c r="U1866" s="9" t="n"/>
    </row>
    <row r="1867">
      <c r="U1867" s="9" t="n"/>
    </row>
    <row r="1868">
      <c r="U1868" s="9" t="n"/>
    </row>
    <row r="1869">
      <c r="U1869" s="9" t="n"/>
    </row>
    <row r="1870">
      <c r="U1870" s="9" t="n"/>
    </row>
    <row r="1871">
      <c r="U1871" s="9" t="n"/>
    </row>
    <row r="1872">
      <c r="U1872" s="9" t="n"/>
    </row>
    <row r="1873">
      <c r="U1873" s="9" t="n"/>
    </row>
    <row r="1874">
      <c r="U1874" s="9" t="n"/>
    </row>
    <row r="1875">
      <c r="U1875" s="9" t="n"/>
    </row>
    <row r="1876">
      <c r="U1876" s="9" t="n"/>
    </row>
    <row r="1877">
      <c r="U1877" s="9" t="n"/>
    </row>
    <row r="1878">
      <c r="U1878" s="9" t="n"/>
    </row>
    <row r="1879">
      <c r="U1879" s="9" t="n"/>
    </row>
    <row r="1880">
      <c r="U1880" s="9" t="n"/>
    </row>
    <row r="1881">
      <c r="U1881" s="9" t="n"/>
    </row>
    <row r="1882">
      <c r="U1882" s="9" t="n"/>
    </row>
    <row r="1883">
      <c r="U1883" s="9" t="n"/>
    </row>
    <row r="1884">
      <c r="U1884" s="9" t="n"/>
    </row>
    <row r="1885">
      <c r="U1885" s="9" t="n"/>
    </row>
    <row r="1886">
      <c r="U1886" s="9" t="n"/>
    </row>
    <row r="1887">
      <c r="U1887" s="9" t="n"/>
    </row>
    <row r="1888">
      <c r="U1888" s="9" t="n"/>
    </row>
    <row r="1889">
      <c r="U1889" s="9" t="n"/>
    </row>
    <row r="1890">
      <c r="U1890" s="9" t="n"/>
    </row>
    <row r="1891">
      <c r="U1891" s="9" t="n"/>
    </row>
    <row r="1892">
      <c r="U1892" s="9" t="n"/>
    </row>
    <row r="1893">
      <c r="U1893" s="9" t="n"/>
    </row>
    <row r="1894">
      <c r="U1894" s="9" t="n"/>
    </row>
    <row r="1895">
      <c r="U1895" s="9" t="n"/>
    </row>
    <row r="1896">
      <c r="U1896" s="9" t="n"/>
    </row>
    <row r="1897">
      <c r="U1897" s="9" t="n"/>
    </row>
    <row r="1898">
      <c r="U1898" s="9" t="n"/>
    </row>
    <row r="1899">
      <c r="U1899" s="9" t="n"/>
    </row>
    <row r="1900">
      <c r="U1900" s="9" t="n"/>
    </row>
    <row r="1901">
      <c r="U1901" s="9" t="n"/>
    </row>
    <row r="1902">
      <c r="U1902" s="9" t="n"/>
    </row>
    <row r="1903">
      <c r="U1903" s="9" t="n"/>
    </row>
    <row r="1904">
      <c r="U1904" s="9" t="n"/>
    </row>
    <row r="1905">
      <c r="U1905" s="9" t="n"/>
    </row>
    <row r="1906">
      <c r="U1906" s="9" t="n"/>
    </row>
    <row r="1907">
      <c r="U1907" s="9" t="n"/>
    </row>
    <row r="1908">
      <c r="U1908" s="9" t="n"/>
    </row>
    <row r="1909">
      <c r="U1909" s="9" t="n"/>
    </row>
    <row r="1910">
      <c r="U1910" s="9" t="n"/>
    </row>
    <row r="1911">
      <c r="U1911" s="9" t="n"/>
    </row>
    <row r="1912">
      <c r="U1912" s="9" t="n"/>
    </row>
    <row r="1913">
      <c r="U1913" s="9" t="n"/>
    </row>
    <row r="1914">
      <c r="U1914" s="9" t="n"/>
    </row>
    <row r="1915">
      <c r="U1915" s="9" t="n"/>
    </row>
    <row r="1916">
      <c r="U1916" s="9" t="n"/>
    </row>
    <row r="1917">
      <c r="U1917" s="9" t="n"/>
    </row>
    <row r="1918">
      <c r="U1918" s="9" t="n"/>
    </row>
    <row r="1919">
      <c r="U1919" s="9" t="n"/>
    </row>
    <row r="1920">
      <c r="U1920" s="9" t="n"/>
    </row>
    <row r="1921">
      <c r="U1921" s="9" t="n"/>
    </row>
    <row r="1922">
      <c r="U1922" s="9" t="n"/>
    </row>
    <row r="1923">
      <c r="U1923" s="9" t="n"/>
    </row>
    <row r="1924">
      <c r="U1924" s="9" t="n"/>
    </row>
    <row r="1925">
      <c r="U1925" s="9" t="n"/>
    </row>
    <row r="1926">
      <c r="U1926" s="9" t="n"/>
    </row>
    <row r="1927">
      <c r="U1927" s="9" t="n"/>
    </row>
    <row r="1928">
      <c r="U1928" s="9" t="n"/>
    </row>
    <row r="1929">
      <c r="U1929" s="9" t="n"/>
    </row>
    <row r="1930">
      <c r="U1930" s="9" t="n"/>
    </row>
    <row r="1931">
      <c r="U1931" s="9" t="n"/>
    </row>
    <row r="1932">
      <c r="U1932" s="9" t="n"/>
    </row>
    <row r="1933">
      <c r="U1933" s="9" t="n"/>
    </row>
    <row r="1934">
      <c r="U1934" s="9" t="n"/>
    </row>
    <row r="1935">
      <c r="U1935" s="9" t="n"/>
    </row>
    <row r="1936">
      <c r="U1936" s="9" t="n"/>
    </row>
    <row r="1937">
      <c r="U1937" s="9" t="n"/>
    </row>
    <row r="1938">
      <c r="U1938" s="9" t="n"/>
    </row>
    <row r="1939">
      <c r="U1939" s="9" t="n"/>
    </row>
    <row r="1940">
      <c r="U1940" s="9" t="n"/>
    </row>
    <row r="1941">
      <c r="U1941" s="9" t="n"/>
    </row>
    <row r="1942">
      <c r="U1942" s="9" t="n"/>
    </row>
    <row r="1943">
      <c r="U1943" s="9" t="n"/>
    </row>
    <row r="1944">
      <c r="U1944" s="9" t="n"/>
    </row>
    <row r="1945">
      <c r="U1945" s="9" t="n"/>
    </row>
    <row r="1946">
      <c r="U1946" s="9" t="n"/>
    </row>
    <row r="1947">
      <c r="U1947" s="9" t="n"/>
    </row>
    <row r="1948">
      <c r="U1948" s="9" t="n"/>
    </row>
    <row r="1949">
      <c r="U1949" s="9" t="n"/>
    </row>
    <row r="1950">
      <c r="U1950" s="9" t="n"/>
    </row>
    <row r="1951">
      <c r="U1951" s="9" t="n"/>
    </row>
    <row r="1952">
      <c r="U1952" s="9" t="n"/>
    </row>
    <row r="1953">
      <c r="U1953" s="9" t="n"/>
    </row>
    <row r="1954">
      <c r="U1954" s="9" t="n"/>
    </row>
    <row r="1955">
      <c r="U1955" s="9" t="n"/>
    </row>
    <row r="1956">
      <c r="U1956" s="9" t="n"/>
    </row>
    <row r="1957">
      <c r="U1957" s="9" t="n"/>
    </row>
    <row r="1958">
      <c r="U1958" s="9" t="n"/>
    </row>
    <row r="1959">
      <c r="U1959" s="9" t="n"/>
    </row>
    <row r="1960">
      <c r="U1960" s="9" t="n"/>
    </row>
    <row r="1961">
      <c r="U1961" s="9" t="n"/>
    </row>
    <row r="1962">
      <c r="U1962" s="9" t="n"/>
    </row>
    <row r="1963">
      <c r="U1963" s="9" t="n"/>
    </row>
    <row r="1964">
      <c r="U1964" s="9" t="n"/>
    </row>
    <row r="1965">
      <c r="U1965" s="9" t="n"/>
    </row>
    <row r="1966">
      <c r="U1966" s="9" t="n"/>
    </row>
    <row r="1967">
      <c r="U1967" s="9" t="n"/>
    </row>
    <row r="1968">
      <c r="U1968" s="9" t="n"/>
    </row>
    <row r="1969">
      <c r="U1969" s="9" t="n"/>
    </row>
    <row r="1970">
      <c r="U1970" s="9" t="n"/>
    </row>
    <row r="1971">
      <c r="U1971" s="9" t="n"/>
    </row>
    <row r="1972">
      <c r="U1972" s="9" t="n"/>
    </row>
    <row r="1973">
      <c r="U1973" s="9" t="n"/>
    </row>
    <row r="1974">
      <c r="U1974" s="9" t="n"/>
    </row>
    <row r="1975">
      <c r="U1975" s="9" t="n"/>
    </row>
    <row r="1976">
      <c r="U1976" s="9" t="n"/>
    </row>
    <row r="1977">
      <c r="U1977" s="9" t="n"/>
    </row>
    <row r="1978">
      <c r="U1978" s="9" t="n"/>
    </row>
    <row r="1979">
      <c r="U1979" s="9" t="n"/>
    </row>
    <row r="1980">
      <c r="U1980" s="9" t="n"/>
    </row>
    <row r="1981">
      <c r="U1981" s="9" t="n"/>
    </row>
    <row r="1982">
      <c r="U1982" s="9" t="n"/>
    </row>
    <row r="1983">
      <c r="U1983" s="9" t="n"/>
    </row>
    <row r="1984">
      <c r="U1984" s="9" t="n"/>
    </row>
    <row r="1985">
      <c r="U1985" s="9" t="n"/>
    </row>
    <row r="1986">
      <c r="U1986" s="9" t="n"/>
    </row>
    <row r="1987">
      <c r="U1987" s="9" t="n"/>
    </row>
    <row r="1988">
      <c r="U1988" s="9" t="n"/>
    </row>
    <row r="1989">
      <c r="U1989" s="9" t="n"/>
    </row>
    <row r="1990">
      <c r="U1990" s="9" t="n"/>
    </row>
    <row r="1991">
      <c r="U1991" s="9" t="n"/>
    </row>
    <row r="1992">
      <c r="U1992" s="9" t="n"/>
    </row>
    <row r="1993">
      <c r="U1993" s="9" t="n"/>
    </row>
    <row r="1994">
      <c r="U1994" s="9" t="n"/>
    </row>
    <row r="1995">
      <c r="U1995" s="9" t="n"/>
    </row>
    <row r="1996">
      <c r="U1996" s="9" t="n"/>
    </row>
    <row r="1997">
      <c r="U1997" s="9" t="n"/>
    </row>
    <row r="1998">
      <c r="U1998" s="9" t="n"/>
    </row>
    <row r="1999">
      <c r="U1999" s="9" t="n"/>
    </row>
    <row r="2000">
      <c r="U2000" s="9" t="n"/>
    </row>
    <row r="2001">
      <c r="U2001" s="9" t="n"/>
    </row>
    <row r="2002">
      <c r="U2002" s="9" t="n"/>
    </row>
    <row r="2003">
      <c r="U2003" s="9" t="n"/>
    </row>
    <row r="2004">
      <c r="U2004" s="9" t="n"/>
    </row>
    <row r="2005">
      <c r="U2005" s="9" t="n"/>
    </row>
    <row r="2006">
      <c r="U2006" s="9" t="n"/>
    </row>
    <row r="2007">
      <c r="U2007" s="9" t="n"/>
    </row>
    <row r="2008">
      <c r="U2008" s="9" t="n"/>
    </row>
    <row r="2009">
      <c r="U2009" s="9" t="n"/>
    </row>
    <row r="2010">
      <c r="U2010" s="9" t="n"/>
    </row>
    <row r="2011">
      <c r="U2011" s="9" t="n"/>
    </row>
    <row r="2012">
      <c r="U2012" s="9" t="n"/>
    </row>
    <row r="2013">
      <c r="U2013" s="9" t="n"/>
    </row>
    <row r="2014">
      <c r="U2014" s="9" t="n"/>
    </row>
    <row r="2015">
      <c r="U2015" s="9" t="n"/>
    </row>
    <row r="2016">
      <c r="U2016" s="9" t="n"/>
    </row>
    <row r="2017">
      <c r="U2017" s="9" t="n"/>
    </row>
    <row r="2018">
      <c r="U2018" s="9" t="n"/>
    </row>
    <row r="2019">
      <c r="U2019" s="9" t="n"/>
    </row>
    <row r="2020">
      <c r="U2020" s="9" t="n"/>
    </row>
    <row r="2021">
      <c r="U2021" s="9" t="n"/>
    </row>
    <row r="2022">
      <c r="U2022" s="9" t="n"/>
    </row>
    <row r="2023">
      <c r="U2023" s="9" t="n"/>
    </row>
    <row r="2024">
      <c r="U2024" s="9" t="n"/>
    </row>
    <row r="2025">
      <c r="U2025" s="9" t="n"/>
    </row>
    <row r="2026">
      <c r="U2026" s="9" t="n"/>
    </row>
    <row r="2027">
      <c r="U2027" s="9" t="n"/>
    </row>
    <row r="2028">
      <c r="U2028" s="9" t="n"/>
    </row>
    <row r="2029">
      <c r="U2029" s="9" t="n"/>
    </row>
    <row r="2030">
      <c r="U2030" s="9" t="n"/>
    </row>
    <row r="2031">
      <c r="U2031" s="9" t="n"/>
    </row>
    <row r="2032">
      <c r="U2032" s="9" t="n"/>
    </row>
    <row r="2033">
      <c r="U2033" s="9" t="n"/>
    </row>
    <row r="2034">
      <c r="U2034" s="9" t="n"/>
    </row>
    <row r="2035">
      <c r="U2035" s="9" t="n"/>
    </row>
    <row r="2036">
      <c r="U2036" s="9" t="n"/>
    </row>
    <row r="2037">
      <c r="U2037" s="9" t="n"/>
    </row>
    <row r="2038">
      <c r="U2038" s="9" t="n"/>
    </row>
    <row r="2039">
      <c r="U2039" s="9" t="n"/>
    </row>
    <row r="2040">
      <c r="U2040" s="9" t="n"/>
    </row>
    <row r="2041">
      <c r="U2041" s="9" t="n"/>
    </row>
    <row r="2042">
      <c r="U2042" s="9" t="n"/>
    </row>
    <row r="2043">
      <c r="U2043" s="9" t="n"/>
    </row>
    <row r="2044">
      <c r="U2044" s="9" t="n"/>
    </row>
    <row r="2045">
      <c r="U2045" s="9" t="n"/>
    </row>
    <row r="2046">
      <c r="U2046" s="9" t="n"/>
    </row>
    <row r="2047">
      <c r="U2047" s="9" t="n"/>
    </row>
    <row r="2048">
      <c r="U2048" s="9" t="n"/>
    </row>
    <row r="2049">
      <c r="U2049" s="9" t="n"/>
    </row>
    <row r="2050">
      <c r="U2050" s="9" t="n"/>
    </row>
    <row r="2051">
      <c r="U2051" s="9" t="n"/>
    </row>
    <row r="2052">
      <c r="U2052" s="9" t="n"/>
    </row>
    <row r="2053">
      <c r="U2053" s="9" t="n"/>
    </row>
    <row r="2054">
      <c r="U2054" s="9" t="n"/>
    </row>
    <row r="2055">
      <c r="U2055" s="9" t="n"/>
    </row>
    <row r="2056">
      <c r="U2056" s="9" t="n"/>
    </row>
    <row r="2057">
      <c r="U2057" s="9" t="n"/>
    </row>
    <row r="2058">
      <c r="U2058" s="9" t="n"/>
    </row>
    <row r="2059">
      <c r="U2059" s="9" t="n"/>
    </row>
    <row r="2060">
      <c r="U2060" s="9" t="n"/>
    </row>
    <row r="2061">
      <c r="U2061" s="9" t="n"/>
    </row>
    <row r="2062">
      <c r="U2062" s="9" t="n"/>
    </row>
    <row r="2063">
      <c r="U2063" s="9" t="n"/>
    </row>
    <row r="2064">
      <c r="U2064" s="9" t="n"/>
    </row>
    <row r="2065">
      <c r="U2065" s="9" t="n"/>
    </row>
    <row r="2066">
      <c r="U2066" s="9" t="n"/>
    </row>
    <row r="2067">
      <c r="U2067" s="9" t="n"/>
    </row>
    <row r="2068">
      <c r="U2068" s="9" t="n"/>
    </row>
    <row r="2069">
      <c r="U2069" s="9" t="n"/>
    </row>
    <row r="2070">
      <c r="U2070" s="9" t="n"/>
    </row>
    <row r="2071">
      <c r="U2071" s="9" t="n"/>
    </row>
  </sheetData>
  <autoFilter ref="A4:V1076">
    <filterColumn colId="13" hiddenButton="0" showButton="1">
      <filters>
        <filter val="Country"/>
      </filters>
    </filterColumn>
    <filterColumn colId="14" hiddenButton="0" showButton="1">
      <filters>
        <filter val="Czech Republic"/>
      </filters>
    </filterColumn>
  </autoFilter>
  <pageMargins left="0.7" right="0.7" top="0.75" bottom="0.75" header="0.3" footer="0.3"/>
  <pageSetup orientation="portrait" horizontalDpi="300" verticalDpi="30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Apache POI</dc:creator>
  <dcterms:created xmlns:dcterms="http://purl.org/dc/terms/" xmlns:xsi="http://www.w3.org/2001/XMLSchema-instance" xsi:type="dcterms:W3CDTF">2026-03-30T13:39:00Z</dcterms:created>
  <dcterms:modified xmlns:dcterms="http://purl.org/dc/terms/" xmlns:xsi="http://www.w3.org/2001/XMLSchema-instance" xsi:type="dcterms:W3CDTF">2026-04-29T11:27:03Z</dcterms:modified>
  <cp:lastModifiedBy>Vladimir Buzalka</cp:lastModifiedBy>
</cp:coreProperties>
</file>