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Sheet0!$A$1:$Q$943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HYPERLINK("https://vtmf.veevavault.com/ui/#doc_info/27518494/1/0", "77242113UCO2001-CZE-Z92-CZ10008-Electronic Source Data Compliance Assessment Questionnaire (ESDCAQ)- (v1.0)")</f>
        <v>77242113UCO2001-CZE-Z92-CZ10008-Electronic Source Data Compliance Assessment Questionnaire (ESDCAQ)- (v1.0)</v>
      </c>
      <c r="B2" s="3" t="inlineStr">
        <is>
          <t>vi-1072 RPA_Bot2</t>
        </is>
      </c>
      <c r="C2" s="3" t="inlineStr">
        <is>
          <t>Site Management</t>
        </is>
      </c>
      <c r="D2" s="3" t="inlineStr">
        <is>
          <t>Site Set-up Documentation</t>
        </is>
      </c>
      <c r="E2" s="3" t="inlineStr">
        <is>
          <t>ESDCAQ</t>
        </is>
      </c>
      <c r="F2" s="3" t="inlineStr">
        <is>
          <t>ESDCAQ 1</t>
        </is>
      </c>
      <c r="G2" s="2" t="str">
        <f>HYPERLINK("https://vtmf.veevavault.com/ui/#doc_info/27518494/1/0", "VTMF-22072294")</f>
        <v>VTMF-22072294</v>
      </c>
      <c r="H2" s="3" t="inlineStr">
        <is>
          <t/>
        </is>
      </c>
      <c r="I2" s="3" t="inlineStr">
        <is>
          <t>Katerina Harms</t>
        </is>
      </c>
      <c r="J2" s="3" t="inlineStr">
        <is>
          <t>vi-1072 RPA_Bot2</t>
        </is>
      </c>
      <c r="K2" s="4" t="n">
        <v>45616.01672453704</v>
      </c>
      <c r="L2" s="5" t="n">
        <v>45615.0</v>
      </c>
      <c r="M2" s="3" t="inlineStr">
        <is>
          <t>Approved</t>
        </is>
      </c>
      <c r="N2" s="3" t="inlineStr">
        <is>
          <t>Available for Distribution, CLIX Filing, Study Start</t>
        </is>
      </c>
      <c r="O2" s="3" t="inlineStr">
        <is>
          <t>Czech Republic, Czech Republic, Czech Republic, Czech Republic</t>
        </is>
      </c>
      <c r="P2" s="3" t="inlineStr">
        <is>
          <t>42004, AA5-CZ10001, N72-CZ10010, Z92-CZ10008</t>
        </is>
      </c>
      <c r="Q2" s="3" t="inlineStr">
        <is>
          <t>77242113UCO2001, C0168Z03, CNTO1959UCO3001, CNTO1959UCO3004</t>
        </is>
      </c>
    </row>
    <row r="3">
      <c r="A3" s="2" t="str">
        <f>HYPERLINK("https://vtmf.veevavault.com/ui/#doc_info/16037370/2/0", "C0168Z03-CZE-42004-Electronic Source Data Compliance Assessment Questionnaire (ESDCAQ)-04 Aug 2022 (v2.0)")</f>
        <v>C0168Z03-CZE-42004-Electronic Source Data Compliance Assessment Questionnaire (ESDCAQ)-04 Aug 2022 (v2.0)</v>
      </c>
      <c r="B3" s="3" t="inlineStr">
        <is>
          <t>vi-1072 RPA_Bot2</t>
        </is>
      </c>
      <c r="C3" s="3" t="inlineStr">
        <is>
          <t>Site Management</t>
        </is>
      </c>
      <c r="D3" s="3" t="inlineStr">
        <is>
          <t>Site Set-up Documentation</t>
        </is>
      </c>
      <c r="E3" s="3" t="inlineStr">
        <is>
          <t>ESDCAQ</t>
        </is>
      </c>
      <c r="F3" s="3" t="inlineStr">
        <is>
          <t>ESDCAQ 1</t>
        </is>
      </c>
      <c r="G3" s="2" t="str">
        <f>HYPERLINK("https://vtmf.veevavault.com/ui/#doc_info/16037370/2/0", "VTMF-11716276")</f>
        <v>VTMF-11716276</v>
      </c>
      <c r="H3" s="3" t="inlineStr">
        <is>
          <t/>
        </is>
      </c>
      <c r="I3" s="3" t="inlineStr">
        <is>
          <t>Anthony Suarez (veeva.com)</t>
        </is>
      </c>
      <c r="J3" s="3" t="inlineStr">
        <is>
          <t>vi-1072 RPA_Bot2</t>
        </is>
      </c>
      <c r="K3" s="4" t="n">
        <v>44777.9768287037</v>
      </c>
      <c r="L3" s="5" t="n">
        <v>44777.0</v>
      </c>
      <c r="M3" s="3" t="inlineStr">
        <is>
          <t>Approved</t>
        </is>
      </c>
      <c r="N3" s="3" t="inlineStr">
        <is>
          <t>Available for Distribution, CLIX Filing, Site Close</t>
        </is>
      </c>
      <c r="O3" s="3" t="inlineStr">
        <is>
          <t>Czech Republic, Czech Republic, Czech Republic, Czech Republic</t>
        </is>
      </c>
      <c r="P3" s="3" t="inlineStr">
        <is>
          <t>42004, AA5-CZ10001, N72-CZ10010, Z92-CZ10008</t>
        </is>
      </c>
      <c r="Q3" s="3" t="inlineStr">
        <is>
          <t>77242113UCO2001, C0168Z03, CNTO1959UCO3001, CNTO1959UCO3004</t>
        </is>
      </c>
    </row>
    <row r="4">
      <c r="A4" s="2" t="str">
        <f>HYPERLINK("https://vtmf.veevavault.com/ui/#doc_info/26392028/1/0", "77242113UCO2001-CZE-AA5-CZ10001-Other Curriculum Vitae-15 Jan 2024 (v1.0)")</f>
        <v>77242113UCO2001-CZE-AA5-CZ10001-Other Curriculum Vitae-15 Jan 2024 (v1.0)</v>
      </c>
      <c r="B4" s="3" t="inlineStr">
        <is>
          <t>Katerina Harms</t>
        </is>
      </c>
      <c r="C4" s="3" t="inlineStr">
        <is>
          <t>Site Management</t>
        </is>
      </c>
      <c r="D4" s="3" t="inlineStr">
        <is>
          <t>Site Set-up Documentation</t>
        </is>
      </c>
      <c r="E4" s="3" t="inlineStr">
        <is>
          <t>Other Curriculum Vitae</t>
        </is>
      </c>
      <c r="F4" s="3" t="inlineStr">
        <is>
          <t>Curriculum Vitae_EN_Neubauerova R_Trial Nurse_revised</t>
        </is>
      </c>
      <c r="G4" s="2" t="str">
        <f>HYPERLINK("https://vtmf.veevavault.com/ui/#doc_info/26392028/1/0", "VTMF-21122146")</f>
        <v>VTMF-21122146</v>
      </c>
      <c r="H4" s="3" t="inlineStr">
        <is>
          <t/>
        </is>
      </c>
      <c r="I4" s="3" t="inlineStr">
        <is>
          <t>Anthony Suarez (veeva.com)</t>
        </is>
      </c>
      <c r="J4" s="3" t="inlineStr">
        <is>
          <t>Katerina Harms</t>
        </is>
      </c>
      <c r="K4" s="4" t="n">
        <v>45436.62931712963</v>
      </c>
      <c r="L4" s="5" t="n">
        <v>45436.0</v>
      </c>
      <c r="M4" s="3" t="inlineStr">
        <is>
          <t>Approved</t>
        </is>
      </c>
      <c r="N4" s="3" t="inlineStr">
        <is>
          <t>Available for Distribution, CLIX Filing, Site Close</t>
        </is>
      </c>
      <c r="O4" s="3" t="inlineStr">
        <is>
          <t>Czech Republic, Czech Republic</t>
        </is>
      </c>
      <c r="P4" s="3" t="inlineStr">
        <is>
          <t>AA5-CZ10001, Z92-CZ10008</t>
        </is>
      </c>
      <c r="Q4" s="3" t="inlineStr">
        <is>
          <t>77242113UCO2001, CNTO1959UCO3004</t>
        </is>
      </c>
    </row>
    <row r="5">
      <c r="A5" s="2" t="str">
        <f>HYPERLINK("https://vtmf.veevavault.com/ui/#doc_info/26392071/1/0", "77242113UCO2001-CZE-AA5-CZ10001-Other Curriculum Vitae-15 Jan 2024 (v1.0)")</f>
        <v>77242113UCO2001-CZE-AA5-CZ10001-Other Curriculum Vitae-15 Jan 2024 (v1.0)</v>
      </c>
      <c r="B5" s="3" t="inlineStr">
        <is>
          <t>Katerina Harms</t>
        </is>
      </c>
      <c r="C5" s="3" t="inlineStr">
        <is>
          <t>Site Management</t>
        </is>
      </c>
      <c r="D5" s="3" t="inlineStr">
        <is>
          <t>Site Set-up Documentation</t>
        </is>
      </c>
      <c r="E5" s="3" t="inlineStr">
        <is>
          <t>Other Curriculum Vitae</t>
        </is>
      </c>
      <c r="F5" s="3" t="inlineStr">
        <is>
          <t>Curriculum Vitae_EN_Dvorakova Z_Study Coordinator_revised</t>
        </is>
      </c>
      <c r="G5" s="2" t="str">
        <f>HYPERLINK("https://vtmf.veevavault.com/ui/#doc_info/26392071/1/0", "VTMF-21122231")</f>
        <v>VTMF-21122231</v>
      </c>
      <c r="H5" s="3" t="inlineStr">
        <is>
          <t/>
        </is>
      </c>
      <c r="I5" s="3" t="inlineStr">
        <is>
          <t>Anthony Suarez (veeva.com)</t>
        </is>
      </c>
      <c r="J5" s="3" t="inlineStr">
        <is>
          <t>Katerina Harms</t>
        </is>
      </c>
      <c r="K5" s="4" t="n">
        <v>45436.63615740741</v>
      </c>
      <c r="L5" s="5" t="n">
        <v>45436.0</v>
      </c>
      <c r="M5" s="3" t="inlineStr">
        <is>
          <t>Approved</t>
        </is>
      </c>
      <c r="N5" s="3" t="inlineStr">
        <is>
          <t>Available for Distribution, CLIX Filing, Site Close</t>
        </is>
      </c>
      <c r="O5" s="3" t="inlineStr">
        <is>
          <t>Czech Republic, Czech Republic</t>
        </is>
      </c>
      <c r="P5" s="3" t="inlineStr">
        <is>
          <t>AA5-CZ10001, Z92-CZ10008</t>
        </is>
      </c>
      <c r="Q5" s="3" t="inlineStr">
        <is>
          <t>77242113UCO2001, CNTO1959UCO3004</t>
        </is>
      </c>
    </row>
    <row r="6">
      <c r="A6" s="2" t="str">
        <f>HYPERLINK("https://vtmf.veevavault.com/ui/#doc_info/26391870/1/0", "77242113UCO2001-CZE-AA5-CZ10001-Other Curriculum Vitae-18 Jan 2024 (v1.0)")</f>
        <v>77242113UCO2001-CZE-AA5-CZ10001-Other Curriculum Vitae-18 Jan 2024 (v1.0)</v>
      </c>
      <c r="B6" s="3" t="inlineStr">
        <is>
          <t>Katerina Harms</t>
        </is>
      </c>
      <c r="C6" s="3" t="inlineStr">
        <is>
          <t>Site Management</t>
        </is>
      </c>
      <c r="D6" s="3" t="inlineStr">
        <is>
          <t>Site Set-up Documentation</t>
        </is>
      </c>
      <c r="E6" s="3" t="inlineStr">
        <is>
          <t>Other Curriculum Vitae</t>
        </is>
      </c>
      <c r="F6" s="3" t="inlineStr">
        <is>
          <t>Curriculum Vitae_EN_Fenclova S_Trial Nurse_revised</t>
        </is>
      </c>
      <c r="G6" s="2" t="str">
        <f>HYPERLINK("https://vtmf.veevavault.com/ui/#doc_info/26391870/1/0", "VTMF-21122020")</f>
        <v>VTMF-21122020</v>
      </c>
      <c r="H6" s="3" t="inlineStr">
        <is>
          <t/>
        </is>
      </c>
      <c r="I6" s="3" t="inlineStr">
        <is>
          <t>Anthony Suarez (veeva.com)</t>
        </is>
      </c>
      <c r="J6" s="3" t="inlineStr">
        <is>
          <t>Katerina Harms</t>
        </is>
      </c>
      <c r="K6" s="4" t="n">
        <v>45436.61519675926</v>
      </c>
      <c r="L6" s="5" t="n">
        <v>45436.0</v>
      </c>
      <c r="M6" s="3" t="inlineStr">
        <is>
          <t>Approved</t>
        </is>
      </c>
      <c r="N6" s="3" t="inlineStr">
        <is>
          <t>Available for Distribution, CLIX Filing, Site Close</t>
        </is>
      </c>
      <c r="O6" s="3" t="inlineStr">
        <is>
          <t>Czech Republic, Czech Republic</t>
        </is>
      </c>
      <c r="P6" s="3" t="inlineStr">
        <is>
          <t>AA5-CZ10001, Z92-CZ10008</t>
        </is>
      </c>
      <c r="Q6" s="3" t="inlineStr">
        <is>
          <t>77242113UCO2001, CNTO1959UCO3004</t>
        </is>
      </c>
    </row>
    <row r="7">
      <c r="A7" s="2" t="str">
        <f>HYPERLINK("https://vtmf.veevavault.com/ui/#doc_info/26392016/1/0", "77242113UCO2001-CZE-AA5-CZ10001-Other Curriculum Vitae-18 Jan 2024 (v1.0)")</f>
        <v>77242113UCO2001-CZE-AA5-CZ10001-Other Curriculum Vitae-18 Jan 2024 (v1.0)</v>
      </c>
      <c r="B7" s="3" t="inlineStr">
        <is>
          <t>Katerina Harms</t>
        </is>
      </c>
      <c r="C7" s="3" t="inlineStr">
        <is>
          <t>Site Management</t>
        </is>
      </c>
      <c r="D7" s="3" t="inlineStr">
        <is>
          <t>Site Set-up Documentation</t>
        </is>
      </c>
      <c r="E7" s="3" t="inlineStr">
        <is>
          <t>Other Curriculum Vitae</t>
        </is>
      </c>
      <c r="F7" s="3" t="inlineStr">
        <is>
          <t>Curriculum Vitae_EN_Butas J_Trial Nurse_revised</t>
        </is>
      </c>
      <c r="G7" s="2" t="str">
        <f>HYPERLINK("https://vtmf.veevavault.com/ui/#doc_info/26392016/1/0", "VTMF-21122120")</f>
        <v>VTMF-21122120</v>
      </c>
      <c r="H7" s="3" t="inlineStr">
        <is>
          <t/>
        </is>
      </c>
      <c r="I7" s="3" t="inlineStr">
        <is>
          <t>Anthony Suarez (veeva.com)</t>
        </is>
      </c>
      <c r="J7" s="3" t="inlineStr">
        <is>
          <t>Katerina Harms</t>
        </is>
      </c>
      <c r="K7" s="4" t="n">
        <v>45436.62658564815</v>
      </c>
      <c r="L7" s="5" t="n">
        <v>45436.0</v>
      </c>
      <c r="M7" s="3" t="inlineStr">
        <is>
          <t>Approved</t>
        </is>
      </c>
      <c r="N7" s="3" t="inlineStr">
        <is>
          <t>Available for Distribution, CLIX Filing, Site Close</t>
        </is>
      </c>
      <c r="O7" s="3" t="inlineStr">
        <is>
          <t>Czech Republic, Czech Republic</t>
        </is>
      </c>
      <c r="P7" s="3" t="inlineStr">
        <is>
          <t>AA5-CZ10001, Z92-CZ10008</t>
        </is>
      </c>
      <c r="Q7" s="3" t="inlineStr">
        <is>
          <t>77242113UCO2001, CNTO1959UCO3004</t>
        </is>
      </c>
    </row>
    <row r="8">
      <c r="A8" s="2" t="str">
        <f>HYPERLINK("https://vtmf.veevavault.com/ui/#doc_info/26392049/1/0", "77242113UCO2001-CZE-AA5-CZ10001-Other Curriculum Vitae-18 Jan 2024 (v1.0)")</f>
        <v>77242113UCO2001-CZE-AA5-CZ10001-Other Curriculum Vitae-18 Jan 2024 (v1.0)</v>
      </c>
      <c r="B8" s="3" t="inlineStr">
        <is>
          <t>Katerina Harms</t>
        </is>
      </c>
      <c r="C8" s="3" t="inlineStr">
        <is>
          <t>Site Management</t>
        </is>
      </c>
      <c r="D8" s="3" t="inlineStr">
        <is>
          <t>Site Set-up Documentation</t>
        </is>
      </c>
      <c r="E8" s="3" t="inlineStr">
        <is>
          <t>Other Curriculum Vitae</t>
        </is>
      </c>
      <c r="F8" s="3" t="inlineStr">
        <is>
          <t>Curriculum Vitae_EN_Valentova A_Study Coordinator_revised</t>
        </is>
      </c>
      <c r="G8" s="2" t="str">
        <f>HYPERLINK("https://vtmf.veevavault.com/ui/#doc_info/26392049/1/0", "VTMF-21122196")</f>
        <v>VTMF-21122196</v>
      </c>
      <c r="H8" s="3" t="inlineStr">
        <is>
          <t/>
        </is>
      </c>
      <c r="I8" s="3" t="inlineStr">
        <is>
          <t>Anthony Suarez (veeva.com)</t>
        </is>
      </c>
      <c r="J8" s="3" t="inlineStr">
        <is>
          <t>Katerina Harms</t>
        </is>
      </c>
      <c r="K8" s="4" t="n">
        <v>45436.63400462963</v>
      </c>
      <c r="L8" s="5" t="n">
        <v>45436.0</v>
      </c>
      <c r="M8" s="3" t="inlineStr">
        <is>
          <t>Approved</t>
        </is>
      </c>
      <c r="N8" s="3" t="inlineStr">
        <is>
          <t>Available for Distribution, CLIX Filing, Site Close</t>
        </is>
      </c>
      <c r="O8" s="3" t="inlineStr">
        <is>
          <t>Czech Republic, Czech Republic</t>
        </is>
      </c>
      <c r="P8" s="3" t="inlineStr">
        <is>
          <t>AA5-CZ10001, Z92-CZ10008</t>
        </is>
      </c>
      <c r="Q8" s="3" t="inlineStr">
        <is>
          <t>77242113UCO2001, CNTO1959UCO3004</t>
        </is>
      </c>
    </row>
    <row r="9">
      <c r="A9" s="2" t="str">
        <f>HYPERLINK("https://vtmf.veevavault.com/ui/#doc_info/26391888/1/0", "77242113UCO2001-CZE-AA5-CZ10001-Other Curriculum Vitae-19 Jan 2024 (v1.0)")</f>
        <v>77242113UCO2001-CZE-AA5-CZ10001-Other Curriculum Vitae-19 Jan 2024 (v1.0)</v>
      </c>
      <c r="B9" s="3" t="inlineStr">
        <is>
          <t>Katerina Harms</t>
        </is>
      </c>
      <c r="C9" s="3" t="inlineStr">
        <is>
          <t>Site Management</t>
        </is>
      </c>
      <c r="D9" s="3" t="inlineStr">
        <is>
          <t>Site Set-up Documentation</t>
        </is>
      </c>
      <c r="E9" s="3" t="inlineStr">
        <is>
          <t>Other Curriculum Vitae</t>
        </is>
      </c>
      <c r="F9" s="3" t="inlineStr">
        <is>
          <t>Curriculum Vitae_EN_Kovacova J_Trial Nurse_revised</t>
        </is>
      </c>
      <c r="G9" s="2" t="str">
        <f>HYPERLINK("https://vtmf.veevavault.com/ui/#doc_info/26391888/1/0", "VTMF-21122052")</f>
        <v>VTMF-21122052</v>
      </c>
      <c r="H9" s="3" t="inlineStr">
        <is>
          <t/>
        </is>
      </c>
      <c r="I9" s="3" t="inlineStr">
        <is>
          <t>Anthony Suarez (veeva.com)</t>
        </is>
      </c>
      <c r="J9" s="3" t="inlineStr">
        <is>
          <t>Katerina Harms</t>
        </is>
      </c>
      <c r="K9" s="4" t="n">
        <v>45436.619409722225</v>
      </c>
      <c r="L9" s="5" t="n">
        <v>45436.0</v>
      </c>
      <c r="M9" s="3" t="inlineStr">
        <is>
          <t>Approved</t>
        </is>
      </c>
      <c r="N9" s="3" t="inlineStr">
        <is>
          <t>Available for Distribution, CLIX Filing, Site Close</t>
        </is>
      </c>
      <c r="O9" s="3" t="inlineStr">
        <is>
          <t>Czech Republic, Czech Republic</t>
        </is>
      </c>
      <c r="P9" s="3" t="inlineStr">
        <is>
          <t>AA5-CZ10001, Z92-CZ10008</t>
        </is>
      </c>
      <c r="Q9" s="3" t="inlineStr">
        <is>
          <t>77242113UCO2001, CNTO1959UCO3004</t>
        </is>
      </c>
    </row>
    <row r="10">
      <c r="A10" s="2" t="str">
        <f>HYPERLINK("https://vtmf.veevavault.com/ui/#doc_info/26391858/1/0", "77242113UCO2001-CZE-AA5-CZ10001-Sub-Investigator Curriculum Vitae-23 Jan 2024 (v1.0)")</f>
        <v>77242113UCO2001-CZE-AA5-CZ10001-Sub-Investigator Curriculum Vitae-23 Jan 2024 (v1.0)</v>
      </c>
      <c r="B10" s="3" t="inlineStr">
        <is>
          <t>Katerina Harms</t>
        </is>
      </c>
      <c r="C10" s="3" t="inlineStr">
        <is>
          <t>Site Management</t>
        </is>
      </c>
      <c r="D10" s="3" t="inlineStr">
        <is>
          <t>Site Set-up Documentation</t>
        </is>
      </c>
      <c r="E10" s="3" t="inlineStr">
        <is>
          <t>Sub-Investigator Curriculum Vitae</t>
        </is>
      </c>
      <c r="F10" s="3" t="inlineStr">
        <is>
          <t>Curriculum Vitae_EN_Novakova M_revised</t>
        </is>
      </c>
      <c r="G10" s="2" t="str">
        <f>HYPERLINK("https://vtmf.veevavault.com/ui/#doc_info/26391858/1/0", "VTMF-21121984")</f>
        <v>VTMF-21121984</v>
      </c>
      <c r="H10" s="3" t="inlineStr">
        <is>
          <t/>
        </is>
      </c>
      <c r="I10" s="3" t="inlineStr">
        <is>
          <t>Anthony Suarez (veeva.com)</t>
        </is>
      </c>
      <c r="J10" s="3" t="inlineStr">
        <is>
          <t>Katerina Harms</t>
        </is>
      </c>
      <c r="K10" s="4" t="n">
        <v>45436.612546296295</v>
      </c>
      <c r="L10" s="5" t="n">
        <v>45436.0</v>
      </c>
      <c r="M10" s="3" t="inlineStr">
        <is>
          <t>Approved</t>
        </is>
      </c>
      <c r="N10" s="3" t="inlineStr">
        <is>
          <t>Available for Distribution, CLIX Filing, Site Close</t>
        </is>
      </c>
      <c r="O10" s="3" t="inlineStr">
        <is>
          <t>Czech Republic, Czech Republic</t>
        </is>
      </c>
      <c r="P10" s="3" t="inlineStr">
        <is>
          <t>AA5-CZ10001, Z92-CZ10008</t>
        </is>
      </c>
      <c r="Q10" s="3" t="inlineStr">
        <is>
          <t>77242113UCO2001, CNTO1959UCO3004</t>
        </is>
      </c>
    </row>
    <row r="11">
      <c r="A11" s="2" t="str">
        <f>HYPERLINK("https://vtmf.veevavault.com/ui/#doc_info/25160234/2/0", "77242113UCO2001-CZE-AA5-CZ10003-Electronic Source Data Compliance Assessment Questionnaire (ESDCAQ)- (v2.0)")</f>
        <v>77242113UCO2001-CZE-AA5-CZ10003-Electronic Source Data Compliance Assessment Questionnaire (ESDCAQ)- (v2.0)</v>
      </c>
      <c r="B11" s="3" t="inlineStr">
        <is>
          <t>vi-1072 RPA_Bot2</t>
        </is>
      </c>
      <c r="C11" s="3" t="inlineStr">
        <is>
          <t>Site Management</t>
        </is>
      </c>
      <c r="D11" s="3" t="inlineStr">
        <is>
          <t>Site Set-up Documentation</t>
        </is>
      </c>
      <c r="E11" s="3" t="inlineStr">
        <is>
          <t>ESDCAQ</t>
        </is>
      </c>
      <c r="F11" s="3" t="inlineStr">
        <is>
          <t>ESDCAQ 1</t>
        </is>
      </c>
      <c r="G11" s="2" t="str">
        <f>HYPERLINK("https://vtmf.veevavault.com/ui/#doc_info/25160234/2/0", "VTMF-20043806")</f>
        <v>VTMF-20043806</v>
      </c>
      <c r="H11" s="3" t="inlineStr">
        <is>
          <t/>
        </is>
      </c>
      <c r="I11" s="3" t="inlineStr">
        <is>
          <t>Anthony Suarez (veeva.com)</t>
        </is>
      </c>
      <c r="J11" s="3" t="inlineStr">
        <is>
          <t>vi-1072 RPA_Bot2</t>
        </is>
      </c>
      <c r="K11" s="4" t="n">
        <v>45245.975069444445</v>
      </c>
      <c r="L11" s="5" t="n">
        <v>45245.0</v>
      </c>
      <c r="M11" s="3" t="inlineStr">
        <is>
          <t>Approved</t>
        </is>
      </c>
      <c r="N11" s="3" t="inlineStr">
        <is>
          <t>Available for Distribution, CLIX Filing, Site Close</t>
        </is>
      </c>
      <c r="O11" s="3" t="inlineStr">
        <is>
          <t>Czech Republic, Czech Republic</t>
        </is>
      </c>
      <c r="P11" s="3" t="inlineStr">
        <is>
          <t>AA5-CZ10003, Z92-CZ10003</t>
        </is>
      </c>
      <c r="Q11" s="3" t="inlineStr">
        <is>
          <t>77242113UCO2001, CNTO1959UCO3004</t>
        </is>
      </c>
    </row>
    <row r="12">
      <c r="A12" s="2" t="str">
        <f>HYPERLINK("https://vtmf.veevavault.com/ui/#doc_info/23620318/1/0", "77242113UCO2001-CZE-AA5-CZ10003-Site Training Documentation-09 Nov 2022 (v1.0)")</f>
        <v>77242113UCO2001-CZE-AA5-CZ10003-Site Training Documentation-09 Nov 2022 (v1.0)</v>
      </c>
      <c r="B12" s="3" t="inlineStr">
        <is>
          <t>Lenka Martinu</t>
        </is>
      </c>
      <c r="C12" s="3" t="inlineStr">
        <is>
          <t>Site Management</t>
        </is>
      </c>
      <c r="D12" s="3" t="inlineStr">
        <is>
          <t>Site Initiation</t>
        </is>
      </c>
      <c r="E12" s="3" t="inlineStr">
        <is>
          <t>Site Training Documentation</t>
        </is>
      </c>
      <c r="F12" s="3" t="inlineStr">
        <is>
          <t>Safety Portal Training Certificate_Siroky_M_Jr.</t>
        </is>
      </c>
      <c r="G12" s="2" t="str">
        <f>HYPERLINK("https://vtmf.veevavault.com/ui/#doc_info/23620318/1/0", "VTMF-18697461")</f>
        <v>VTMF-18697461</v>
      </c>
      <c r="H12" s="3" t="inlineStr">
        <is>
          <t/>
        </is>
      </c>
      <c r="I12" s="3" t="inlineStr">
        <is>
          <t>Anthony Suarez (veeva.com)</t>
        </is>
      </c>
      <c r="J12" s="3" t="inlineStr">
        <is>
          <t>Lenka Martinu</t>
        </is>
      </c>
      <c r="K12" s="4" t="n">
        <v>44992.72384259259</v>
      </c>
      <c r="L12" s="5" t="n">
        <v>44992.0</v>
      </c>
      <c r="M12" s="3" t="inlineStr">
        <is>
          <t>Approved</t>
        </is>
      </c>
      <c r="N12" s="3" t="inlineStr">
        <is>
          <t>Available for Distribution, CLIX Filing, Site Close</t>
        </is>
      </c>
      <c r="O12" s="3" t="inlineStr">
        <is>
          <t>Czech Republic, Czech Republic</t>
        </is>
      </c>
      <c r="P12" s="3" t="inlineStr">
        <is>
          <t>AA5-CZ10003, Z92-CZ10003</t>
        </is>
      </c>
      <c r="Q12" s="3" t="inlineStr">
        <is>
          <t>77242113UCO2001, CNTO1959UCO3004</t>
        </is>
      </c>
    </row>
    <row r="13">
      <c r="A13" s="2" t="str">
        <f>HYPERLINK("https://vtmf.veevavault.com/ui/#doc_info/28265128/1/0", "77242113UCO2001-CZE-AA5-CZ10003-Temperature Monitor Validation/Calibration Cert.-04 Feb 2025 (v1.0)")</f>
        <v>77242113UCO2001-CZE-AA5-CZ10003-Temperature Monitor Validation/Calibration Cert.-04 Feb 2025 (v1.0)</v>
      </c>
      <c r="B13" s="3" t="inlineStr">
        <is>
          <t>Katerina Harms</t>
        </is>
      </c>
      <c r="C13" s="3" t="inlineStr">
        <is>
          <t>IP and Trial Supplies</t>
        </is>
      </c>
      <c r="D13" s="3" t="inlineStr">
        <is>
          <t>Storage</t>
        </is>
      </c>
      <c r="E13" s="3" t="inlineStr">
        <is>
          <t>Temperature Monitor Validation/Calibration Certificates</t>
        </is>
      </c>
      <c r="F13" s="3" t="inlineStr">
        <is>
          <t>Calibration Certificate_KLT-25K-1234_Thermometer Nr. 22-94</t>
        </is>
      </c>
      <c r="G13" s="2" t="str">
        <f>HYPERLINK("https://vtmf.veevavault.com/ui/#doc_info/28265128/1/0", "VTMF-22672594")</f>
        <v>VTMF-22672594</v>
      </c>
      <c r="H13" s="3" t="inlineStr">
        <is>
          <t/>
        </is>
      </c>
      <c r="I13" s="3" t="inlineStr">
        <is>
          <t>Anthony Suarez (veeva.com)</t>
        </is>
      </c>
      <c r="J13" s="3" t="inlineStr">
        <is>
          <t>Katerina Harms</t>
        </is>
      </c>
      <c r="K13" s="4" t="n">
        <v>45698.66741898148</v>
      </c>
      <c r="L13" s="5" t="n">
        <v>45698.0</v>
      </c>
      <c r="M13" s="3" t="inlineStr">
        <is>
          <t>Approved</t>
        </is>
      </c>
      <c r="N13" s="3" t="inlineStr">
        <is>
          <t>Available for Distribution, CLIX Filing, Country Close, Site Close, Study Close</t>
        </is>
      </c>
      <c r="O13" s="3" t="inlineStr">
        <is>
          <t>Czech Republic, Czech Republic</t>
        </is>
      </c>
      <c r="P13" s="3" t="inlineStr">
        <is>
          <t>AA5-CZ10003, Z92-CZ10003</t>
        </is>
      </c>
      <c r="Q13" s="3" t="inlineStr">
        <is>
          <t>77242113UCO2001, CNTO1959UCO3004</t>
        </is>
      </c>
    </row>
    <row r="14">
      <c r="A14" s="2" t="str">
        <f>HYPERLINK("https://vtmf.veevavault.com/ui/#doc_info/25780346/1/0", "77242113UCO2001-CZE-AA5-CZ10003-Temperature Monitor Validation/Calibration Cert.-16 Feb 2024 (v1.0)")</f>
        <v>77242113UCO2001-CZE-AA5-CZ10003-Temperature Monitor Validation/Calibration Cert.-16 Feb 2024 (v1.0)</v>
      </c>
      <c r="B14" s="3" t="inlineStr">
        <is>
          <t>Katerina Harms</t>
        </is>
      </c>
      <c r="C14" s="3" t="inlineStr">
        <is>
          <t>IP and Trial Supplies</t>
        </is>
      </c>
      <c r="D14" s="3" t="inlineStr">
        <is>
          <t>Storage</t>
        </is>
      </c>
      <c r="E14" s="3" t="inlineStr">
        <is>
          <t>Temperature Monitor Validation/Calibration Certificates</t>
        </is>
      </c>
      <c r="F14" s="3" t="inlineStr">
        <is>
          <t>Calibration certificate_KLT-24K-1416</t>
        </is>
      </c>
      <c r="G14" s="2" t="str">
        <f>HYPERLINK("https://vtmf.veevavault.com/ui/#doc_info/25780346/1/0", "VTMF-20585509")</f>
        <v>VTMF-20585509</v>
      </c>
      <c r="H14" s="3" t="inlineStr">
        <is>
          <t/>
        </is>
      </c>
      <c r="I14" s="3" t="inlineStr">
        <is>
          <t>Anthony Suarez (veeva.com)</t>
        </is>
      </c>
      <c r="J14" s="3" t="inlineStr">
        <is>
          <t>Katerina Harms</t>
        </is>
      </c>
      <c r="K14" s="4" t="n">
        <v>45345.6547337963</v>
      </c>
      <c r="L14" s="5" t="n">
        <v>45345.0</v>
      </c>
      <c r="M14" s="3" t="inlineStr">
        <is>
          <t>Approved</t>
        </is>
      </c>
      <c r="N14" s="3" t="inlineStr">
        <is>
          <t>Available for Distribution, Not associated to a milestone</t>
        </is>
      </c>
      <c r="O14" s="3" t="inlineStr">
        <is>
          <t>Czech Republic, Czech Republic</t>
        </is>
      </c>
      <c r="P14" s="3" t="inlineStr">
        <is>
          <t>AA5-CZ10003, Z92-CZ10003</t>
        </is>
      </c>
      <c r="Q14" s="3" t="inlineStr">
        <is>
          <t>77242113UCO2001, CNTO1959UCO3004</t>
        </is>
      </c>
    </row>
    <row r="15">
      <c r="A15" s="2" t="str">
        <f>HYPERLINK("https://vtmf.veevavault.com/ui/#doc_info/26582074/1/0", "77242113UCO2001-CZE-Z92-CZ10004-Electronic Source Data Compliance Assessment Questionnaire (ESDCAQ)- (v1.0)")</f>
        <v>77242113UCO2001-CZE-Z92-CZ10004-Electronic Source Data Compliance Assessment Questionnaire (ESDCAQ)- (v1.0)</v>
      </c>
      <c r="B15" s="3" t="inlineStr">
        <is>
          <t>Jasmine James</t>
        </is>
      </c>
      <c r="C15" s="3" t="inlineStr">
        <is>
          <t>Site Management</t>
        </is>
      </c>
      <c r="D15" s="3" t="inlineStr">
        <is>
          <t>Site Set-up Documentation</t>
        </is>
      </c>
      <c r="E15" s="3" t="inlineStr">
        <is>
          <t>ESDCAQ</t>
        </is>
      </c>
      <c r="F15" s="3" t="inlineStr">
        <is>
          <t>ESDCAQ Part 1</t>
        </is>
      </c>
      <c r="G15" s="2" t="str">
        <f>HYPERLINK("https://vtmf.veevavault.com/ui/#doc_info/26582074/1/0", "VTMF-21289804")</f>
        <v>VTMF-21289804</v>
      </c>
      <c r="H15" s="3" t="inlineStr">
        <is>
          <t/>
        </is>
      </c>
      <c r="I15" s="3" t="inlineStr">
        <is>
          <t>System</t>
        </is>
      </c>
      <c r="J15" s="3" t="inlineStr">
        <is>
          <t>Jasmine James</t>
        </is>
      </c>
      <c r="K15" s="4" t="n">
        <v>45467.74797453704</v>
      </c>
      <c r="L15" s="5" t="n">
        <v>45467.0</v>
      </c>
      <c r="M15" s="3" t="inlineStr">
        <is>
          <t>Approved</t>
        </is>
      </c>
      <c r="N15" s="3" t="inlineStr">
        <is>
          <t>Available for Distribution, CLIX Filing, Site Close</t>
        </is>
      </c>
      <c r="O15" s="3" t="inlineStr">
        <is>
          <t>Czech Republic, Czech Republic</t>
        </is>
      </c>
      <c r="P15" s="3" t="inlineStr">
        <is>
          <t>DH1-CZ10001, Z92-CZ10004</t>
        </is>
      </c>
      <c r="Q15" s="3" t="inlineStr">
        <is>
          <t>77242113UCO2001, CNTO1959CRD3009</t>
        </is>
      </c>
    </row>
    <row r="16">
      <c r="A16" s="2" t="str">
        <f>HYPERLINK("https://vtmf.veevavault.com/ui/#doc_info/13315544/1/0", "CNTO1275CRD3007-CZE-K60-CZ10006-Electronic Source Data Compliance Assessment Questionnaire (ESDCAQ)- (v1.0)")</f>
        <v>CNTO1275CRD3007-CZE-K60-CZ10006-Electronic Source Data Compliance Assessment Questionnaire (ESDCAQ)- (v1.0)</v>
      </c>
      <c r="B16" s="3" t="inlineStr">
        <is>
          <t>Piotr Kaczynski</t>
        </is>
      </c>
      <c r="C16" s="3" t="inlineStr">
        <is>
          <t>Site Management</t>
        </is>
      </c>
      <c r="D16" s="3" t="inlineStr">
        <is>
          <t>Site Set-up Documentation</t>
        </is>
      </c>
      <c r="E16" s="3" t="inlineStr">
        <is>
          <t>ESDCAQ</t>
        </is>
      </c>
      <c r="F16" s="3" t="inlineStr">
        <is>
          <t>ESDCAQ_Vanasek_20Jul2020</t>
        </is>
      </c>
      <c r="G16" s="2" t="str">
        <f>HYPERLINK("https://vtmf.veevavault.com/ui/#doc_info/13315544/1/0", "VTMF-9105470")</f>
        <v>VTMF-9105470</v>
      </c>
      <c r="H16" s="3" t="inlineStr">
        <is>
          <t/>
        </is>
      </c>
      <c r="I16" s="3" t="inlineStr">
        <is>
          <t>Hardik Patel</t>
        </is>
      </c>
      <c r="J16" s="3" t="inlineStr">
        <is>
          <t>Piotr Kaczynski</t>
        </is>
      </c>
      <c r="K16" s="4" t="n">
        <v>44033.50402777778</v>
      </c>
      <c r="L16" s="5" t="n">
        <v>44033.0</v>
      </c>
      <c r="M16" s="3" t="inlineStr">
        <is>
          <t>Approved</t>
        </is>
      </c>
      <c r="N16" s="3" t="inlineStr">
        <is>
          <t>Available for Distribution, CLIX Filing, Site Close</t>
        </is>
      </c>
      <c r="O16" s="3" t="inlineStr">
        <is>
          <t>Czech Republic, Czech Republic</t>
        </is>
      </c>
      <c r="P16" s="3" t="inlineStr">
        <is>
          <t>K60-CZ10006, Z92-CZ10004</t>
        </is>
      </c>
      <c r="Q16" s="3" t="inlineStr">
        <is>
          <t>77242113UCO2001, CNTO1275CRD3007</t>
        </is>
      </c>
    </row>
    <row r="17">
      <c r="A17" s="2" t="str">
        <f>HYPERLINK("https://vtmf.veevavault.com/ui/#doc_info/21451556/1/0", "CNTO1275CRD3008-CZE-N72-CZ10003-Site Training Documentation-18 Mar 2022 (v1.0)")</f>
        <v>CNTO1275CRD3008-CZE-N72-CZ10003-Site Training Documentation-18 Mar 2022 (v1.0)</v>
      </c>
      <c r="B17" s="3" t="inlineStr">
        <is>
          <t>Lenka Martinu</t>
        </is>
      </c>
      <c r="C17" s="3" t="inlineStr">
        <is>
          <t>Site Management</t>
        </is>
      </c>
      <c r="D17" s="3" t="inlineStr">
        <is>
          <t>Site Initiation</t>
        </is>
      </c>
      <c r="E17" s="3" t="inlineStr">
        <is>
          <t>Site Training Documentation</t>
        </is>
      </c>
      <c r="F17" s="3" t="inlineStr">
        <is>
          <t>IATA 1 certificate Trejbalova Lucie_18Mar22-18Mar24</t>
        </is>
      </c>
      <c r="G17" s="2" t="str">
        <f>HYPERLINK("https://vtmf.veevavault.com/ui/#doc_info/21451556/1/0", "VTMF-16808140")</f>
        <v>VTMF-16808140</v>
      </c>
      <c r="H17" s="3" t="inlineStr">
        <is>
          <t/>
        </is>
      </c>
      <c r="I17" s="3" t="inlineStr">
        <is>
          <t>System</t>
        </is>
      </c>
      <c r="J17" s="3" t="inlineStr">
        <is>
          <t>Lenka Martinu</t>
        </is>
      </c>
      <c r="K17" s="4" t="n">
        <v>44650.51559027778</v>
      </c>
      <c r="L17" s="5" t="n">
        <v>44650.0</v>
      </c>
      <c r="M17" s="3" t="inlineStr">
        <is>
          <t>Approved</t>
        </is>
      </c>
      <c r="N17" s="3" t="inlineStr">
        <is>
          <t>Available for Distribution, CLIX Filing, Site Close</t>
        </is>
      </c>
      <c r="O17" s="3" t="inlineStr">
        <is>
          <t>Czech Republic, Czech Republic</t>
        </is>
      </c>
      <c r="P17" s="3" t="inlineStr">
        <is>
          <t>N72-CZ10003, Z92-CZ10007</t>
        </is>
      </c>
      <c r="Q17" s="3" t="inlineStr">
        <is>
          <t>77242113UCO2001, CNTO1959UCO3001</t>
        </is>
      </c>
    </row>
    <row r="18">
      <c r="A18" s="2" t="str">
        <f>HYPERLINK("https://vtmf.veevavault.com/ui/#doc_info/21451557/1/0", "CNTO1275CRD3008-CZE-N72-CZ10003-Site Training Documentation-18 Mar 2022 (v1.0)")</f>
        <v>CNTO1275CRD3008-CZE-N72-CZ10003-Site Training Documentation-18 Mar 2022 (v1.0)</v>
      </c>
      <c r="B18" s="3" t="inlineStr">
        <is>
          <t>Lenka Martinu</t>
        </is>
      </c>
      <c r="C18" s="3" t="inlineStr">
        <is>
          <t>Site Management</t>
        </is>
      </c>
      <c r="D18" s="3" t="inlineStr">
        <is>
          <t>Site Initiation</t>
        </is>
      </c>
      <c r="E18" s="3" t="inlineStr">
        <is>
          <t>Site Training Documentation</t>
        </is>
      </c>
      <c r="F18" s="3" t="inlineStr">
        <is>
          <t>IATA2 certificate Kalitzova_Gabriela_18Mar22-18Mar24</t>
        </is>
      </c>
      <c r="G18" s="2" t="str">
        <f>HYPERLINK("https://vtmf.veevavault.com/ui/#doc_info/21451557/1/0", "VTMF-16808141")</f>
        <v>VTMF-16808141</v>
      </c>
      <c r="H18" s="3" t="inlineStr">
        <is>
          <t/>
        </is>
      </c>
      <c r="I18" s="3" t="inlineStr">
        <is>
          <t>System</t>
        </is>
      </c>
      <c r="J18" s="3" t="inlineStr">
        <is>
          <t>Lenka Martinu</t>
        </is>
      </c>
      <c r="K18" s="4" t="n">
        <v>44650.51559027778</v>
      </c>
      <c r="L18" s="5" t="n">
        <v>44650.0</v>
      </c>
      <c r="M18" s="3" t="inlineStr">
        <is>
          <t>Approved</t>
        </is>
      </c>
      <c r="N18" s="3" t="inlineStr">
        <is>
          <t>Available for Distribution, CLIX Filing, Site Close</t>
        </is>
      </c>
      <c r="O18" s="3" t="inlineStr">
        <is>
          <t>Czech Republic, Czech Republic</t>
        </is>
      </c>
      <c r="P18" s="3" t="inlineStr">
        <is>
          <t>N72-CZ10003, Z92-CZ10007</t>
        </is>
      </c>
      <c r="Q18" s="3" t="inlineStr">
        <is>
          <t>77242113UCO2001, CNTO1959UCO3001</t>
        </is>
      </c>
    </row>
    <row r="19">
      <c r="A19" s="2" t="str">
        <f>HYPERLINK("https://vtmf.veevavault.com/ui/#doc_info/21451558/1/0", "CNTO1275CRD3008-CZE-N72-CZ10003-Site Training Documentation-18 Mar 2022 (v1.0)")</f>
        <v>CNTO1275CRD3008-CZE-N72-CZ10003-Site Training Documentation-18 Mar 2022 (v1.0)</v>
      </c>
      <c r="B19" s="3" t="inlineStr">
        <is>
          <t>Lenka Martinu</t>
        </is>
      </c>
      <c r="C19" s="3" t="inlineStr">
        <is>
          <t>Site Management</t>
        </is>
      </c>
      <c r="D19" s="3" t="inlineStr">
        <is>
          <t>Site Initiation</t>
        </is>
      </c>
      <c r="E19" s="3" t="inlineStr">
        <is>
          <t>Site Training Documentation</t>
        </is>
      </c>
      <c r="F19" s="3" t="inlineStr">
        <is>
          <t>IATA 2 certificate Trejbalova Lucie_18Mar22-18Mar24</t>
        </is>
      </c>
      <c r="G19" s="2" t="str">
        <f>HYPERLINK("https://vtmf.veevavault.com/ui/#doc_info/21451558/1/0", "VTMF-16808142")</f>
        <v>VTMF-16808142</v>
      </c>
      <c r="H19" s="3" t="inlineStr">
        <is>
          <t/>
        </is>
      </c>
      <c r="I19" s="3" t="inlineStr">
        <is>
          <t>System</t>
        </is>
      </c>
      <c r="J19" s="3" t="inlineStr">
        <is>
          <t>Lenka Martinu</t>
        </is>
      </c>
      <c r="K19" s="4" t="n">
        <v>44650.51559027778</v>
      </c>
      <c r="L19" s="5" t="n">
        <v>44650.0</v>
      </c>
      <c r="M19" s="3" t="inlineStr">
        <is>
          <t>Approved</t>
        </is>
      </c>
      <c r="N19" s="3" t="inlineStr">
        <is>
          <t>Available for Distribution, CLIX Filing, Site Close</t>
        </is>
      </c>
      <c r="O19" s="3" t="inlineStr">
        <is>
          <t>Czech Republic, Czech Republic</t>
        </is>
      </c>
      <c r="P19" s="3" t="inlineStr">
        <is>
          <t>N72-CZ10003, Z92-CZ10007</t>
        </is>
      </c>
      <c r="Q19" s="3" t="inlineStr">
        <is>
          <t>77242113UCO2001, CNTO1959UCO3001</t>
        </is>
      </c>
    </row>
    <row r="20">
      <c r="A20" s="2" t="str">
        <f>HYPERLINK("https://vtmf.veevavault.com/ui/#doc_info/24308233/1/0", "CNTO1959UCO3001-CZE-N72-CZ10003-Electronic Source Data Compliance Assessment Questionnaire (ESDCAQ)- (v1.0)")</f>
        <v>CNTO1959UCO3001-CZE-N72-CZ10003-Electronic Source Data Compliance Assessment Questionnaire (ESDCAQ)- (v1.0)</v>
      </c>
      <c r="B20" s="3" t="inlineStr">
        <is>
          <t>vi-1072 RPA_Bot2</t>
        </is>
      </c>
      <c r="C20" s="3" t="inlineStr">
        <is>
          <t>Site Management</t>
        </is>
      </c>
      <c r="D20" s="3" t="inlineStr">
        <is>
          <t>Site Set-up Documentation</t>
        </is>
      </c>
      <c r="E20" s="3" t="inlineStr">
        <is>
          <t>ESDCAQ</t>
        </is>
      </c>
      <c r="F20" s="3" t="inlineStr">
        <is>
          <t>ESDCAQ 1</t>
        </is>
      </c>
      <c r="G20" s="2" t="str">
        <f>HYPERLINK("https://vtmf.veevavault.com/ui/#doc_info/24308233/1/0", "VTMF-19299732")</f>
        <v>VTMF-19299732</v>
      </c>
      <c r="H20" s="3" t="inlineStr">
        <is>
          <t/>
        </is>
      </c>
      <c r="I20" s="3" t="inlineStr">
        <is>
          <t>Anthony Suarez (veeva.com)</t>
        </is>
      </c>
      <c r="J20" s="3" t="inlineStr">
        <is>
          <t>vi-1072 RPA_Bot2</t>
        </is>
      </c>
      <c r="K20" s="4" t="n">
        <v>45099.02425925926</v>
      </c>
      <c r="L20" s="5" t="n">
        <v>45098.0</v>
      </c>
      <c r="M20" s="3" t="inlineStr">
        <is>
          <t>Approved</t>
        </is>
      </c>
      <c r="N20" s="3" t="inlineStr">
        <is>
          <t>Available for Distribution, CLIX Filing, Site Close</t>
        </is>
      </c>
      <c r="O20" s="3" t="inlineStr">
        <is>
          <t>Czech Republic, Czech Republic</t>
        </is>
      </c>
      <c r="P20" s="3" t="inlineStr">
        <is>
          <t>N72-CZ10003, Z92-CZ10007</t>
        </is>
      </c>
      <c r="Q20" s="3" t="inlineStr">
        <is>
          <t>77242113UCO2001, CNTO1959UCO3001</t>
        </is>
      </c>
    </row>
    <row r="21">
      <c r="A21" s="2" t="str">
        <f>HYPERLINK("https://vtmf.veevavault.com/ui/#doc_info/21451559/1/0", "CNTO1959UCO3001-CZE-N72-CZ10003-Site Training Documentation-18 Mar 2022 (v1.0)")</f>
        <v>CNTO1959UCO3001-CZE-N72-CZ10003-Site Training Documentation-18 Mar 2022 (v1.0)</v>
      </c>
      <c r="B21" s="3" t="inlineStr">
        <is>
          <t>Lenka Martinu</t>
        </is>
      </c>
      <c r="C21" s="3" t="inlineStr">
        <is>
          <t>Site Management</t>
        </is>
      </c>
      <c r="D21" s="3" t="inlineStr">
        <is>
          <t>Site Initiation</t>
        </is>
      </c>
      <c r="E21" s="3" t="inlineStr">
        <is>
          <t>Site Training Documentation</t>
        </is>
      </c>
      <c r="F21" s="3" t="inlineStr">
        <is>
          <t>IATA1 certificate Kalitzova_Gabriela_18Mar22-18Mar24</t>
        </is>
      </c>
      <c r="G21" s="2" t="str">
        <f>HYPERLINK("https://vtmf.veevavault.com/ui/#doc_info/21451559/1/0", "VTMF-16808143")</f>
        <v>VTMF-16808143</v>
      </c>
      <c r="H21" s="3" t="inlineStr">
        <is>
          <t/>
        </is>
      </c>
      <c r="I21" s="3" t="inlineStr">
        <is>
          <t>Anthony Suarez (veeva.com)</t>
        </is>
      </c>
      <c r="J21" s="3" t="inlineStr">
        <is>
          <t>Lenka Martinu</t>
        </is>
      </c>
      <c r="K21" s="4" t="n">
        <v>44650.51559027778</v>
      </c>
      <c r="L21" s="5" t="n">
        <v>44650.0</v>
      </c>
      <c r="M21" s="3" t="inlineStr">
        <is>
          <t>Approved</t>
        </is>
      </c>
      <c r="N21" s="3" t="inlineStr">
        <is>
          <t>Available for Distribution, CLIX Filing, Site Close</t>
        </is>
      </c>
      <c r="O21" s="3" t="inlineStr">
        <is>
          <t>Czech Republic, Czech Republic</t>
        </is>
      </c>
      <c r="P21" s="3" t="inlineStr">
        <is>
          <t>N72-CZ10003, Z92-CZ10007</t>
        </is>
      </c>
      <c r="Q21" s="3" t="inlineStr">
        <is>
          <t>77242113UCO2001, CNTO1959UCO3001</t>
        </is>
      </c>
    </row>
    <row r="22">
      <c r="A22" s="2" t="str">
        <f>HYPERLINK("https://vtmf.veevavault.com/ui/#doc_info/25308466/1/0", "77242113UCO2001-DEU-Z92-DE10002-Relevant Communications-01 Dec 2023 (v1.0)")</f>
        <v>77242113UCO2001-DEU-Z92-DE10002-Relevant Communications-01 Dec 2023 (v1.0)</v>
      </c>
      <c r="B22" s="3" t="inlineStr">
        <is>
          <t>DrugDev API Account</t>
        </is>
      </c>
      <c r="C22" s="3" t="inlineStr">
        <is>
          <t>Trial Management</t>
        </is>
      </c>
      <c r="D22" s="3" t="inlineStr">
        <is>
          <t>General</t>
        </is>
      </c>
      <c r="E22" s="3" t="inlineStr">
        <is>
          <t>Relevant Communications</t>
        </is>
      </c>
      <c r="F22" s="3" t="inlineStr">
        <is>
          <t>Email Blast-77242113UCO2001 Portal: Screening/Randomization Reminders-01 Dec 2023</t>
        </is>
      </c>
      <c r="G22" s="2" t="str">
        <f>HYPERLINK("https://vtmf.veevavault.com/ui/#doc_info/25308466/1/0", "VTMF-20172747")</f>
        <v>VTMF-20172747</v>
      </c>
      <c r="H22" s="3" t="inlineStr">
        <is>
          <t/>
        </is>
      </c>
      <c r="I22" s="3" t="inlineStr">
        <is>
          <t>Anthony Suarez (veeva.com)</t>
        </is>
      </c>
      <c r="J22" s="3" t="inlineStr">
        <is>
          <t>DrugDev API Account</t>
        </is>
      </c>
      <c r="K22" s="4" t="n">
        <v>45267.813368055555</v>
      </c>
      <c r="L22" s="5" t="n">
        <v>45268.0</v>
      </c>
      <c r="M22" s="3" t="inlineStr">
        <is>
          <t>Approved</t>
        </is>
      </c>
      <c r="N22" s="3" t="inlineStr">
        <is>
          <t>Country Close, Site Close, Study Close</t>
        </is>
      </c>
      <c r="O22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2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Z92-US10063, Z92-US10064</t>
        </is>
      </c>
      <c r="Q22" s="3" t="inlineStr">
        <is>
          <t>77242113UCO2001</t>
        </is>
      </c>
    </row>
    <row r="23">
      <c r="A23" s="2" t="str">
        <f>HYPERLINK("https://vtmf.veevavault.com/ui/#doc_info/25308505/1/0", "77242113UCO2001-DEU-Z92-DE10002-Relevant Communications-06 Dec 2023 (v1.0)")</f>
        <v>77242113UCO2001-DEU-Z92-DE10002-Relevant Communications-06 Dec 2023 (v1.0)</v>
      </c>
      <c r="B23" s="3" t="inlineStr">
        <is>
          <t>DrugDev API Account</t>
        </is>
      </c>
      <c r="C23" s="3" t="inlineStr">
        <is>
          <t>Trial Management</t>
        </is>
      </c>
      <c r="D23" s="3" t="inlineStr">
        <is>
          <t>General</t>
        </is>
      </c>
      <c r="E23" s="3" t="inlineStr">
        <is>
          <t>Relevant Communications</t>
        </is>
      </c>
      <c r="F23" s="3" t="inlineStr">
        <is>
          <t>Email Blast-77242113UCO2001 Portal: ERRATUM to the Communication Sent on 01Dec2023-06 Dec 2023</t>
        </is>
      </c>
      <c r="G23" s="2" t="str">
        <f>HYPERLINK("https://vtmf.veevavault.com/ui/#doc_info/25308505/1/0", "VTMF-20172786")</f>
        <v>VTMF-20172786</v>
      </c>
      <c r="H23" s="3" t="inlineStr">
        <is>
          <t/>
        </is>
      </c>
      <c r="I23" s="3" t="inlineStr">
        <is>
          <t>Anthony Suarez (veeva.com)</t>
        </is>
      </c>
      <c r="J23" s="3" t="inlineStr">
        <is>
          <t>DrugDev API Account</t>
        </is>
      </c>
      <c r="K23" s="4" t="n">
        <v>45267.813368055555</v>
      </c>
      <c r="L23" s="5" t="n">
        <v>45268.0</v>
      </c>
      <c r="M23" s="3" t="inlineStr">
        <is>
          <t>Approved</t>
        </is>
      </c>
      <c r="N23" s="3" t="inlineStr">
        <is>
          <t>Country Close, Site Close, Study Close</t>
        </is>
      </c>
      <c r="O23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3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Z92-US10063, Z92-US10064</t>
        </is>
      </c>
      <c r="Q23" s="3" t="inlineStr">
        <is>
          <t>77242113UCO2001</t>
        </is>
      </c>
    </row>
    <row r="24">
      <c r="A24" s="2" t="str">
        <f>HYPERLINK("https://vtmf.veevavault.com/ui/#doc_info/26252595/1/0", "77242113UCO2001-DEU-Z92-DE10002-Relevant Communications-01 May 2024 (v1.0)")</f>
        <v>77242113UCO2001-DEU-Z92-DE10002-Relevant Communications-01 May 2024 (v1.0)</v>
      </c>
      <c r="B24" s="3" t="inlineStr">
        <is>
          <t>DrugDev API Account</t>
        </is>
      </c>
      <c r="C24" s="3" t="inlineStr">
        <is>
          <t>Trial Management</t>
        </is>
      </c>
      <c r="D24" s="3" t="inlineStr">
        <is>
          <t>General</t>
        </is>
      </c>
      <c r="E24" s="3" t="inlineStr">
        <is>
          <t>Relevant Communications</t>
        </is>
      </c>
      <c r="F24" s="3" t="inlineStr">
        <is>
          <t>Email Blast-77242113UCO2001 Portal: Newsflash Fourth Edition, 01 May 2024-01 May 2024</t>
        </is>
      </c>
      <c r="G24" s="2" t="str">
        <f>HYPERLINK("https://vtmf.veevavault.com/ui/#doc_info/26252595/1/0", "VTMF-20999966")</f>
        <v>VTMF-20999966</v>
      </c>
      <c r="H24" s="3" t="inlineStr">
        <is>
          <t/>
        </is>
      </c>
      <c r="I24" s="3" t="inlineStr">
        <is>
          <t>System</t>
        </is>
      </c>
      <c r="J24" s="3" t="inlineStr">
        <is>
          <t>DrugDev API Account</t>
        </is>
      </c>
      <c r="K24" s="4" t="n">
        <v>45414.85519675926</v>
      </c>
      <c r="L24" s="5" t="n">
        <v>45415.0</v>
      </c>
      <c r="M24" s="3" t="inlineStr">
        <is>
          <t>Approved</t>
        </is>
      </c>
      <c r="N24" s="3" t="inlineStr">
        <is>
          <t>Country Close, Site Close, Study Close</t>
        </is>
      </c>
      <c r="O24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4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Z92-US10050, Z92-US10054, Z92-US10057, Z92-US10058, Z92-US10061, Z92-US10062, Z92-US10063, Z92-US10065</t>
        </is>
      </c>
      <c r="Q24" s="3" t="inlineStr">
        <is>
          <t>77242113UCO2001</t>
        </is>
      </c>
    </row>
    <row r="25">
      <c r="A25" s="2" t="str">
        <f>HYPERLINK("https://vtmf.veevavault.com/ui/#doc_info/26297161/1/0", "77242113UCO2001-DEU-Z92-DE10002-Relevant Communications-03 May 2024 (v1.0)")</f>
        <v>77242113UCO2001-DEU-Z92-DE10002-Relevant Communications-03 May 2024 (v1.0)</v>
      </c>
      <c r="B25" s="3" t="inlineStr">
        <is>
          <t>DrugDev API Account</t>
        </is>
      </c>
      <c r="C25" s="3" t="inlineStr">
        <is>
          <t>Trial Management</t>
        </is>
      </c>
      <c r="D25" s="3" t="inlineStr">
        <is>
          <t>General</t>
        </is>
      </c>
      <c r="E25" s="3" t="inlineStr">
        <is>
          <t>Relevant Communications</t>
        </is>
      </c>
      <c r="F25" s="3" t="inlineStr">
        <is>
          <t>Email Blast-77242113UCO2001 Portal: 2024 Enrollment Achievement Video-03 May 2024</t>
        </is>
      </c>
      <c r="G25" s="2" t="str">
        <f>HYPERLINK("https://vtmf.veevavault.com/ui/#doc_info/26297161/1/0", "VTMF-21039302")</f>
        <v>VTMF-21039302</v>
      </c>
      <c r="H25" s="3" t="inlineStr">
        <is>
          <t/>
        </is>
      </c>
      <c r="I25" s="3" t="inlineStr">
        <is>
          <t>Anthony Suarez (veeva.com)</t>
        </is>
      </c>
      <c r="J25" s="3" t="inlineStr">
        <is>
          <t>DrugDev API Account</t>
        </is>
      </c>
      <c r="K25" s="4" t="n">
        <v>45421.855162037034</v>
      </c>
      <c r="L25" s="5" t="n">
        <v>45422.0</v>
      </c>
      <c r="M25" s="3" t="inlineStr">
        <is>
          <t>Approved</t>
        </is>
      </c>
      <c r="N25" s="3" t="inlineStr">
        <is>
          <t>Country Close, Site Close, Study Close</t>
        </is>
      </c>
      <c r="O25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5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Z92-US10050, Z92-US10054, Z92-US10057, Z92-US10058, Z92-US10061, Z92-US10062, Z92-US10063</t>
        </is>
      </c>
      <c r="Q25" s="3" t="inlineStr">
        <is>
          <t>77242113UCO2001</t>
        </is>
      </c>
    </row>
    <row r="26">
      <c r="A26" s="2" t="str">
        <f>HYPERLINK("https://vtmf.veevavault.com/ui/#doc_info/26297187/1/0", "77242113UCO2001-DEU-Z92-DE10002-Relevant Communications-06 May 2024 (v1.0)")</f>
        <v>77242113UCO2001-DEU-Z92-DE10002-Relevant Communications-06 May 2024 (v1.0)</v>
      </c>
      <c r="B26" s="3" t="inlineStr">
        <is>
          <t>DrugDev API Account</t>
        </is>
      </c>
      <c r="C26" s="3" t="inlineStr">
        <is>
          <t>Trial Management</t>
        </is>
      </c>
      <c r="D26" s="3" t="inlineStr">
        <is>
          <t>General</t>
        </is>
      </c>
      <c r="E26" s="3" t="inlineStr">
        <is>
          <t>Relevant Communications</t>
        </is>
      </c>
      <c r="F26" s="3" t="inlineStr">
        <is>
          <t>Email Blast-77242113UCO2001 Portal: Enrollment Screening Update 06 May 2024-06 May 2024</t>
        </is>
      </c>
      <c r="G26" s="2" t="str">
        <f>HYPERLINK("https://vtmf.veevavault.com/ui/#doc_info/26297187/1/0", "VTMF-21039328")</f>
        <v>VTMF-21039328</v>
      </c>
      <c r="H26" s="3" t="inlineStr">
        <is>
          <t/>
        </is>
      </c>
      <c r="I26" s="3" t="inlineStr">
        <is>
          <t>Anthony Suarez (veeva.com)</t>
        </is>
      </c>
      <c r="J26" s="3" t="inlineStr">
        <is>
          <t>DrugDev API Account</t>
        </is>
      </c>
      <c r="K26" s="4" t="n">
        <v>45421.855162037034</v>
      </c>
      <c r="L26" s="5" t="n">
        <v>45422.0</v>
      </c>
      <c r="M26" s="3" t="inlineStr">
        <is>
          <t>Approved</t>
        </is>
      </c>
      <c r="N26" s="3" t="inlineStr">
        <is>
          <t>Country Close, Site Close, Study Close</t>
        </is>
      </c>
      <c r="O26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6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Z92-US10050, Z92-US10054, Z92-US10057, Z92-US10058, Z92-US10061, Z92-US10062, Z92-US10063</t>
        </is>
      </c>
      <c r="Q26" s="3" t="inlineStr">
        <is>
          <t>77242113UCO2001</t>
        </is>
      </c>
    </row>
    <row r="27">
      <c r="A27" s="2" t="str">
        <f>HYPERLINK("https://vtmf.veevavault.com/ui/#doc_info/26067784/1/0", "77242113UCO2001-DEU-Z92-DE10002-Relevant Communications-04 Apr 2024 (v1.0)")</f>
        <v>77242113UCO2001-DEU-Z92-DE10002-Relevant Communications-04 Apr 2024 (v1.0)</v>
      </c>
      <c r="B27" s="3" t="inlineStr">
        <is>
          <t>DrugDev API Account</t>
        </is>
      </c>
      <c r="C27" s="3" t="inlineStr">
        <is>
          <t>Trial Management</t>
        </is>
      </c>
      <c r="D27" s="3" t="inlineStr">
        <is>
          <t>General</t>
        </is>
      </c>
      <c r="E27" s="3" t="inlineStr">
        <is>
          <t>Relevant Communications</t>
        </is>
      </c>
      <c r="F27" s="3" t="inlineStr">
        <is>
          <t>Email Blast-77242113UCO2001 Portal: Newsflash Third Edition, 01 April 2024-04 Apr 2024</t>
        </is>
      </c>
      <c r="G27" s="2" t="str">
        <f>HYPERLINK("https://vtmf.veevavault.com/ui/#doc_info/26067784/1/0", "VTMF-20839603")</f>
        <v>VTMF-20839603</v>
      </c>
      <c r="H27" s="3" t="inlineStr">
        <is>
          <t/>
        </is>
      </c>
      <c r="I27" s="3" t="inlineStr">
        <is>
          <t>Anthony Suarez (veeva.com)</t>
        </is>
      </c>
      <c r="J27" s="3" t="inlineStr">
        <is>
          <t>DrugDev API Account</t>
        </is>
      </c>
      <c r="K27" s="4" t="n">
        <v>45386.85519675926</v>
      </c>
      <c r="L27" s="5" t="n">
        <v>45387.0</v>
      </c>
      <c r="M27" s="3" t="inlineStr">
        <is>
          <t>Approved</t>
        </is>
      </c>
      <c r="N27" s="3" t="inlineStr">
        <is>
          <t>Country Close, Site Close, Study Close</t>
        </is>
      </c>
      <c r="O27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27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Z92-US10016,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27" s="3" t="inlineStr">
        <is>
          <t>77242113UCO2001</t>
        </is>
      </c>
    </row>
    <row r="28">
      <c r="A28" s="2" t="str">
        <f>HYPERLINK("https://vtmf.veevavault.com/ui/#doc_info/26471856/1/0", "77242113UCO2001-DEU-Z92-DE10002-Relevant Communications-04 Jun 2024 (v1.0)")</f>
        <v>77242113UCO2001-DEU-Z92-DE10002-Relevant Communications-04 Jun 2024 (v1.0)</v>
      </c>
      <c r="B28" s="3" t="inlineStr">
        <is>
          <t>DrugDev API Account</t>
        </is>
      </c>
      <c r="C28" s="3" t="inlineStr">
        <is>
          <t>Trial Management</t>
        </is>
      </c>
      <c r="D28" s="3" t="inlineStr">
        <is>
          <t>General</t>
        </is>
      </c>
      <c r="E28" s="3" t="inlineStr">
        <is>
          <t>Relevant Communications</t>
        </is>
      </c>
      <c r="F28" s="3" t="inlineStr">
        <is>
          <t>Email Blast-77242113UCO2001 Portal: JESIR TTT Implementation-04 Jun 2024</t>
        </is>
      </c>
      <c r="G28" s="2" t="str">
        <f>HYPERLINK("https://vtmf.veevavault.com/ui/#doc_info/26471856/1/0", "VTMF-21192527")</f>
        <v>VTMF-21192527</v>
      </c>
      <c r="H28" s="3" t="inlineStr">
        <is>
          <t/>
        </is>
      </c>
      <c r="I28" s="3" t="inlineStr">
        <is>
          <t>Anthony Suarez (veeva.com)</t>
        </is>
      </c>
      <c r="J28" s="3" t="inlineStr">
        <is>
          <t>DrugDev API Account</t>
        </is>
      </c>
      <c r="K28" s="4" t="n">
        <v>45449.88170138889</v>
      </c>
      <c r="L28" s="5" t="n">
        <v>45450.0</v>
      </c>
      <c r="M28" s="3" t="inlineStr">
        <is>
          <t>Approved</t>
        </is>
      </c>
      <c r="N28" s="3" t="inlineStr">
        <is>
          <t>Country Close, Site Close, Study Close</t>
        </is>
      </c>
      <c r="O28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28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Z92-US10048, Z92-US10050, Z92-US10054, Z92-US10057, Z92-US10058, Z92-US10061, Z92-US10062, Z92-US10063</t>
        </is>
      </c>
      <c r="Q28" s="3" t="inlineStr">
        <is>
          <t>77242113UCO2001</t>
        </is>
      </c>
    </row>
    <row r="29">
      <c r="A29" s="2" t="str">
        <f>HYPERLINK("https://vtmf.veevavault.com/ui/#doc_info/26471877/1/0", "77242113UCO2001-DEU-Z92-DE10002-Relevant Communications-05 Jun 2024 (v1.0)")</f>
        <v>77242113UCO2001-DEU-Z92-DE10002-Relevant Communications-05 Jun 2024 (v1.0)</v>
      </c>
      <c r="B29" s="3" t="inlineStr">
        <is>
          <t>DrugDev API Account</t>
        </is>
      </c>
      <c r="C29" s="3" t="inlineStr">
        <is>
          <t>Trial Management</t>
        </is>
      </c>
      <c r="D29" s="3" t="inlineStr">
        <is>
          <t>General</t>
        </is>
      </c>
      <c r="E29" s="3" t="inlineStr">
        <is>
          <t>Relevant Communications</t>
        </is>
      </c>
      <c r="F29" s="3" t="inlineStr">
        <is>
          <t>Email Blast-77242113UCO2001 Portal: Newsflash Fifth Edition, 03 June 2024-05 Jun 2024</t>
        </is>
      </c>
      <c r="G29" s="2" t="str">
        <f>HYPERLINK("https://vtmf.veevavault.com/ui/#doc_info/26471877/1/0", "VTMF-21192548")</f>
        <v>VTMF-21192548</v>
      </c>
      <c r="H29" s="3" t="inlineStr">
        <is>
          <t/>
        </is>
      </c>
      <c r="I29" s="3" t="inlineStr">
        <is>
          <t>Anthony Suarez (veeva.com)</t>
        </is>
      </c>
      <c r="J29" s="3" t="inlineStr">
        <is>
          <t>DrugDev API Account</t>
        </is>
      </c>
      <c r="K29" s="4" t="n">
        <v>45449.88170138889</v>
      </c>
      <c r="L29" s="5" t="n">
        <v>45450.0</v>
      </c>
      <c r="M29" s="3" t="inlineStr">
        <is>
          <t>Approved</t>
        </is>
      </c>
      <c r="N29" s="3" t="inlineStr">
        <is>
          <t>Country Close, Site Close, Study Close</t>
        </is>
      </c>
      <c r="O29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29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Z92-US10048, Z92-US10050, Z92-US10054, Z92-US10057, Z92-US10058, Z92-US10061, Z92-US10062, Z92-US10063</t>
        </is>
      </c>
      <c r="Q29" s="3" t="inlineStr">
        <is>
          <t>77242113UCO2001</t>
        </is>
      </c>
    </row>
    <row r="30">
      <c r="A30" s="2" t="str">
        <f>HYPERLINK("https://vtmf.veevavault.com/ui/#doc_info/26693361/1/0", "77242113UCO2001-DEU-Z92-DE10002-Relevant Communications-08 Jul 2024 (v1.0)")</f>
        <v>77242113UCO2001-DEU-Z92-DE10002-Relevant Communications-08 Jul 2024 (v1.0)</v>
      </c>
      <c r="B30" s="3" t="inlineStr">
        <is>
          <t>DrugDev API Account</t>
        </is>
      </c>
      <c r="C30" s="3" t="inlineStr">
        <is>
          <t>Trial Management</t>
        </is>
      </c>
      <c r="D30" s="3" t="inlineStr">
        <is>
          <t>General</t>
        </is>
      </c>
      <c r="E30" s="3" t="inlineStr">
        <is>
          <t>Relevant Communications</t>
        </is>
      </c>
      <c r="F30" s="3" t="inlineStr">
        <is>
          <t>Email Blast-77242113UCO2001 Portal: Newsflash Sixth Edition, July 2024-08 Jul 2024</t>
        </is>
      </c>
      <c r="G30" s="2" t="str">
        <f>HYPERLINK("https://vtmf.veevavault.com/ui/#doc_info/26693361/1/0", "VTMF-21386731")</f>
        <v>VTMF-21386731</v>
      </c>
      <c r="H30" s="3" t="inlineStr">
        <is>
          <t/>
        </is>
      </c>
      <c r="I30" s="3" t="inlineStr">
        <is>
          <t>Anthony Suarez (veeva.com)</t>
        </is>
      </c>
      <c r="J30" s="3" t="inlineStr">
        <is>
          <t>DrugDev API Account</t>
        </is>
      </c>
      <c r="K30" s="4" t="n">
        <v>45484.855162037034</v>
      </c>
      <c r="L30" s="5" t="n">
        <v>45485.0</v>
      </c>
      <c r="M30" s="3" t="inlineStr">
        <is>
          <t>Approved</t>
        </is>
      </c>
      <c r="N30" s="3" t="inlineStr">
        <is>
          <t>Country Close, Site Close, Study Close</t>
        </is>
      </c>
      <c r="O30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30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Z92-FR10002,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Z92-US10050, Z92-US10054, Z92-US10057, Z92-US10058, Z92-US10061, Z92-US10062, Z92-US10063</t>
        </is>
      </c>
      <c r="Q30" s="3" t="inlineStr">
        <is>
          <t>77242113UCO2001</t>
        </is>
      </c>
    </row>
    <row r="31">
      <c r="A31" s="2" t="str">
        <f>HYPERLINK("https://vtmf.veevavault.com/ui/#doc_info/26693379/1/0", "77242113UCO2001-DEU-Z92-DE10002-Relevant Communications-09 Jul 2024 (v1.0)")</f>
        <v>77242113UCO2001-DEU-Z92-DE10002-Relevant Communications-09 Jul 2024 (v1.0)</v>
      </c>
      <c r="B31" s="3" t="inlineStr">
        <is>
          <t>DrugDev API Account</t>
        </is>
      </c>
      <c r="C31" s="3" t="inlineStr">
        <is>
          <t>Trial Management</t>
        </is>
      </c>
      <c r="D31" s="3" t="inlineStr">
        <is>
          <t>General</t>
        </is>
      </c>
      <c r="E31" s="3" t="inlineStr">
        <is>
          <t>Relevant Communications</t>
        </is>
      </c>
      <c r="F31" s="3" t="inlineStr">
        <is>
          <t>Email Blast-77242113UCO2001 Portal:Reminder – Week 16 completion in IXRS system-09 Jul 2024</t>
        </is>
      </c>
      <c r="G31" s="2" t="str">
        <f>HYPERLINK("https://vtmf.veevavault.com/ui/#doc_info/26693379/1/0", "VTMF-21386749")</f>
        <v>VTMF-21386749</v>
      </c>
      <c r="H31" s="3" t="inlineStr">
        <is>
          <t/>
        </is>
      </c>
      <c r="I31" s="3" t="inlineStr">
        <is>
          <t>Anthony Suarez (veeva.com)</t>
        </is>
      </c>
      <c r="J31" s="3" t="inlineStr">
        <is>
          <t>DrugDev API Account</t>
        </is>
      </c>
      <c r="K31" s="4" t="n">
        <v>45484.855162037034</v>
      </c>
      <c r="L31" s="5" t="n">
        <v>45485.0</v>
      </c>
      <c r="M31" s="3" t="inlineStr">
        <is>
          <t>Approved</t>
        </is>
      </c>
      <c r="N31" s="3" t="inlineStr">
        <is>
          <t>Country Close, Site Close, Study Close</t>
        </is>
      </c>
      <c r="O31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31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Z92-FR10002,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Z92-US10050, Z92-US10054, Z92-US10057, Z92-US10058, Z92-US10061, Z92-US10062, Z92-US10063</t>
        </is>
      </c>
      <c r="Q31" s="3" t="inlineStr">
        <is>
          <t>77242113UCO2001</t>
        </is>
      </c>
    </row>
    <row r="32">
      <c r="A32" s="2" t="str">
        <f>HYPERLINK("https://vtmf.veevavault.com/ui/#doc_info/26693391/1/0", "77242113UCO2001-DEU-Z92-DE10002-Relevant Communications-10 Jul 2024 (v1.0)")</f>
        <v>77242113UCO2001-DEU-Z92-DE10002-Relevant Communications-10 Jul 2024 (v1.0)</v>
      </c>
      <c r="B32" s="3" t="inlineStr">
        <is>
          <t>DrugDev API Account</t>
        </is>
      </c>
      <c r="C32" s="3" t="inlineStr">
        <is>
          <t>Trial Management</t>
        </is>
      </c>
      <c r="D32" s="3" t="inlineStr">
        <is>
          <t>General</t>
        </is>
      </c>
      <c r="E32" s="3" t="inlineStr">
        <is>
          <t>Relevant Communications</t>
        </is>
      </c>
      <c r="F32" s="3" t="inlineStr">
        <is>
          <t>Email Blast-77242113UCO2001 Portal: Newsletter Second Edition, July 2024-10 Jul 2024</t>
        </is>
      </c>
      <c r="G32" s="2" t="str">
        <f>HYPERLINK("https://vtmf.veevavault.com/ui/#doc_info/26693391/1/0", "VTMF-21386761")</f>
        <v>VTMF-21386761</v>
      </c>
      <c r="H32" s="3" t="inlineStr">
        <is>
          <t/>
        </is>
      </c>
      <c r="I32" s="3" t="inlineStr">
        <is>
          <t>Anthony Suarez (veeva.com)</t>
        </is>
      </c>
      <c r="J32" s="3" t="inlineStr">
        <is>
          <t>DrugDev API Account</t>
        </is>
      </c>
      <c r="K32" s="4" t="n">
        <v>45484.855162037034</v>
      </c>
      <c r="L32" s="5" t="n">
        <v>45485.0</v>
      </c>
      <c r="M32" s="3" t="inlineStr">
        <is>
          <t>Approved</t>
        </is>
      </c>
      <c r="N32" s="3" t="inlineStr">
        <is>
          <t>Country Close, Site Close, Study Close</t>
        </is>
      </c>
      <c r="O32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32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Z92-FR10002,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Z92-US10050, Z92-US10054, Z92-US10057, Z92-US10058, Z92-US10061, Z92-US10062, Z92-US10063</t>
        </is>
      </c>
      <c r="Q32" s="3" t="inlineStr">
        <is>
          <t>77242113UCO2001</t>
        </is>
      </c>
    </row>
    <row r="33">
      <c r="A33" s="2" t="str">
        <f>HYPERLINK("https://vtmf.veevavault.com/ui/#doc_info/26115044/1/0", "77242113UCO2001-DEU-Z92-DE10002-Relevant Communications-09 Apr 2024 (v1.0)")</f>
        <v>77242113UCO2001-DEU-Z92-DE10002-Relevant Communications-09 Apr 2024 (v1.0)</v>
      </c>
      <c r="B33" s="3" t="inlineStr">
        <is>
          <t>DrugDev API Account</t>
        </is>
      </c>
      <c r="C33" s="3" t="inlineStr">
        <is>
          <t>Trial Management</t>
        </is>
      </c>
      <c r="D33" s="3" t="inlineStr">
        <is>
          <t>General</t>
        </is>
      </c>
      <c r="E33" s="3" t="inlineStr">
        <is>
          <t>Relevant Communications</t>
        </is>
      </c>
      <c r="F33" s="3" t="inlineStr">
        <is>
          <t>Email Blast-77242113UCO2001 Portal: Newsletter First Edition, April 2024-09 Apr 2024</t>
        </is>
      </c>
      <c r="G33" s="2" t="str">
        <f>HYPERLINK("https://vtmf.veevavault.com/ui/#doc_info/26115044/1/0", "VTMF-20881587")</f>
        <v>VTMF-20881587</v>
      </c>
      <c r="H33" s="3" t="inlineStr">
        <is>
          <t/>
        </is>
      </c>
      <c r="I33" s="3" t="inlineStr">
        <is>
          <t>Anthony Suarez (veeva.com)</t>
        </is>
      </c>
      <c r="J33" s="3" t="inlineStr">
        <is>
          <t>DrugDev API Account</t>
        </is>
      </c>
      <c r="K33" s="4" t="n">
        <v>45393.85512731481</v>
      </c>
      <c r="L33" s="5" t="n">
        <v>45394.0</v>
      </c>
      <c r="M33" s="3" t="inlineStr">
        <is>
          <t>Approved</t>
        </is>
      </c>
      <c r="N33" s="3" t="inlineStr">
        <is>
          <t>Country Close, Site Close, Study Close</t>
        </is>
      </c>
      <c r="O33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3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3" s="3" t="inlineStr">
        <is>
          <t>77242113UCO2001</t>
        </is>
      </c>
    </row>
    <row r="34">
      <c r="A34" s="2" t="str">
        <f>HYPERLINK("https://vtmf.veevavault.com/ui/#doc_info/26163046/1/0", "77242113UCO2001-DEU-Z92-DE10002-Relevant Communications-12 Apr 2024 (v1.0)")</f>
        <v>77242113UCO2001-DEU-Z92-DE10002-Relevant Communications-12 Apr 2024 (v1.0)</v>
      </c>
      <c r="B34" s="3" t="inlineStr">
        <is>
          <t>DrugDev API Account</t>
        </is>
      </c>
      <c r="C34" s="3" t="inlineStr">
        <is>
          <t>Trial Management</t>
        </is>
      </c>
      <c r="D34" s="3" t="inlineStr">
        <is>
          <t>General</t>
        </is>
      </c>
      <c r="E34" s="3" t="inlineStr">
        <is>
          <t>Relevant Communications</t>
        </is>
      </c>
      <c r="F34" s="3" t="inlineStr">
        <is>
          <t>Email Blast-77242113UCO2001 Portal: Protocol Clarification Letter-12 Apr 2024</t>
        </is>
      </c>
      <c r="G34" s="2" t="str">
        <f>HYPERLINK("https://vtmf.veevavault.com/ui/#doc_info/26163046/1/0", "VTMF-20923931")</f>
        <v>VTMF-20923931</v>
      </c>
      <c r="H34" s="3" t="inlineStr">
        <is>
          <t/>
        </is>
      </c>
      <c r="I34" s="3" t="inlineStr">
        <is>
          <t>Anthony Suarez (veeva.com)</t>
        </is>
      </c>
      <c r="J34" s="3" t="inlineStr">
        <is>
          <t>DrugDev API Account</t>
        </is>
      </c>
      <c r="K34" s="4" t="n">
        <v>45400.85533564815</v>
      </c>
      <c r="L34" s="5" t="n">
        <v>45401.0</v>
      </c>
      <c r="M34" s="3" t="inlineStr">
        <is>
          <t>Approved</t>
        </is>
      </c>
      <c r="N34" s="3" t="inlineStr">
        <is>
          <t>Country Close, Site Close, Study Close</t>
        </is>
      </c>
      <c r="O34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4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4" s="3" t="inlineStr">
        <is>
          <t>77242113UCO2001</t>
        </is>
      </c>
    </row>
    <row r="35">
      <c r="A35" s="2" t="str">
        <f>HYPERLINK("https://vtmf.veevavault.com/ui/#doc_info/26163065/1/0", "77242113UCO2001-DEU-Z92-DE10002-Relevant Communications-15 Apr 2024 (v1.0)")</f>
        <v>77242113UCO2001-DEU-Z92-DE10002-Relevant Communications-15 Apr 2024 (v1.0)</v>
      </c>
      <c r="B35" s="3" t="inlineStr">
        <is>
          <t>DrugDev API Account</t>
        </is>
      </c>
      <c r="C35" s="3" t="inlineStr">
        <is>
          <t>Trial Management</t>
        </is>
      </c>
      <c r="D35" s="3" t="inlineStr">
        <is>
          <t>General</t>
        </is>
      </c>
      <c r="E35" s="3" t="inlineStr">
        <is>
          <t>Relevant Communications</t>
        </is>
      </c>
      <c r="F35" s="3" t="inlineStr">
        <is>
          <t>Email Blast-77242113UCO2001 Portal: Enrollment Screening Update-15 Apr 2024</t>
        </is>
      </c>
      <c r="G35" s="2" t="str">
        <f>HYPERLINK("https://vtmf.veevavault.com/ui/#doc_info/26163065/1/0", "VTMF-20923950")</f>
        <v>VTMF-20923950</v>
      </c>
      <c r="H35" s="3" t="inlineStr">
        <is>
          <t/>
        </is>
      </c>
      <c r="I35" s="3" t="inlineStr">
        <is>
          <t>Anthony Suarez (veeva.com)</t>
        </is>
      </c>
      <c r="J35" s="3" t="inlineStr">
        <is>
          <t>DrugDev API Account</t>
        </is>
      </c>
      <c r="K35" s="4" t="n">
        <v>45400.85533564815</v>
      </c>
      <c r="L35" s="5" t="n">
        <v>45401.0</v>
      </c>
      <c r="M35" s="3" t="inlineStr">
        <is>
          <t>Approved</t>
        </is>
      </c>
      <c r="N35" s="3" t="inlineStr">
        <is>
          <t>Country Close, Site Close, Study Close</t>
        </is>
      </c>
      <c r="O35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5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5" s="3" t="inlineStr">
        <is>
          <t>77242113UCO2001</t>
        </is>
      </c>
    </row>
    <row r="36">
      <c r="A36" s="2" t="str">
        <f>HYPERLINK("https://vtmf.veevavault.com/ui/#doc_info/26163079/1/0", "77242113UCO2001-DEU-Z92-DE10002-Relevant Communications-17 Apr 2024 (v1.0)")</f>
        <v>77242113UCO2001-DEU-Z92-DE10002-Relevant Communications-17 Apr 2024 (v1.0)</v>
      </c>
      <c r="B36" s="3" t="inlineStr">
        <is>
          <t>DrugDev API Account</t>
        </is>
      </c>
      <c r="C36" s="3" t="inlineStr">
        <is>
          <t>Trial Management</t>
        </is>
      </c>
      <c r="D36" s="3" t="inlineStr">
        <is>
          <t>General</t>
        </is>
      </c>
      <c r="E36" s="3" t="inlineStr">
        <is>
          <t>Relevant Communications</t>
        </is>
      </c>
      <c r="F36" s="3" t="inlineStr">
        <is>
          <t>Email Blast-77242113UCO2001 Portal: Updated guidance for Mayo score calculation at Week 0, Week 12, Week 16 and Week 28-17 Apr 2024</t>
        </is>
      </c>
      <c r="G36" s="2" t="str">
        <f>HYPERLINK("https://vtmf.veevavault.com/ui/#doc_info/26163079/1/0", "VTMF-20923964")</f>
        <v>VTMF-20923964</v>
      </c>
      <c r="H36" s="3" t="inlineStr">
        <is>
          <t/>
        </is>
      </c>
      <c r="I36" s="3" t="inlineStr">
        <is>
          <t>Anthony Suarez (veeva.com)</t>
        </is>
      </c>
      <c r="J36" s="3" t="inlineStr">
        <is>
          <t>DrugDev API Account</t>
        </is>
      </c>
      <c r="K36" s="4" t="n">
        <v>45400.85533564815</v>
      </c>
      <c r="L36" s="5" t="n">
        <v>45401.0</v>
      </c>
      <c r="M36" s="3" t="inlineStr">
        <is>
          <t>Approved</t>
        </is>
      </c>
      <c r="N36" s="3" t="inlineStr">
        <is>
          <t>Country Close, Site Close, Study Close</t>
        </is>
      </c>
      <c r="O36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6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6" s="3" t="inlineStr">
        <is>
          <t>77242113UCO2001</t>
        </is>
      </c>
    </row>
    <row r="37">
      <c r="A37" s="2" t="str">
        <f>HYPERLINK("https://vtmf.veevavault.com/ui/#doc_info/26208970/1/0", "77242113UCO2001-DEU-Z92-DE10002-Relevant Communications-22 Apr 2024 (v1.0)")</f>
        <v>77242113UCO2001-DEU-Z92-DE10002-Relevant Communications-22 Apr 2024 (v1.0)</v>
      </c>
      <c r="B37" s="3" t="inlineStr">
        <is>
          <t>DrugDev API Account</t>
        </is>
      </c>
      <c r="C37" s="3" t="inlineStr">
        <is>
          <t>Trial Management</t>
        </is>
      </c>
      <c r="D37" s="3" t="inlineStr">
        <is>
          <t>General</t>
        </is>
      </c>
      <c r="E37" s="3" t="inlineStr">
        <is>
          <t>Relevant Communications</t>
        </is>
      </c>
      <c r="F37" s="3" t="inlineStr">
        <is>
          <t>Email Blast-77242113UCO2001 Portal: Enrollment Screening Update 22 April 2024-22 Apr 2024</t>
        </is>
      </c>
      <c r="G37" s="2" t="str">
        <f>HYPERLINK("https://vtmf.veevavault.com/ui/#doc_info/26208970/1/0", "VTMF-20962693")</f>
        <v>VTMF-20962693</v>
      </c>
      <c r="H37" s="3" t="inlineStr">
        <is>
          <t/>
        </is>
      </c>
      <c r="I37" s="3" t="inlineStr">
        <is>
          <t>Anthony Suarez (veeva.com)</t>
        </is>
      </c>
      <c r="J37" s="3" t="inlineStr">
        <is>
          <t>DrugDev API Account</t>
        </is>
      </c>
      <c r="K37" s="4" t="n">
        <v>45407.855208333334</v>
      </c>
      <c r="L37" s="5" t="n">
        <v>45408.0</v>
      </c>
      <c r="M37" s="3" t="inlineStr">
        <is>
          <t>Approved</t>
        </is>
      </c>
      <c r="N37" s="3" t="inlineStr">
        <is>
          <t>Country Close, Site Close, Study Close</t>
        </is>
      </c>
      <c r="O37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7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7" s="3" t="inlineStr">
        <is>
          <t>77242113UCO2001</t>
        </is>
      </c>
    </row>
    <row r="38">
      <c r="A38" s="2" t="str">
        <f>HYPERLINK("https://vtmf.veevavault.com/ui/#doc_info/26252554/1/0", "77242113UCO2001-DEU-Z92-DE10002-Relevant Communications-26 Apr 2024 (v1.0)")</f>
        <v>77242113UCO2001-DEU-Z92-DE10002-Relevant Communications-26 Apr 2024 (v1.0)</v>
      </c>
      <c r="B38" s="3" t="inlineStr">
        <is>
          <t>DrugDev API Account</t>
        </is>
      </c>
      <c r="C38" s="3" t="inlineStr">
        <is>
          <t>Trial Management</t>
        </is>
      </c>
      <c r="D38" s="3" t="inlineStr">
        <is>
          <t>General</t>
        </is>
      </c>
      <c r="E38" s="3" t="inlineStr">
        <is>
          <t>Relevant Communications</t>
        </is>
      </c>
      <c r="F38" s="3" t="inlineStr">
        <is>
          <t>Email Blast-77242113UCO2001 Portal: Now Available! JNJ-2113 MOA (Mechanism of Action) Video. -26 Apr 2024</t>
        </is>
      </c>
      <c r="G38" s="2" t="str">
        <f>HYPERLINK("https://vtmf.veevavault.com/ui/#doc_info/26252554/1/0", "VTMF-20999925")</f>
        <v>VTMF-20999925</v>
      </c>
      <c r="H38" s="3" t="inlineStr">
        <is>
          <t/>
        </is>
      </c>
      <c r="I38" s="3" t="inlineStr">
        <is>
          <t>Anthony Suarez (veeva.com)</t>
        </is>
      </c>
      <c r="J38" s="3" t="inlineStr">
        <is>
          <t>DrugDev API Account</t>
        </is>
      </c>
      <c r="K38" s="4" t="n">
        <v>45414.85519675926</v>
      </c>
      <c r="L38" s="5" t="n">
        <v>45415.0</v>
      </c>
      <c r="M38" s="3" t="inlineStr">
        <is>
          <t>Approved</t>
        </is>
      </c>
      <c r="N38" s="3" t="inlineStr">
        <is>
          <t>Country Close, Site Close, Study Close</t>
        </is>
      </c>
      <c r="O38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8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8" s="3" t="inlineStr">
        <is>
          <t>77242113UCO2001</t>
        </is>
      </c>
    </row>
    <row r="39">
      <c r="A39" s="2" t="str">
        <f>HYPERLINK("https://vtmf.veevavault.com/ui/#doc_info/26252564/1/0", "77242113UCO2001-DEU-Z92-DE10002-Relevant Communications-30 Apr 2024 (v1.0)")</f>
        <v>77242113UCO2001-DEU-Z92-DE10002-Relevant Communications-30 Apr 2024 (v1.0)</v>
      </c>
      <c r="B39" s="3" t="inlineStr">
        <is>
          <t>DrugDev API Account</t>
        </is>
      </c>
      <c r="C39" s="3" t="inlineStr">
        <is>
          <t>Trial Management</t>
        </is>
      </c>
      <c r="D39" s="3" t="inlineStr">
        <is>
          <t>General</t>
        </is>
      </c>
      <c r="E39" s="3" t="inlineStr">
        <is>
          <t>Relevant Communications</t>
        </is>
      </c>
      <c r="F39" s="3" t="inlineStr">
        <is>
          <t>Email Blast-77242113UCO2001 Portal: Enrollment Screening Update 29 April 2024-30 Apr 2024</t>
        </is>
      </c>
      <c r="G39" s="2" t="str">
        <f>HYPERLINK("https://vtmf.veevavault.com/ui/#doc_info/26252564/1/0", "VTMF-20999935")</f>
        <v>VTMF-20999935</v>
      </c>
      <c r="H39" s="3" t="inlineStr">
        <is>
          <t/>
        </is>
      </c>
      <c r="I39" s="3" t="inlineStr">
        <is>
          <t>Anthony Suarez (veeva.com)</t>
        </is>
      </c>
      <c r="J39" s="3" t="inlineStr">
        <is>
          <t>DrugDev API Account</t>
        </is>
      </c>
      <c r="K39" s="4" t="n">
        <v>45414.85519675926</v>
      </c>
      <c r="L39" s="5" t="n">
        <v>45415.0</v>
      </c>
      <c r="M39" s="3" t="inlineStr">
        <is>
          <t>Approved</t>
        </is>
      </c>
      <c r="N39" s="3" t="inlineStr">
        <is>
          <t>Country Close, Site Close, Study Close</t>
        </is>
      </c>
      <c r="O39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39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Z92-US10028, Z92-US10029, Z92-US10033,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39" s="3" t="inlineStr">
        <is>
          <t>77242113UCO2001</t>
        </is>
      </c>
    </row>
    <row r="40">
      <c r="A40" s="2" t="str">
        <f>HYPERLINK("https://vtmf.veevavault.com/ui/#doc_info/26340765/1/0", "77242113UCO2001-DEU-Z92-DE10002-Relevant Communications-14 May 2024 (v1.0)")</f>
        <v>77242113UCO2001-DEU-Z92-DE10002-Relevant Communications-14 May 2024 (v1.0)</v>
      </c>
      <c r="B40" s="3" t="inlineStr">
        <is>
          <t>DrugDev API Account</t>
        </is>
      </c>
      <c r="C40" s="3" t="inlineStr">
        <is>
          <t>Trial Management</t>
        </is>
      </c>
      <c r="D40" s="3" t="inlineStr">
        <is>
          <t>General</t>
        </is>
      </c>
      <c r="E40" s="3" t="inlineStr">
        <is>
          <t>Relevant Communications</t>
        </is>
      </c>
      <c r="F40" s="3" t="inlineStr">
        <is>
          <t>Email Blast-77242113UCO2001 Portal: Enrollment Screening Update 13 May 2024-14 May 2024</t>
        </is>
      </c>
      <c r="G40" s="2" t="str">
        <f>HYPERLINK("https://vtmf.veevavault.com/ui/#doc_info/26340765/1/0", "VTMF-21077461")</f>
        <v>VTMF-21077461</v>
      </c>
      <c r="H40" s="3" t="inlineStr">
        <is>
          <t/>
        </is>
      </c>
      <c r="I40" s="3" t="inlineStr">
        <is>
          <t>Anthony Suarez (veeva.com)</t>
        </is>
      </c>
      <c r="J40" s="3" t="inlineStr">
        <is>
          <t>DrugDev API Account</t>
        </is>
      </c>
      <c r="K40" s="4" t="n">
        <v>45428.85508101852</v>
      </c>
      <c r="L40" s="5" t="n">
        <v>45429.0</v>
      </c>
      <c r="M40" s="3" t="inlineStr">
        <is>
          <t>Approved</t>
        </is>
      </c>
      <c r="N40" s="3" t="inlineStr">
        <is>
          <t>Country Close, Site Close, Study Close</t>
        </is>
      </c>
      <c r="O40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0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Z92-US10029, Z92-US10033, Z92-US10034, Z92-US10035, Z92-US10037, Z92-US10039, Z92-US10042, Z92-US10045, Z92-US10047, Z92-US10048, Z92-US10050, Z92-US10054, Z92-US10057, Z92-US10058, Z92-US10061, Z92-US10062, Z92-US10063</t>
        </is>
      </c>
      <c r="Q40" s="3" t="inlineStr">
        <is>
          <t>77242113UCO2001</t>
        </is>
      </c>
    </row>
    <row r="41">
      <c r="A41" s="2" t="str">
        <f>HYPERLINK("https://vtmf.veevavault.com/ui/#doc_info/26340766/1/0", "77242113UCO2001-DEU-Z92-DE10002-Relevant Communications-14 May 2024 (v1.0)")</f>
        <v>77242113UCO2001-DEU-Z92-DE10002-Relevant Communications-14 May 2024 (v1.0)</v>
      </c>
      <c r="B41" s="3" t="inlineStr">
        <is>
          <t>DrugDev API Account</t>
        </is>
      </c>
      <c r="C41" s="3" t="inlineStr">
        <is>
          <t>Trial Management</t>
        </is>
      </c>
      <c r="D41" s="3" t="inlineStr">
        <is>
          <t>General</t>
        </is>
      </c>
      <c r="E41" s="3" t="inlineStr">
        <is>
          <t>Relevant Communications</t>
        </is>
      </c>
      <c r="F41" s="3" t="inlineStr">
        <is>
          <t>Email Blast-77242113UCO2001 Portal: Enrollment Screening Update 14 May 2024-14 May 2024</t>
        </is>
      </c>
      <c r="G41" s="2" t="str">
        <f>HYPERLINK("https://vtmf.veevavault.com/ui/#doc_info/26340766/1/0", "VTMF-21077462")</f>
        <v>VTMF-21077462</v>
      </c>
      <c r="H41" s="3" t="inlineStr">
        <is>
          <t/>
        </is>
      </c>
      <c r="I41" s="3" t="inlineStr">
        <is>
          <t>Anthony Suarez (veeva.com)</t>
        </is>
      </c>
      <c r="J41" s="3" t="inlineStr">
        <is>
          <t>DrugDev API Account</t>
        </is>
      </c>
      <c r="K41" s="4" t="n">
        <v>45428.85508101852</v>
      </c>
      <c r="L41" s="5" t="n">
        <v>45429.0</v>
      </c>
      <c r="M41" s="3" t="inlineStr">
        <is>
          <t>Approved</t>
        </is>
      </c>
      <c r="N41" s="3" t="inlineStr">
        <is>
          <t>Country Close, Site Close, Study Close</t>
        </is>
      </c>
      <c r="O41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1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Z92-US10029, Z92-US10033, Z92-US10034, Z92-US10035, Z92-US10037, Z92-US10039, Z92-US10042, Z92-US10045, Z92-US10047, Z92-US10048, Z92-US10050, Z92-US10054, Z92-US10057, Z92-US10058, Z92-US10061, Z92-US10062, Z92-US10063</t>
        </is>
      </c>
      <c r="Q41" s="3" t="inlineStr">
        <is>
          <t>77242113UCO2001</t>
        </is>
      </c>
    </row>
    <row r="42">
      <c r="A42" s="2" t="str">
        <f>HYPERLINK("https://vtmf.veevavault.com/ui/#doc_info/26564630/1/0", "77242113UCO2001-DEU-Z92-DE10002-Relevant Communications-18 Jun 2024 (v1.0)")</f>
        <v>77242113UCO2001-DEU-Z92-DE10002-Relevant Communications-18 Jun 2024 (v1.0)</v>
      </c>
      <c r="B42" s="3" t="inlineStr">
        <is>
          <t>DrugDev API Account</t>
        </is>
      </c>
      <c r="C42" s="3" t="inlineStr">
        <is>
          <t>Trial Management</t>
        </is>
      </c>
      <c r="D42" s="3" t="inlineStr">
        <is>
          <t>General</t>
        </is>
      </c>
      <c r="E42" s="3" t="inlineStr">
        <is>
          <t>Relevant Communications</t>
        </is>
      </c>
      <c r="F42" s="3" t="inlineStr">
        <is>
          <t>Email Blast-77242113UCO2001 Portal: Final Randomizations-19 Jun 2024</t>
        </is>
      </c>
      <c r="G42" s="2" t="str">
        <f>HYPERLINK("https://vtmf.veevavault.com/ui/#doc_info/26564630/1/0", "VTMF-21274532")</f>
        <v>VTMF-21274532</v>
      </c>
      <c r="H42" s="3" t="inlineStr">
        <is>
          <t/>
        </is>
      </c>
      <c r="I42" s="3" t="inlineStr">
        <is>
          <t>Anthony Suarez (veeva.com)</t>
        </is>
      </c>
      <c r="J42" s="3" t="inlineStr">
        <is>
          <t>DrugDev API Account</t>
        </is>
      </c>
      <c r="K42" s="4" t="n">
        <v>45463.85524305556</v>
      </c>
      <c r="L42" s="5" t="n">
        <v>45464.0</v>
      </c>
      <c r="M42" s="3" t="inlineStr">
        <is>
          <t>Approved</t>
        </is>
      </c>
      <c r="N42" s="3" t="inlineStr">
        <is>
          <t>Country Close, Site Close, Study Close</t>
        </is>
      </c>
      <c r="O42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42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Z92-US10048, Z92-US10050, Z92-US10054, Z92-US10057, Z92-US10058, Z92-US10061, Z92-US10062, Z92-US10063</t>
        </is>
      </c>
      <c r="Q42" s="3" t="inlineStr">
        <is>
          <t>77242113UCO2001</t>
        </is>
      </c>
    </row>
    <row r="43">
      <c r="A43" s="2" t="str">
        <f>HYPERLINK("https://vtmf.veevavault.com/ui/#doc_info/26385827/1/0", "77242113UCO2001-DEU-Z92-DE10002-Relevant Communications-21 May 2024 (v1.0)")</f>
        <v>77242113UCO2001-DEU-Z92-DE10002-Relevant Communications-21 May 2024 (v1.0)</v>
      </c>
      <c r="B43" s="3" t="inlineStr">
        <is>
          <t>DrugDev API Account</t>
        </is>
      </c>
      <c r="C43" s="3" t="inlineStr">
        <is>
          <t>Trial Management</t>
        </is>
      </c>
      <c r="D43" s="3" t="inlineStr">
        <is>
          <t>General</t>
        </is>
      </c>
      <c r="E43" s="3" t="inlineStr">
        <is>
          <t>Relevant Communications</t>
        </is>
      </c>
      <c r="F43" s="3" t="inlineStr">
        <is>
          <t>Email Blast-77242113UCO2001 Portal: ANTHEM-UC Closed for Screening-21 May 2024</t>
        </is>
      </c>
      <c r="G43" s="2" t="str">
        <f>HYPERLINK("https://vtmf.veevavault.com/ui/#doc_info/26385827/1/0", "VTMF-21116656")</f>
        <v>VTMF-21116656</v>
      </c>
      <c r="H43" s="3" t="inlineStr">
        <is>
          <t/>
        </is>
      </c>
      <c r="I43" s="3" t="inlineStr">
        <is>
          <t>Anthony Suarez (veeva.com)</t>
        </is>
      </c>
      <c r="J43" s="3" t="inlineStr">
        <is>
          <t>DrugDev API Account</t>
        </is>
      </c>
      <c r="K43" s="4" t="n">
        <v>45435.85525462963</v>
      </c>
      <c r="L43" s="5" t="n">
        <v>45436.0</v>
      </c>
      <c r="M43" s="3" t="inlineStr">
        <is>
          <t>Approved</t>
        </is>
      </c>
      <c r="N43" s="3" t="inlineStr">
        <is>
          <t>Country Close, Site Close, Study Close</t>
        </is>
      </c>
      <c r="O43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3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Z92-US10009, Z92-US10010, Z92-US10011, Z92-US10012, Z92-US10013, Z92-US10014, Z92-US10015, Z92-US10020, Z92-US10021, Z92-US10023, Z92-US10024, Z92-US10025, Z92-US10026, Z92-US10029, Z92-US10033, Z92-US10034, Z92-US10037, Z92-US10039, Z92-US10042, Z92-US10045, Z92-US10047, Z92-US10048, Z92-US10050, Z92-US10054, Z92-US10057, Z92-US10058, Z92-US10061, Z92-US10062, Z92-US10063</t>
        </is>
      </c>
      <c r="Q43" s="3" t="inlineStr">
        <is>
          <t>77242113UCO2001</t>
        </is>
      </c>
    </row>
    <row r="44">
      <c r="A44" s="2" t="str">
        <f>HYPERLINK("https://vtmf.veevavault.com/ui/#doc_info/26610181/1/0", "77242113UCO2001-DEU-Z92-DE10002-Relevant Communications-24 Jun 2024 (v1.0)")</f>
        <v>77242113UCO2001-DEU-Z92-DE10002-Relevant Communications-24 Jun 2024 (v1.0)</v>
      </c>
      <c r="B44" s="3" t="inlineStr">
        <is>
          <t>DrugDev API Account</t>
        </is>
      </c>
      <c r="C44" s="3" t="inlineStr">
        <is>
          <t>Trial Management</t>
        </is>
      </c>
      <c r="D44" s="3" t="inlineStr">
        <is>
          <t>General</t>
        </is>
      </c>
      <c r="E44" s="3" t="inlineStr">
        <is>
          <t>Relevant Communications</t>
        </is>
      </c>
      <c r="F44" s="3" t="inlineStr">
        <is>
          <t>Email Blast-77242113UCO2001 Portal: Mayo score calculation –best practice reminder-25 Jun 2024</t>
        </is>
      </c>
      <c r="G44" s="2" t="str">
        <f>HYPERLINK("https://vtmf.veevavault.com/ui/#doc_info/26610181/1/0", "VTMF-21314118")</f>
        <v>VTMF-21314118</v>
      </c>
      <c r="H44" s="3" t="inlineStr">
        <is>
          <t/>
        </is>
      </c>
      <c r="I44" s="3" t="inlineStr">
        <is>
          <t>Anthony Suarez (veeva.com)</t>
        </is>
      </c>
      <c r="J44" s="3" t="inlineStr">
        <is>
          <t>DrugDev API Account</t>
        </is>
      </c>
      <c r="K44" s="4" t="n">
        <v>45470.85517361111</v>
      </c>
      <c r="L44" s="5" t="n">
        <v>45471.0</v>
      </c>
      <c r="M44" s="3" t="inlineStr">
        <is>
          <t>Approved</t>
        </is>
      </c>
      <c r="N44" s="3" t="inlineStr">
        <is>
          <t>Country Close, Site Close, Study Close</t>
        </is>
      </c>
      <c r="O44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44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Z92-DE10013, Z92-DE10015, Z92-DE10016, Z92-ES10001,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Z92-US10011, Z92-US10012, Z92-US10013, Z92-US10014, Z92-US10015, Z92-US10020, Z92-US10021, Z92-US10023, Z92-US10024, Z92-US10025, Z92-US10026, Z92-US10029, Z92-US10033, Z92-US10034, Z92-US10037, Z92-US10039, Z92-US10045, Z92-US10050, Z92-US10054, Z92-US10057, Z92-US10058, Z92-US10061, Z92-US10062, Z92-US10063</t>
        </is>
      </c>
      <c r="Q44" s="3" t="inlineStr">
        <is>
          <t>77242113UCO2001</t>
        </is>
      </c>
    </row>
    <row r="45">
      <c r="A45" s="2" t="str">
        <f>HYPERLINK("https://vtmf.veevavault.com/ui/#doc_info/25685438/1/0", "77242113UCO2001-DEU-Z92-DE10005-Relevant Communications-05 Feb 2024 (v1.0)")</f>
        <v>77242113UCO2001-DEU-Z92-DE10005-Relevant Communications-05 Feb 2024 (v1.0)</v>
      </c>
      <c r="B45" s="3" t="inlineStr">
        <is>
          <t>DrugDev API Account</t>
        </is>
      </c>
      <c r="C45" s="3" t="inlineStr">
        <is>
          <t>Trial Management</t>
        </is>
      </c>
      <c r="D45" s="3" t="inlineStr">
        <is>
          <t>General</t>
        </is>
      </c>
      <c r="E45" s="3" t="inlineStr">
        <is>
          <t>Relevant Communications</t>
        </is>
      </c>
      <c r="F45" s="3" t="inlineStr">
        <is>
          <t>Email Blast-77242113UCO2001 Portal: Newsflash First Edition, 02 February 2024-06 Feb 2024</t>
        </is>
      </c>
      <c r="G45" s="2" t="str">
        <f>HYPERLINK("https://vtmf.veevavault.com/ui/#doc_info/25685438/1/0", "VTMF-20502498")</f>
        <v>VTMF-20502498</v>
      </c>
      <c r="H45" s="3" t="inlineStr">
        <is>
          <t/>
        </is>
      </c>
      <c r="I45" s="3" t="inlineStr">
        <is>
          <t>Anthony Suarez (veeva.com)</t>
        </is>
      </c>
      <c r="J45" s="3" t="inlineStr">
        <is>
          <t>DrugDev API Account</t>
        </is>
      </c>
      <c r="K45" s="4" t="n">
        <v>45330.81344907408</v>
      </c>
      <c r="L45" s="5" t="n">
        <v>45331.0</v>
      </c>
      <c r="M45" s="3" t="inlineStr">
        <is>
          <t>Approved</t>
        </is>
      </c>
      <c r="N45" s="3" t="inlineStr">
        <is>
          <t>Country Close, Site Close, Study Close</t>
        </is>
      </c>
      <c r="O45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5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Z92-US10057, Z92-US10058, Z92-US10061, Z92-US10062, Z92-US10063, Z92-US10064, Z92-US10065</t>
        </is>
      </c>
      <c r="Q45" s="3" t="inlineStr">
        <is>
          <t>77242113UCO2001</t>
        </is>
      </c>
    </row>
    <row r="46">
      <c r="A46" s="2" t="str">
        <f>HYPERLINK("https://vtmf.veevavault.com/ui/#doc_info/25685451/1/0", "77242113UCO2001-DEU-Z92-DE10005-Relevant Communications-07 Feb 2024 (v1.0)")</f>
        <v>77242113UCO2001-DEU-Z92-DE10005-Relevant Communications-07 Feb 2024 (v1.0)</v>
      </c>
      <c r="B46" s="3" t="inlineStr">
        <is>
          <t>DrugDev API Account</t>
        </is>
      </c>
      <c r="C46" s="3" t="inlineStr">
        <is>
          <t>Trial Management</t>
        </is>
      </c>
      <c r="D46" s="3" t="inlineStr">
        <is>
          <t>General</t>
        </is>
      </c>
      <c r="E46" s="3" t="inlineStr">
        <is>
          <t>Relevant Communications</t>
        </is>
      </c>
      <c r="F46" s="3" t="inlineStr">
        <is>
          <t>Email Blast-77242113UCO2001 Portal: Leaderboard 07 February 2024-07 Feb 2024</t>
        </is>
      </c>
      <c r="G46" s="2" t="str">
        <f>HYPERLINK("https://vtmf.veevavault.com/ui/#doc_info/25685451/1/0", "VTMF-20502511")</f>
        <v>VTMF-20502511</v>
      </c>
      <c r="H46" s="3" t="inlineStr">
        <is>
          <t/>
        </is>
      </c>
      <c r="I46" s="3" t="inlineStr">
        <is>
          <t>Anthony Suarez (veeva.com)</t>
        </is>
      </c>
      <c r="J46" s="3" t="inlineStr">
        <is>
          <t>DrugDev API Account</t>
        </is>
      </c>
      <c r="K46" s="4" t="n">
        <v>45330.81344907408</v>
      </c>
      <c r="L46" s="5" t="n">
        <v>45331.0</v>
      </c>
      <c r="M46" s="3" t="inlineStr">
        <is>
          <t>Approved</t>
        </is>
      </c>
      <c r="N46" s="3" t="inlineStr">
        <is>
          <t>Country Close, Site Close, Study Close</t>
        </is>
      </c>
      <c r="O46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6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Z92-US10057, Z92-US10058, Z92-US10061, Z92-US10062, Z92-US10063, Z92-US10064, Z92-US10065</t>
        </is>
      </c>
      <c r="Q46" s="3" t="inlineStr">
        <is>
          <t>77242113UCO2001</t>
        </is>
      </c>
    </row>
    <row r="47">
      <c r="A47" s="2" t="str">
        <f>HYPERLINK("https://vtmf.veevavault.com/ui/#doc_info/25874783/1/0", "77242113UCO2001-DEU-Z92-DE10005-Relevant Communications-05 Mar 2024 (v1.0)")</f>
        <v>77242113UCO2001-DEU-Z92-DE10005-Relevant Communications-05 Mar 2024 (v1.0)</v>
      </c>
      <c r="B47" s="3" t="inlineStr">
        <is>
          <t>DrugDev API Account</t>
        </is>
      </c>
      <c r="C47" s="3" t="inlineStr">
        <is>
          <t>Trial Management</t>
        </is>
      </c>
      <c r="D47" s="3" t="inlineStr">
        <is>
          <t>General</t>
        </is>
      </c>
      <c r="E47" s="3" t="inlineStr">
        <is>
          <t>Relevant Communications</t>
        </is>
      </c>
      <c r="F47" s="3" t="inlineStr">
        <is>
          <t>Email Blast-77242113UCO2001 Portal: Newsflash Second Edition, 01 March 2024-05 Mar 2024</t>
        </is>
      </c>
      <c r="G47" s="2" t="str">
        <f>HYPERLINK("https://vtmf.veevavault.com/ui/#doc_info/25874783/1/0", "VTMF-20668780")</f>
        <v>VTMF-20668780</v>
      </c>
      <c r="H47" s="3" t="inlineStr">
        <is>
          <t/>
        </is>
      </c>
      <c r="I47" s="3" t="inlineStr">
        <is>
          <t>Anthony Suarez (veeva.com)</t>
        </is>
      </c>
      <c r="J47" s="3" t="inlineStr">
        <is>
          <t>DrugDev API Account</t>
        </is>
      </c>
      <c r="K47" s="4" t="n">
        <v>45358.81358796296</v>
      </c>
      <c r="L47" s="5" t="n">
        <v>45359.0</v>
      </c>
      <c r="M47" s="3" t="inlineStr">
        <is>
          <t>Approved</t>
        </is>
      </c>
      <c r="N47" s="3" t="inlineStr">
        <is>
          <t>Country Close, Site Close, Study Close</t>
        </is>
      </c>
      <c r="O47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7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Z92-US10039, Z92-US10040, Z92-US10042, Z92-US10044, Z92-US10045, Z92-US10047, Z92-US10048, Z92-US10049, Z92-US10050, Z92-US10057, Z92-US10058, Z92-US10061, Z92-US10062, Z92-US10063, Z92-US10064, Z92-US10065</t>
        </is>
      </c>
      <c r="Q47" s="3" t="inlineStr">
        <is>
          <t>77242113UCO2001</t>
        </is>
      </c>
    </row>
    <row r="48">
      <c r="A48" s="2" t="str">
        <f>HYPERLINK("https://vtmf.veevavault.com/ui/#doc_info/25822877/1/0", "77242113UCO2001-DEU-Z92-DE10005-Relevant Communications-23 Feb 2024 (v1.0)")</f>
        <v>77242113UCO2001-DEU-Z92-DE10005-Relevant Communications-23 Feb 2024 (v1.0)</v>
      </c>
      <c r="B48" s="3" t="inlineStr">
        <is>
          <t>DrugDev API Account</t>
        </is>
      </c>
      <c r="C48" s="3" t="inlineStr">
        <is>
          <t>Trial Management</t>
        </is>
      </c>
      <c r="D48" s="3" t="inlineStr">
        <is>
          <t>General</t>
        </is>
      </c>
      <c r="E48" s="3" t="inlineStr">
        <is>
          <t>Relevant Communications</t>
        </is>
      </c>
      <c r="F48" s="3" t="inlineStr">
        <is>
          <t>Email Blast-77242113UCO2001 Portal: BIG ANNOUNCEMENT: ANTHEM-UC Enrollment on Pace to Break Records!!!!!-23 Feb 2024</t>
        </is>
      </c>
      <c r="G48" s="2" t="str">
        <f>HYPERLINK("https://vtmf.veevavault.com/ui/#doc_info/25822877/1/0", "VTMF-20622544")</f>
        <v>VTMF-20622544</v>
      </c>
      <c r="H48" s="3" t="inlineStr">
        <is>
          <t/>
        </is>
      </c>
      <c r="I48" s="3" t="inlineStr">
        <is>
          <t>Anthony Suarez (veeva.com)</t>
        </is>
      </c>
      <c r="J48" s="3" t="inlineStr">
        <is>
          <t>DrugDev API Account</t>
        </is>
      </c>
      <c r="K48" s="4" t="n">
        <v>45351.81346064815</v>
      </c>
      <c r="L48" s="5" t="n">
        <v>45352.0</v>
      </c>
      <c r="M48" s="3" t="inlineStr">
        <is>
          <t>Approved</t>
        </is>
      </c>
      <c r="N48" s="3" t="inlineStr">
        <is>
          <t>Country Close, Site Close, Study Close</t>
        </is>
      </c>
      <c r="O48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8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Z92-US10039, Z92-US10040, Z92-US10042, Z92-US10044, Z92-US10045, Z92-US10047, Z92-US10048, Z92-US10049, Z92-US10050, Z92-US10057, Z92-US10058, Z92-US10061, Z92-US10062, Z92-US10063, Z92-US10064, Z92-US10065</t>
        </is>
      </c>
      <c r="Q48" s="3" t="inlineStr">
        <is>
          <t>77242113UCO2001</t>
        </is>
      </c>
    </row>
    <row r="49">
      <c r="A49" s="2" t="str">
        <f>HYPERLINK("https://vtmf.veevavault.com/ui/#doc_info/25975919/1/0", "77242113UCO2001-DEU-Z92-DE10005-Relevant Communications-15 Mar 2024 (v1.0)")</f>
        <v>77242113UCO2001-DEU-Z92-DE10005-Relevant Communications-15 Mar 2024 (v1.0)</v>
      </c>
      <c r="B49" s="3" t="inlineStr">
        <is>
          <t>DrugDev API Account</t>
        </is>
      </c>
      <c r="C49" s="3" t="inlineStr">
        <is>
          <t>Trial Management</t>
        </is>
      </c>
      <c r="D49" s="3" t="inlineStr">
        <is>
          <t>General</t>
        </is>
      </c>
      <c r="E49" s="3" t="inlineStr">
        <is>
          <t>Relevant Communications</t>
        </is>
      </c>
      <c r="F49" s="3" t="inlineStr">
        <is>
          <t>Email Blast-77242113UCO2001 Portal: Reporting of Serious Adverse Events-15 Mar 2024</t>
        </is>
      </c>
      <c r="G49" s="2" t="str">
        <f>HYPERLINK("https://vtmf.veevavault.com/ui/#doc_info/25975919/1/0", "VTMF-20758411")</f>
        <v>VTMF-20758411</v>
      </c>
      <c r="H49" s="3" t="inlineStr">
        <is>
          <t/>
        </is>
      </c>
      <c r="I49" s="3" t="inlineStr">
        <is>
          <t>Anthony Suarez (veeva.com)</t>
        </is>
      </c>
      <c r="J49" s="3" t="inlineStr">
        <is>
          <t>DrugDev API Account</t>
        </is>
      </c>
      <c r="K49" s="4" t="n">
        <v>45372.813576388886</v>
      </c>
      <c r="L49" s="5" t="n">
        <v>45373.0</v>
      </c>
      <c r="M49" s="3" t="inlineStr">
        <is>
          <t>Approved</t>
        </is>
      </c>
      <c r="N49" s="3" t="inlineStr">
        <is>
          <t>Country Close, Site Close, Study Close</t>
        </is>
      </c>
      <c r="O49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49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Z92-US10039, Z92-US10040, Z92-US10042, Z92-US10044, Z92-US10045, Z92-US10047, Z92-US10048, Z92-US10049, Z92-US10050, Z92-US10054, Z92-US10057, Z92-US10058, Z92-US10061, Z92-US10062, Z92-US10063, Z92-US10064, Z92-US10065</t>
        </is>
      </c>
      <c r="Q49" s="3" t="inlineStr">
        <is>
          <t>77242113UCO2001</t>
        </is>
      </c>
    </row>
    <row r="50">
      <c r="A50" s="2" t="str">
        <f>HYPERLINK("https://vtmf.veevavault.com/ui/#doc_info/25489770/1/0", "77242113UCO2001-DEU-Z92-DE10005-Relevant Communications-09 Jan 2024 (v1.0)")</f>
        <v>77242113UCO2001-DEU-Z92-DE10005-Relevant Communications-09 Jan 2024 (v1.0)</v>
      </c>
      <c r="B50" s="3" t="inlineStr">
        <is>
          <t>DrugDev API Account</t>
        </is>
      </c>
      <c r="C50" s="3" t="inlineStr">
        <is>
          <t>Trial Management</t>
        </is>
      </c>
      <c r="D50" s="3" t="inlineStr">
        <is>
          <t>General</t>
        </is>
      </c>
      <c r="E50" s="3" t="inlineStr">
        <is>
          <t>Relevant Communications</t>
        </is>
      </c>
      <c r="F50" s="3" t="inlineStr">
        <is>
          <t>Email Blast-77242113UCO2001 Portal: 2023 Enrollment Achievement Video-10 Jan 2024</t>
        </is>
      </c>
      <c r="G50" s="2" t="str">
        <f>HYPERLINK("https://vtmf.veevavault.com/ui/#doc_info/25489770/1/0", "VTMF-20330339")</f>
        <v>VTMF-20330339</v>
      </c>
      <c r="H50" s="3" t="inlineStr">
        <is>
          <t/>
        </is>
      </c>
      <c r="I50" s="3" t="inlineStr">
        <is>
          <t>Anthony Suarez (veeva.com)</t>
        </is>
      </c>
      <c r="J50" s="3" t="inlineStr">
        <is>
          <t>DrugDev API Account</t>
        </is>
      </c>
      <c r="K50" s="4" t="n">
        <v>45302.813263888886</v>
      </c>
      <c r="L50" s="5" t="n">
        <v>45303.0</v>
      </c>
      <c r="M50" s="3" t="inlineStr">
        <is>
          <t>Approved</t>
        </is>
      </c>
      <c r="N50" s="3" t="inlineStr">
        <is>
          <t>Country Close, Site Close, Study Close</t>
        </is>
      </c>
      <c r="O50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50" s="3" t="inlineStr">
        <is>
          <t>Z92-AR10001, Z92-AR10002,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Z92-CZ10004, Z92-CZ10007, Z92-CZ10008, Z92-CZ10009,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Z92-US10063, Z92-US10064, Z92-US10065</t>
        </is>
      </c>
      <c r="Q50" s="3" t="inlineStr">
        <is>
          <t>77242113UCO2001</t>
        </is>
      </c>
    </row>
    <row r="51">
      <c r="A51" s="2" t="str">
        <f>HYPERLINK("https://vtmf.veevavault.com/ui/#doc_info/26899557/1/0", "77242113UCO2001-DEU-Z92-DE10002-Relevant Communications-13 Aug 2024 (v1.0)")</f>
        <v>77242113UCO2001-DEU-Z92-DE10002-Relevant Communications-13 Aug 2024 (v1.0)</v>
      </c>
      <c r="B51" s="3" t="inlineStr">
        <is>
          <t>DrugDev API Account</t>
        </is>
      </c>
      <c r="C51" s="3" t="inlineStr">
        <is>
          <t>Trial Management</t>
        </is>
      </c>
      <c r="D51" s="3" t="inlineStr">
        <is>
          <t>General</t>
        </is>
      </c>
      <c r="E51" s="3" t="inlineStr">
        <is>
          <t>Relevant Communications</t>
        </is>
      </c>
      <c r="F51" s="3" t="inlineStr">
        <is>
          <t>Email Blast-77242113UCO2001 Portal: Clario eCOA Application Update-13 Aug 2024</t>
        </is>
      </c>
      <c r="G51" s="2" t="str">
        <f>HYPERLINK("https://vtmf.veevavault.com/ui/#doc_info/26899557/1/0", "VTMF-21562282")</f>
        <v>VTMF-21562282</v>
      </c>
      <c r="H51" s="3" t="inlineStr">
        <is>
          <t/>
        </is>
      </c>
      <c r="I51" s="3" t="inlineStr">
        <is>
          <t>System</t>
        </is>
      </c>
      <c r="J51" s="3" t="inlineStr">
        <is>
          <t>DrugDev API Account</t>
        </is>
      </c>
      <c r="K51" s="4" t="n">
        <v>45519.85506944444</v>
      </c>
      <c r="L51" s="5" t="n">
        <v>45520.0</v>
      </c>
      <c r="M51" s="3" t="inlineStr">
        <is>
          <t>Approved</t>
        </is>
      </c>
      <c r="N51" s="3" t="inlineStr">
        <is>
          <t>Country Close, Site Close, Study Close</t>
        </is>
      </c>
      <c r="O51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1" s="3" t="inlineStr">
        <is>
          <t>Z92-AR10001, Z92-AR10002, Z92-AR10004, Z92-AR10006, Z92-AR10007, Z92-AU10002, Z92-AU10005,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Z92-CN10012, Z92-CN10013, Z92-CN10014, Z92-CZ10003, Z92-CZ10004, Z92-CZ10008, Z92-CZ10009, Z92-DE10002, Z92-DE10005, Z92-DE10006, Z92-DE10010, Z92-DE10013, Z92-DE10015, Z92-DE10016, Z92-ES10001, Z92-ES10004, Z92-ES10005, Z92-ES10006, Z92-ES10007, Z92-ES10008, Z92-ES10009, Z92-ES10010, Z92-ES10011, Z92-ES10012, Z92-ES10013, Z92-FR10002, Z92-FR10004, Z92-FR10005, Z92-FR10006, Z92-FR10008, Z92-FR10009, Z92-FR10011, Z92-GB10001, Z92-GB10002, Z92-GB10003, Z92-GB10004, Z92-GB10005, Z92-GB10006, Z92-GB10008, Z92-GB10010, Z92-GB10013, Z92-HU10001, Z92-HU10002, Z92-HU10003, Z92-HU10004, Z92-HU10006, Z92-IN10001, Z92-IN10002, Z92-IN10003, Z92-IN10006, Z92-IT10001, Z92-IT10002, Z92-IT10004, Z92-IT10005, Z92-IT10009, Z92-IT10010, Z92-JP10001, Z92-JP10002, Z92-JP10003, Z92-JP10005, Z92-JP10006, Z92-JP10008, Z92-JP10009, Z92-JP10010, Z92-JP10012, Z92-JP10013, Z92-JP10014, Z92-JP10016, Z92-KR10001, Z92-KR10002, Z92-KR10003, Z92-KR10004, Z92-KR10005, Z92-KR10006, Z92-KR10007,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Z92-US10012, Z92-US10013, Z92-US10014, Z92-US10015, Z92-US10020, Z92-US10021, Z92-US10023, Z92-US10024, Z92-US10025, Z92-US10026, Z92-US10029, Z92-US10033, Z92-US10034, Z92-US10037, Z92-US10039, Z92-US10045, Z92-US10057, Z92-US10058, Z92-US10063</t>
        </is>
      </c>
      <c r="Q51" s="3" t="inlineStr">
        <is>
          <t>77242113UCO2001</t>
        </is>
      </c>
    </row>
    <row r="52">
      <c r="A52" s="2" t="str">
        <f>HYPERLINK("https://vtmf.veevavault.com/ui/#doc_info/26815746/1/0", "77242113UCO2001-DEU-Z92-DE10002-Relevant Communications-30 Jul 2024 (v1.0)")</f>
        <v>77242113UCO2001-DEU-Z92-DE10002-Relevant Communications-30 Jul 2024 (v1.0)</v>
      </c>
      <c r="B52" s="3" t="inlineStr">
        <is>
          <t>DrugDev API Account</t>
        </is>
      </c>
      <c r="C52" s="3" t="inlineStr">
        <is>
          <t>Trial Management</t>
        </is>
      </c>
      <c r="D52" s="3" t="inlineStr">
        <is>
          <t>General</t>
        </is>
      </c>
      <c r="E52" s="3" t="inlineStr">
        <is>
          <t>Relevant Communications</t>
        </is>
      </c>
      <c r="F52" s="3" t="inlineStr">
        <is>
          <t>Email Blast-77242113UCO2001 Portal: Week 12 database cleaning activities -30 Jul 2024</t>
        </is>
      </c>
      <c r="G52" s="2" t="str">
        <f>HYPERLINK("https://vtmf.veevavault.com/ui/#doc_info/26815746/1/0", "VTMF-21491469")</f>
        <v>VTMF-21491469</v>
      </c>
      <c r="H52" s="3" t="inlineStr">
        <is>
          <t/>
        </is>
      </c>
      <c r="I52" s="3" t="inlineStr">
        <is>
          <t>Anthony Suarez (veeva.com)</t>
        </is>
      </c>
      <c r="J52" s="3" t="inlineStr">
        <is>
          <t>DrugDev API Account</t>
        </is>
      </c>
      <c r="K52" s="4" t="n">
        <v>45505.85508101852</v>
      </c>
      <c r="L52" s="5" t="n">
        <v>45506.0</v>
      </c>
      <c r="M52" s="3" t="inlineStr">
        <is>
          <t>Approved</t>
        </is>
      </c>
      <c r="N52" s="3" t="inlineStr">
        <is>
          <t>Country Close, Site Close, Study Close</t>
        </is>
      </c>
      <c r="O52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2" s="3" t="inlineStr">
        <is>
          <t>Z92-AR10001, Z92-AR10002, Z92-AR10004, Z92-AR10006, Z92-AR10007, Z92-AU10002, Z92-AU10005,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Z92-CN10012, Z92-CN10013, Z92-CN10014, Z92-CZ10003, Z92-CZ10004, Z92-CZ10008, Z92-CZ10009, Z92-DE10002, Z92-DE10005, Z92-DE10006, Z92-DE10010, Z92-DE10013, Z92-DE10015, Z92-DE10016, Z92-ES10001, Z92-ES10004, Z92-ES10005, Z92-ES10006, Z92-ES10007, Z92-ES10008, Z92-ES10009, Z92-ES10010, Z92-ES10011, Z92-ES10012, Z92-ES10013, Z92-FR10002, Z92-FR10004, Z92-FR10005, Z92-FR10006, Z92-FR10008, Z92-FR10009,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Z92-IT10004, Z92-IT10005, Z92-IT10008, Z92-IT10009, Z92-IT10010, Z92-JP10001, Z92-JP10002, Z92-JP10003, Z92-JP10005, Z92-JP10006, Z92-JP10008, Z92-JP10009, Z92-JP10010, Z92-JP10012, Z92-JP10013, Z92-JP10014, Z92-JP10016, Z92-KR10001, Z92-KR10002, Z92-KR10003, Z92-KR10004, Z92-KR10005, Z92-KR10006, Z92-KR10007,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Z92-US10002, Z92-US10005, Z92-US10006, Z92-US10007, Z92-US10008, Z92-US10010, Z92-US10012, Z92-US10013, Z92-US10014, Z92-US10015, Z92-US10020, Z92-US10021, Z92-US10023, Z92-US10024, Z92-US10025, Z92-US10026, Z92-US10029, Z92-US10033, Z92-US10034, Z92-US10037, Z92-US10039, Z92-US10045, Z92-US10057, Z92-US10058, Z92-US10062, Z92-US10063</t>
        </is>
      </c>
      <c r="Q52" s="3" t="inlineStr">
        <is>
          <t>77242113UCO2001</t>
        </is>
      </c>
    </row>
    <row r="53">
      <c r="A53" s="2" t="str">
        <f>HYPERLINK("https://vtmf.veevavault.com/ui/#doc_info/27193301/1/0", "77242113UCO2001-DEU-Z92-DE10002-Relevant Communications-27 Sep 2024 (v1.0)")</f>
        <v>77242113UCO2001-DEU-Z92-DE10002-Relevant Communications-27 Sep 2024 (v1.0)</v>
      </c>
      <c r="B53" s="3" t="inlineStr">
        <is>
          <t>DrugDev API Account</t>
        </is>
      </c>
      <c r="C53" s="3" t="inlineStr">
        <is>
          <t>Trial Management</t>
        </is>
      </c>
      <c r="D53" s="3" t="inlineStr">
        <is>
          <t>General</t>
        </is>
      </c>
      <c r="E53" s="3" t="inlineStr">
        <is>
          <t>Relevant Communications</t>
        </is>
      </c>
      <c r="F53" s="3" t="inlineStr">
        <is>
          <t>Email Blast-77242113UCO2001 Portal: Week 12 Database Lock-27 Sep 2024</t>
        </is>
      </c>
      <c r="G53" s="2" t="str">
        <f>HYPERLINK("https://vtmf.veevavault.com/ui/#doc_info/27193301/1/0", "VTMF-21804559")</f>
        <v>VTMF-21804559</v>
      </c>
      <c r="H53" s="3" t="inlineStr">
        <is>
          <t/>
        </is>
      </c>
      <c r="I53" s="3" t="inlineStr">
        <is>
          <t>System</t>
        </is>
      </c>
      <c r="J53" s="3" t="inlineStr">
        <is>
          <t>DrugDev API Account</t>
        </is>
      </c>
      <c r="K53" s="4" t="n">
        <v>45568.855162037034</v>
      </c>
      <c r="L53" s="5" t="n">
        <v>45569.0</v>
      </c>
      <c r="M53" s="3" t="inlineStr">
        <is>
          <t>Approved</t>
        </is>
      </c>
      <c r="N53" s="3" t="inlineStr">
        <is>
          <t>Country Close, Site Close, Study Close</t>
        </is>
      </c>
      <c r="O53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3" s="3" t="inlineStr">
        <is>
          <t>Z92-AR10001, Z92-AR10002, Z92-AR10004, Z92-AR10006, Z92-AR10007, Z92-AU10002, Z92-AU10005,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Z92-CZ10003, Z92-CZ10004, Z92-CZ10008, Z92-CZ10009, Z92-DE10002, Z92-DE10005, Z92-DE10006, Z92-DE10010, Z92-DE10013, Z92-DE10015, Z92-DE10016, Z92-ES10001, Z92-ES10004, Z92-ES10005, Z92-ES10006, Z92-ES10007, Z92-ES10008, Z92-ES10009, Z92-ES10010, Z92-ES10011, Z92-ES10012, Z92-ES10013, Z92-FR10002, Z92-FR10004, Z92-FR10005, Z92-FR10006, Z92-FR10009, Z92-FR10011, Z92-GB10001, Z92-GB10002, Z92-GB10003, Z92-GB10004, Z92-GB10005, Z92-GB10006, Z92-GB10008, Z92-GB10010, Z92-GB10013, Z92-HU10001, Z92-HU10002, Z92-HU10003, Z92-HU10004, Z92-HU10006, Z92-IN10001, Z92-IN10002, Z92-IN10003, Z92-IN10006, Z92-IT10001, Z92-IT10002, Z92-IT10004, Z92-IT10005, Z92-IT10009, Z92-IT10010, Z92-JP10001, Z92-JP10002, Z92-JP10005, Z92-JP10006, Z92-JP10008, Z92-JP10009, Z92-JP10010, Z92-JP10012, Z92-JP10013,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Z92-US10007, Z92-US10008, Z92-US10012, Z92-US10014, Z92-US10015, Z92-US10020, Z92-US10024, Z92-US10026, Z92-US10029, Z92-US10033, Z92-US10037, Z92-US10039, Z92-US10045, Z92-US10057</t>
        </is>
      </c>
      <c r="Q53" s="3" t="inlineStr">
        <is>
          <t>77242113UCO2001</t>
        </is>
      </c>
    </row>
    <row r="54">
      <c r="A54" s="2" t="str">
        <f>HYPERLINK("https://vtmf.veevavault.com/ui/#doc_info/27331273/1/0", "77242113UCO2001-DEU-Z92-DE10002-Relevant Communications-23 Oct 2024 (v1.0)")</f>
        <v>77242113UCO2001-DEU-Z92-DE10002-Relevant Communications-23 Oct 2024 (v1.0)</v>
      </c>
      <c r="B54" s="3" t="inlineStr">
        <is>
          <t>DrugDev API Account</t>
        </is>
      </c>
      <c r="C54" s="3" t="inlineStr">
        <is>
          <t>Trial Management</t>
        </is>
      </c>
      <c r="D54" s="3" t="inlineStr">
        <is>
          <t>General</t>
        </is>
      </c>
      <c r="E54" s="3" t="inlineStr">
        <is>
          <t>Relevant Communications</t>
        </is>
      </c>
      <c r="F54" s="3" t="inlineStr">
        <is>
          <t>Email Blast-77242113UCO2001 Portal: Database Lock Notification-24 Oct 2024</t>
        </is>
      </c>
      <c r="G54" s="2" t="str">
        <f>HYPERLINK("https://vtmf.veevavault.com/ui/#doc_info/27331273/1/0", "VTMF-21923192")</f>
        <v>VTMF-21923192</v>
      </c>
      <c r="H54" s="3" t="inlineStr">
        <is>
          <t/>
        </is>
      </c>
      <c r="I54" s="3" t="inlineStr">
        <is>
          <t>System</t>
        </is>
      </c>
      <c r="J54" s="3" t="inlineStr">
        <is>
          <t>DrugDev API Account</t>
        </is>
      </c>
      <c r="K54" s="4" t="n">
        <v>45589.85506944444</v>
      </c>
      <c r="L54" s="5" t="n">
        <v>45590.0</v>
      </c>
      <c r="M54" s="3" t="inlineStr">
        <is>
          <t>Approved</t>
        </is>
      </c>
      <c r="N54" s="3" t="inlineStr">
        <is>
          <t>Country Close, Site Close, Study Close</t>
        </is>
      </c>
      <c r="O54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4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Z92-DE10013, Z92-DE10015, Z92-DE10016, Z92-ES10001, Z92-ES10004, Z92-ES10005, Z92-ES10006, Z92-ES10007, Z92-ES10008, Z92-ES10009, Z92-ES10010, Z92-ES10011, Z92-ES10012, Z92-ES10013, Z92-FR10002, Z92-FR10004, Z92-FR10005, Z92-FR10006, Z92-FR10009, Z92-FR10011, Z92-GB10001, Z92-GB10002, Z92-GB10003, Z92-GB10004, Z92-GB10005, Z92-GB10006, Z92-GB10008, Z92-GB10010, Z92-GB10013, Z92-HU10001, Z92-HU10002, Z92-HU10003, Z92-HU10004, Z92-HU10006, Z92-IN10001, Z92-IN10002, Z92-IN10003, Z92-IN10006, Z92-IT10001, Z92-IT10002, Z92-IT10004, Z92-IT10005, Z92-IT10009, Z92-IT10010, Z92-JP10001, Z92-JP10002, Z92-JP10005, Z92-JP10006, Z92-JP10008, Z92-JP10009, Z92-JP10010, Z92-JP10012, Z92-JP10013,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Z92-US10007, Z92-US10008, Z92-US10012, Z92-US10014, Z92-US10015, Z92-US10020, Z92-US10024, Z92-US10026, Z92-US10029, Z92-US10033, Z92-US10037, Z92-US10045, Z92-US10057</t>
        </is>
      </c>
      <c r="Q54" s="3" t="inlineStr">
        <is>
          <t>77242113UCO2001</t>
        </is>
      </c>
    </row>
    <row r="55">
      <c r="A55" s="2" t="str">
        <f>HYPERLINK("https://vtmf.veevavault.com/ui/#doc_info/28294177/1/0", "77242113UCO2001-DEU-Z92-DE10002-Relevant Communications-12 Feb 2025 (v1.0)")</f>
        <v>77242113UCO2001-DEU-Z92-DE10002-Relevant Communications-12 Feb 2025 (v1.0)</v>
      </c>
      <c r="B55" s="3" t="inlineStr">
        <is>
          <t>DrugDev API Account</t>
        </is>
      </c>
      <c r="C55" s="3" t="inlineStr">
        <is>
          <t>Trial Management</t>
        </is>
      </c>
      <c r="D55" s="3" t="inlineStr">
        <is>
          <t>General</t>
        </is>
      </c>
      <c r="E55" s="3" t="inlineStr">
        <is>
          <t>Relevant Communications</t>
        </is>
      </c>
      <c r="F55" s="3" t="inlineStr">
        <is>
          <t>Email Blast-77242113UCO2001 Portal: Week 28 Database Lock!-12 Feb 2025</t>
        </is>
      </c>
      <c r="G55" s="2" t="str">
        <f>HYPERLINK("https://vtmf.veevavault.com/ui/#doc_info/28294177/1/0", "VTMF-22697408")</f>
        <v>VTMF-22697408</v>
      </c>
      <c r="H55" s="3" t="inlineStr">
        <is>
          <t/>
        </is>
      </c>
      <c r="I55" s="3" t="inlineStr">
        <is>
          <t>System</t>
        </is>
      </c>
      <c r="J55" s="3" t="inlineStr">
        <is>
          <t>DrugDev API Account</t>
        </is>
      </c>
      <c r="K55" s="4" t="n">
        <v>45701.813310185185</v>
      </c>
      <c r="L55" s="5" t="n">
        <v>45702.0</v>
      </c>
      <c r="M55" s="3" t="inlineStr">
        <is>
          <t>Approved</t>
        </is>
      </c>
      <c r="N55" s="3" t="inlineStr">
        <is>
          <t>Country Close, Site Close, Study Close</t>
        </is>
      </c>
      <c r="O55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5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Z92-IN10002,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Z92-US10007, Z92-US10014, Z92-US10015, Z92-US10020, Z92-US10024, Z92-US10026, Z92-US10033, Z92-US10037, Z92-US10045</t>
        </is>
      </c>
      <c r="Q55" s="3" t="inlineStr">
        <is>
          <t>77242113UCO2001</t>
        </is>
      </c>
    </row>
    <row r="56">
      <c r="A56" s="2" t="str">
        <f>HYPERLINK("https://vtmf.veevavault.com/ui/#doc_info/28095109/1/0", "77242113UCO2001-DEU-Z92-DE10002-Relevant Communications-14 Jan 2025 (v1.0)")</f>
        <v>77242113UCO2001-DEU-Z92-DE10002-Relevant Communications-14 Jan 2025 (v1.0)</v>
      </c>
      <c r="B56" s="3" t="inlineStr">
        <is>
          <t>DrugDev API Account</t>
        </is>
      </c>
      <c r="C56" s="3" t="inlineStr">
        <is>
          <t>Trial Management</t>
        </is>
      </c>
      <c r="D56" s="3" t="inlineStr">
        <is>
          <t>General</t>
        </is>
      </c>
      <c r="E56" s="3" t="inlineStr">
        <is>
          <t>Relevant Communications</t>
        </is>
      </c>
      <c r="F56" s="3" t="inlineStr">
        <is>
          <t>Email Blast-77242113UCO2001 Portal: Happy New Year and Week 28 Database Lock Reminders-14 Jan 2025</t>
        </is>
      </c>
      <c r="G56" s="2" t="str">
        <f>HYPERLINK("https://vtmf.veevavault.com/ui/#doc_info/28095109/1/0", "VTMF-22531280")</f>
        <v>VTMF-22531280</v>
      </c>
      <c r="H56" s="3" t="inlineStr">
        <is>
          <t/>
        </is>
      </c>
      <c r="I56" s="3" t="inlineStr">
        <is>
          <t>System</t>
        </is>
      </c>
      <c r="J56" s="3" t="inlineStr">
        <is>
          <t>DrugDev API Account</t>
        </is>
      </c>
      <c r="K56" s="4" t="n">
        <v>45673.81334490741</v>
      </c>
      <c r="L56" s="5" t="n">
        <v>45674.0</v>
      </c>
      <c r="M56" s="3" t="inlineStr">
        <is>
          <t>Approved</t>
        </is>
      </c>
      <c r="N56" s="3" t="inlineStr">
        <is>
          <t>Country Close, Site Close, Study Close</t>
        </is>
      </c>
      <c r="O56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6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Z92-IN10002, Z92-IN10003, Z92-IN10006, Z92-IT10001, Z92-IT10002, Z92-IT10004, Z92-IT10005, Z92-IT10009, Z92-IT10010, Z92-JP10002, Z92-JP10005, Z92-JP10006, Z92-JP10008, Z92-JP10009, Z92-JP10010, Z92-JP10012, Z92-JP10014, Z92-JP10016, Z92-KR10001, Z92-KR10002, Z92-KR10004, Z92-KR10006, Z92-MY10001, Z92-MY10002, Z92-MY10004, Z92-PL10001, Z92-PL10002, Z92-PL10003, Z92-PL10005, Z92-PL10007, Z92-PL10008, Z92-PL10009, Z92-PL10010, Z92-PL10012, Z92-PL10016, Z92-RO10003, Z92-RO10005, Z92-RO10006, Z92-RO10007, Z92-TR10001, Z92-TR10002, Z92-TR10003, Z92-TR10004, Z92-US10001, Z92-US10005, Z92-US10006, Z92-US10007, Z92-US10014, Z92-US10015, Z92-US10020, Z92-US10024, Z92-US10026, Z92-US10033, Z92-US10037, Z92-US10045</t>
        </is>
      </c>
      <c r="Q56" s="3" t="inlineStr">
        <is>
          <t>77242113UCO2001</t>
        </is>
      </c>
    </row>
    <row r="57">
      <c r="A57" s="2" t="str">
        <f>HYPERLINK("https://vtmf.veevavault.com/ui/#doc_info/28141767/1/0", "77242113UCO2001-DEU-Z92-DE10002-Relevant Communications-21 Jan 2025 (v1.0)")</f>
        <v>77242113UCO2001-DEU-Z92-DE10002-Relevant Communications-21 Jan 2025 (v1.0)</v>
      </c>
      <c r="B57" s="3" t="inlineStr">
        <is>
          <t>DrugDev API Account</t>
        </is>
      </c>
      <c r="C57" s="3" t="inlineStr">
        <is>
          <t>Trial Management</t>
        </is>
      </c>
      <c r="D57" s="3" t="inlineStr">
        <is>
          <t>General</t>
        </is>
      </c>
      <c r="E57" s="3" t="inlineStr">
        <is>
          <t>Relevant Communications</t>
        </is>
      </c>
      <c r="F57" s="3" t="inlineStr">
        <is>
          <t>Email Blast-77242113UCO2001 Portal: Week 28 Database Lock Updates and Next Steps-21 Jan 2025</t>
        </is>
      </c>
      <c r="G57" s="2" t="str">
        <f>HYPERLINK("https://vtmf.veevavault.com/ui/#doc_info/28141767/1/0", "VTMF-22570240")</f>
        <v>VTMF-22570240</v>
      </c>
      <c r="H57" s="3" t="inlineStr">
        <is>
          <t/>
        </is>
      </c>
      <c r="I57" s="3" t="inlineStr">
        <is>
          <t>System</t>
        </is>
      </c>
      <c r="J57" s="3" t="inlineStr">
        <is>
          <t>DrugDev API Account</t>
        </is>
      </c>
      <c r="K57" s="4" t="n">
        <v>45680.81332175926</v>
      </c>
      <c r="L57" s="5" t="n">
        <v>45681.0</v>
      </c>
      <c r="M57" s="3" t="inlineStr">
        <is>
          <t>Approved</t>
        </is>
      </c>
      <c r="N57" s="3" t="inlineStr">
        <is>
          <t>Country Close, Site Close, Study Close</t>
        </is>
      </c>
      <c r="O57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7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Z92-IN10002, Z92-IN10003, Z92-IN10006, Z92-IT10001, Z92-IT10002, Z92-IT10004, Z92-IT10005, Z92-IT10009, Z92-IT10010, Z92-JP10002, Z92-JP10005, Z92-JP10006, Z92-JP10008, Z92-JP10009, Z92-JP10010, Z92-JP10012, Z92-JP10014, Z92-JP10016, Z92-KR10001, Z92-KR10002, Z92-KR10004, Z92-KR10006, Z92-MY10001, Z92-MY10002, Z92-MY10004, Z92-PL10001, Z92-PL10002, Z92-PL10003, Z92-PL10005, Z92-PL10007, Z92-PL10008, Z92-PL10009, Z92-PL10010, Z92-PL10012, Z92-PL10016, Z92-RO10003, Z92-RO10005, Z92-RO10006, Z92-RO10007, Z92-TR10001, Z92-TR10002, Z92-TR10003, Z92-TR10004, Z92-US10001, Z92-US10005, Z92-US10006, Z92-US10007, Z92-US10014, Z92-US10015, Z92-US10020, Z92-US10024, Z92-US10026, Z92-US10033, Z92-US10037, Z92-US10045</t>
        </is>
      </c>
      <c r="Q57" s="3" t="inlineStr">
        <is>
          <t>77242113UCO2001</t>
        </is>
      </c>
    </row>
    <row r="58">
      <c r="A58" s="2" t="str">
        <f>HYPERLINK("https://vtmf.veevavault.com/ui/#doc_info/27947173/1/0", "77242113UCO2001-DEU-Z92-DE10002-Relevant Communications-18 Dec 2024 (v1.0)")</f>
        <v>77242113UCO2001-DEU-Z92-DE10002-Relevant Communications-18 Dec 2024 (v1.0)</v>
      </c>
      <c r="B58" s="3" t="inlineStr">
        <is>
          <t>DrugDev API Account</t>
        </is>
      </c>
      <c r="C58" s="3" t="inlineStr">
        <is>
          <t>Trial Management</t>
        </is>
      </c>
      <c r="D58" s="3" t="inlineStr">
        <is>
          <t>General</t>
        </is>
      </c>
      <c r="E58" s="3" t="inlineStr">
        <is>
          <t>Relevant Communications</t>
        </is>
      </c>
      <c r="F58" s="3" t="inlineStr">
        <is>
          <t>Email Blast-77242113UCO2001 Portal: Week 28 Database Lock-19 Dec 2024</t>
        </is>
      </c>
      <c r="G58" s="2" t="str">
        <f>HYPERLINK("https://vtmf.veevavault.com/ui/#doc_info/27947173/1/0", "VTMF-22406891")</f>
        <v>VTMF-22406891</v>
      </c>
      <c r="H58" s="3" t="inlineStr">
        <is>
          <t/>
        </is>
      </c>
      <c r="I58" s="3" t="inlineStr">
        <is>
          <t>System</t>
        </is>
      </c>
      <c r="J58" s="3" t="inlineStr">
        <is>
          <t>DrugDev API Account</t>
        </is>
      </c>
      <c r="K58" s="4" t="n">
        <v>45645.81353009259</v>
      </c>
      <c r="L58" s="5" t="n">
        <v>45646.0</v>
      </c>
      <c r="M58" s="3" t="inlineStr">
        <is>
          <t>Approved</t>
        </is>
      </c>
      <c r="N58" s="3" t="inlineStr">
        <is>
          <t>Country Close, Site Close, Study Close</t>
        </is>
      </c>
      <c r="O58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8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Z92-IN10002, Z92-IN10003, Z92-IN10006, Z92-IT10001, Z92-IT10002, Z92-IT10004, Z92-IT10005, Z92-IT10009, Z92-IT10010, Z92-JP10002,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Z92-US10007, Z92-US10008, Z92-US10012, Z92-US10014, Z92-US10015, Z92-US10020, Z92-US10024, Z92-US10026, Z92-US10033, Z92-US10037, Z92-US10045, Z92-US10057</t>
        </is>
      </c>
      <c r="Q58" s="3" t="inlineStr">
        <is>
          <t>77242113UCO2001</t>
        </is>
      </c>
    </row>
    <row r="59">
      <c r="A59" s="2" t="str">
        <f>HYPERLINK("https://vtmf.veevavault.com/ui/#doc_info/27767120/1/0", "77242113UCO2001-DEU-Z92-DE10002-Relevant Communications-27 Nov 2024 (v1.0)")</f>
        <v>77242113UCO2001-DEU-Z92-DE10002-Relevant Communications-27 Nov 2024 (v1.0)</v>
      </c>
      <c r="B59" s="3" t="inlineStr">
        <is>
          <t>DrugDev API Account</t>
        </is>
      </c>
      <c r="C59" s="3" t="inlineStr">
        <is>
          <t>Trial Management</t>
        </is>
      </c>
      <c r="D59" s="3" t="inlineStr">
        <is>
          <t>General</t>
        </is>
      </c>
      <c r="E59" s="3" t="inlineStr">
        <is>
          <t>Relevant Communications</t>
        </is>
      </c>
      <c r="F59" s="3" t="inlineStr">
        <is>
          <t>Email Blast-77242113UCO2001 Portal: Newsletter Third Edition, November 2024-28 Nov 2024</t>
        </is>
      </c>
      <c r="G59" s="2" t="str">
        <f>HYPERLINK("https://vtmf.veevavault.com/ui/#doc_info/27767120/1/0", "VTMF-22264875")</f>
        <v>VTMF-22264875</v>
      </c>
      <c r="H59" s="3" t="inlineStr">
        <is>
          <t/>
        </is>
      </c>
      <c r="I59" s="3" t="inlineStr">
        <is>
          <t>System</t>
        </is>
      </c>
      <c r="J59" s="3" t="inlineStr">
        <is>
          <t>DrugDev API Account</t>
        </is>
      </c>
      <c r="K59" s="4" t="n">
        <v>45624.81332175926</v>
      </c>
      <c r="L59" s="5" t="n">
        <v>45625.0</v>
      </c>
      <c r="M59" s="3" t="inlineStr">
        <is>
          <t>Approved</t>
        </is>
      </c>
      <c r="N59" s="3" t="inlineStr">
        <is>
          <t>Country Close, Site Close, Study Close</t>
        </is>
      </c>
      <c r="O59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59" s="3" t="inlineStr">
        <is>
          <t>Z92-AR10001, Z92-AR10002, Z92-AR10004, Z92-AR10006, Z92-AR10007, Z92-AU10002, Z92-AU10005, Z92-AU10007, Z92-BE10001, Z92-BE10004, Z92-BE10006,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Z92-ES10008, Z92-ES10009, Z92-ES10010, Z92-ES10011, Z92-ES10012, Z92-ES10013, Z92-FR10002, Z92-FR10004, Z92-FR10005, Z92-FR10006, Z92-FR10009, Z92-FR10011, Z92-GB10001, Z92-GB10002, Z92-GB10003, Z92-GB10004, Z92-GB10005, Z92-GB10008, Z92-GB10010, Z92-GB10013, Z92-HU10001, Z92-HU10002, Z92-HU10003, Z92-HU10004, Z92-HU10006, Z92-IN10001, Z92-IN10002, Z92-IN10003, Z92-IN10006, Z92-IT10001, Z92-IT10002, Z92-IT10004, Z92-IT10005, Z92-IT10009, Z92-IT10010, Z92-JP10002, Z92-JP10005, Z92-JP10006, Z92-JP10008, Z92-JP10009, Z92-JP10010, Z92-JP10012, Z92-JP10013,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Z92-US10007, Z92-US10008, Z92-US10012, Z92-US10014, Z92-US10015, Z92-US10020, Z92-US10024, Z92-US10026, Z92-US10033, Z92-US10037, Z92-US10045, Z92-US10057</t>
        </is>
      </c>
      <c r="Q59" s="3" t="inlineStr">
        <is>
          <t>77242113UCO2001</t>
        </is>
      </c>
    </row>
    <row r="60">
      <c r="A60" s="2" t="str">
        <f>HYPERLINK("https://vtmf.veevavault.com/ui/#doc_info/28853819/1/0", "77242113UCO2001-DEU-Z92-DE10002-Relevant Communications-04 Apr 2025 (v1.0)")</f>
        <v>77242113UCO2001-DEU-Z92-DE10002-Relevant Communications-04 Apr 2025 (v1.0)</v>
      </c>
      <c r="B60" s="3" t="inlineStr">
        <is>
          <t>DrugDev API Account</t>
        </is>
      </c>
      <c r="C60" s="3" t="inlineStr">
        <is>
          <t>Trial Management</t>
        </is>
      </c>
      <c r="D60" s="3" t="inlineStr">
        <is>
          <t>General</t>
        </is>
      </c>
      <c r="E60" s="3" t="inlineStr">
        <is>
          <t>Relevant Communications</t>
        </is>
      </c>
      <c r="F60" s="3" t="inlineStr">
        <is>
          <t>Email Blast-77242113UCO2001 Portal: Topline results from the Phase 2b ANTHEM-UC study-04 Apr 2025</t>
        </is>
      </c>
      <c r="G60" s="2" t="str">
        <f>HYPERLINK("https://vtmf.veevavault.com/ui/#doc_info/28853819/1/0", "VTMF-23184386")</f>
        <v>VTMF-23184386</v>
      </c>
      <c r="H60" s="3" t="inlineStr">
        <is>
          <t/>
        </is>
      </c>
      <c r="I60" s="3" t="inlineStr">
        <is>
          <t>System</t>
        </is>
      </c>
      <c r="J60" s="3" t="inlineStr">
        <is>
          <t>DrugDev API Account</t>
        </is>
      </c>
      <c r="K60" s="4" t="n">
        <v>45757.85512731481</v>
      </c>
      <c r="L60" s="5" t="n">
        <v>45758.0</v>
      </c>
      <c r="M60" s="3" t="inlineStr">
        <is>
          <t>Approved</t>
        </is>
      </c>
      <c r="N60" s="3" t="inlineStr">
        <is>
          <t>Country Close, Site Close, Study Close</t>
        </is>
      </c>
      <c r="O60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0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Z92-US10014, Z92-US10020, Z92-US10024, Z92-US10033, Z92-US10037, Z92-US10045</t>
        </is>
      </c>
      <c r="Q60" s="3" t="inlineStr">
        <is>
          <t>77242113UCO2001</t>
        </is>
      </c>
    </row>
    <row r="61">
      <c r="A61" s="2" t="str">
        <f>HYPERLINK("https://vtmf.veevavault.com/ui/#doc_info/28712335/1/0", "77242113UCO2001-DEU-Z92-DE10002-Relevant Communications-19 Mar 2025 (v1.0)")</f>
        <v>77242113UCO2001-DEU-Z92-DE10002-Relevant Communications-19 Mar 2025 (v1.0)</v>
      </c>
      <c r="B61" s="3" t="inlineStr">
        <is>
          <t>DrugDev API Account</t>
        </is>
      </c>
      <c r="C61" s="3" t="inlineStr">
        <is>
          <t>Trial Management</t>
        </is>
      </c>
      <c r="D61" s="3" t="inlineStr">
        <is>
          <t>General</t>
        </is>
      </c>
      <c r="E61" s="3" t="inlineStr">
        <is>
          <t>Relevant Communications</t>
        </is>
      </c>
      <c r="F61" s="3" t="inlineStr">
        <is>
          <t>Email Blast-77242113UCO2001 Portal: Newsletter Fourth Edition, March 2025-19 Mar 2025</t>
        </is>
      </c>
      <c r="G61" s="2" t="str">
        <f>HYPERLINK("https://vtmf.veevavault.com/ui/#doc_info/28712335/1/0", "VTMF-23065054")</f>
        <v>VTMF-23065054</v>
      </c>
      <c r="H61" s="3" t="inlineStr">
        <is>
          <t/>
        </is>
      </c>
      <c r="I61" s="3" t="inlineStr">
        <is>
          <t>System</t>
        </is>
      </c>
      <c r="J61" s="3" t="inlineStr">
        <is>
          <t>DrugDev API Account</t>
        </is>
      </c>
      <c r="K61" s="4" t="n">
        <v>45736.81340277778</v>
      </c>
      <c r="L61" s="5" t="n">
        <v>45737.0</v>
      </c>
      <c r="M61" s="3" t="inlineStr">
        <is>
          <t>Approved</t>
        </is>
      </c>
      <c r="N61" s="3" t="inlineStr">
        <is>
          <t>Country Close, Site Close, Study Close</t>
        </is>
      </c>
      <c r="O61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1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Z92-US10014, Z92-US10020, Z92-US10024, Z92-US10033, Z92-US10037, Z92-US10045</t>
        </is>
      </c>
      <c r="Q61" s="3" t="inlineStr">
        <is>
          <t>77242113UCO2001</t>
        </is>
      </c>
    </row>
    <row r="62">
      <c r="A62" s="2" t="str">
        <f>HYPERLINK("https://vtmf.veevavault.com/ui/#doc_info/28804709/1/0", "77242113UCO2001-DEU-Z92-DE10002-Relevant Communications-27 Mar 2025 (v1.0)")</f>
        <v>77242113UCO2001-DEU-Z92-DE10002-Relevant Communications-27 Mar 2025 (v1.0)</v>
      </c>
      <c r="B62" s="3" t="inlineStr">
        <is>
          <t>DrugDev API Account</t>
        </is>
      </c>
      <c r="C62" s="3" t="inlineStr">
        <is>
          <t>Trial Management</t>
        </is>
      </c>
      <c r="D62" s="3" t="inlineStr">
        <is>
          <t>General</t>
        </is>
      </c>
      <c r="E62" s="3" t="inlineStr">
        <is>
          <t>Relevant Communications</t>
        </is>
      </c>
      <c r="F62" s="3" t="inlineStr">
        <is>
          <t>Email Blast-77242113UCO2001 Portal: Unblinding ANTHEM-UC Study-27 Mar 2025</t>
        </is>
      </c>
      <c r="G62" s="2" t="str">
        <f>HYPERLINK("https://vtmf.veevavault.com/ui/#doc_info/28804709/1/0", "VTMF-23143448")</f>
        <v>VTMF-23143448</v>
      </c>
      <c r="H62" s="3" t="inlineStr">
        <is>
          <t/>
        </is>
      </c>
      <c r="I62" s="3" t="inlineStr">
        <is>
          <t>System</t>
        </is>
      </c>
      <c r="J62" s="3" t="inlineStr">
        <is>
          <t>DrugDev API Account</t>
        </is>
      </c>
      <c r="K62" s="4" t="n">
        <v>45750.85517361111</v>
      </c>
      <c r="L62" s="5" t="n">
        <v>45751.0</v>
      </c>
      <c r="M62" s="3" t="inlineStr">
        <is>
          <t>Approved</t>
        </is>
      </c>
      <c r="N62" s="3" t="inlineStr">
        <is>
          <t>Country Close, Site Close, Study Close</t>
        </is>
      </c>
      <c r="O62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2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Z92-ES10006,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Z92-PL10016, Z92-RO10003, Z92-RO10005, Z92-RO10006, Z92-RO10007, Z92-TR10001, Z92-TR10002, Z92-TR10003, Z92-TR10004, Z92-US10001, Z92-US10005, Z92-US10006, Z92-US10014, Z92-US10020, Z92-US10024, Z92-US10033, Z92-US10037, Z92-US10045</t>
        </is>
      </c>
      <c r="Q62" s="3" t="inlineStr">
        <is>
          <t>77242113UCO2001</t>
        </is>
      </c>
    </row>
    <row r="63">
      <c r="A63" s="2" t="str">
        <f>HYPERLINK("https://vtmf.veevavault.com/ui/#doc_info/29183139/1/0", "77242113UCO2001-DEU-Z92-DE10002-Relevant Communications-16 May 2025 (v1.0)")</f>
        <v>77242113UCO2001-DEU-Z92-DE10002-Relevant Communications-16 May 2025 (v1.0)</v>
      </c>
      <c r="B63" s="3" t="inlineStr">
        <is>
          <t>DrugDev API Account</t>
        </is>
      </c>
      <c r="C63" s="3" t="inlineStr">
        <is>
          <t>Trial Management</t>
        </is>
      </c>
      <c r="D63" s="3" t="inlineStr">
        <is>
          <t>General</t>
        </is>
      </c>
      <c r="E63" s="3" t="inlineStr">
        <is>
          <t>Relevant Communications</t>
        </is>
      </c>
      <c r="F63" s="3" t="inlineStr">
        <is>
          <t>Email Blast-77242113UCO2001 Portal: ANTHEM UC meeting: review of data – Please register!-16 May 2025</t>
        </is>
      </c>
      <c r="G63" s="2" t="str">
        <f>HYPERLINK("https://vtmf.veevavault.com/ui/#doc_info/29183139/1/0", "VTMF-23455027")</f>
        <v>VTMF-23455027</v>
      </c>
      <c r="H63" s="3" t="inlineStr">
        <is>
          <t/>
        </is>
      </c>
      <c r="I63" s="3" t="inlineStr">
        <is>
          <t>System</t>
        </is>
      </c>
      <c r="J63" s="3" t="inlineStr">
        <is>
          <t>DrugDev API Account</t>
        </is>
      </c>
      <c r="K63" s="4" t="n">
        <v>45799.854837962965</v>
      </c>
      <c r="L63" s="5" t="n">
        <v>45800.0</v>
      </c>
      <c r="M63" s="3" t="inlineStr">
        <is>
          <t>Approved</t>
        </is>
      </c>
      <c r="N63" s="3" t="inlineStr">
        <is>
          <t>Country Close, Site Close, Study Close</t>
        </is>
      </c>
      <c r="O63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3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Z92-RO10003, Z92-RO10005, Z92-RO10006, Z92-RO10007, Z92-TR10001, Z92-TR10002, Z92-TR10003, Z92-TR10004, Z92-US10001, Z92-US10005, Z92-US10006, Z92-US10007, Z92-US10014, Z92-US10020, Z92-US10024, Z92-US10033, Z92-US10037, Z92-US10045</t>
        </is>
      </c>
      <c r="Q63" s="3" t="inlineStr">
        <is>
          <t>77242113UCO2001</t>
        </is>
      </c>
    </row>
    <row r="64">
      <c r="A64" s="2" t="str">
        <f>HYPERLINK("https://vtmf.veevavault.com/ui/#doc_info/29022982/1/0", "77242113UCO2001-DEU-Z92-DE10002-Relevant Communications-30 Apr 2025 (v1.0)")</f>
        <v>77242113UCO2001-DEU-Z92-DE10002-Relevant Communications-30 Apr 2025 (v1.0)</v>
      </c>
      <c r="B64" s="3" t="inlineStr">
        <is>
          <t>DrugDev API Account</t>
        </is>
      </c>
      <c r="C64" s="3" t="inlineStr">
        <is>
          <t>Trial Management</t>
        </is>
      </c>
      <c r="D64" s="3" t="inlineStr">
        <is>
          <t>General</t>
        </is>
      </c>
      <c r="E64" s="3" t="inlineStr">
        <is>
          <t>Relevant Communications</t>
        </is>
      </c>
      <c r="F64" s="3" t="inlineStr">
        <is>
          <t>Email Blast-77242113UCO2001 Portal: ANTHEM UC meeting: review of data-30 Apr 2025</t>
        </is>
      </c>
      <c r="G64" s="2" t="str">
        <f>HYPERLINK("https://vtmf.veevavault.com/ui/#doc_info/29022982/1/0", "VTMF-23317816")</f>
        <v>VTMF-23317816</v>
      </c>
      <c r="H64" s="3" t="inlineStr">
        <is>
          <t/>
        </is>
      </c>
      <c r="I64" s="3" t="inlineStr">
        <is>
          <t>System</t>
        </is>
      </c>
      <c r="J64" s="3" t="inlineStr">
        <is>
          <t>DrugDev API Account</t>
        </is>
      </c>
      <c r="K64" s="4" t="n">
        <v>45778.85487268519</v>
      </c>
      <c r="L64" s="5" t="n">
        <v>45779.0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4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Z92-CN10003, Z92-CN10004, Z92-CN10005, Z92-CN10007, Z92-CN10008, Z92-CN10010, Z92-CZ10003, Z92-CZ10004, Z92-CZ10008, Z92-CZ10009, Z92-DE10002, Z92-DE10005, Z92-DE10006, Z92-DE10010, Z92-DE10015, Z92-DE10016, Z92-ES10004, Z92-ES10005,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Z92-KR10002, Z92-KR10004, Z92-KR10006, Z92-MY10001, Z92-MY10002, Z92-MY10004, Z92-PL10001, Z92-PL10002, Z92-PL10003, Z92-PL10004, Z92-PL10005, Z92-PL10007, Z92-PL10008, Z92-PL10009, Z92-PL10010, Z92-PL10012, Z92-RO10003, Z92-RO10005, Z92-RO10006, Z92-RO10007, Z92-TR10001, Z92-TR10002, Z92-TR10003, Z92-TR10004, Z92-US10001, Z92-US10005, Z92-US10006, Z92-US10014, Z92-US10020, Z92-US10024, Z92-US10033, Z92-US10037, Z92-US10045</t>
        </is>
      </c>
      <c r="Q64" s="3" t="inlineStr">
        <is>
          <t>77242113UCO2001</t>
        </is>
      </c>
    </row>
    <row r="65">
      <c r="A65" s="2" t="str">
        <f>HYPERLINK("https://vtmf.veevavault.com/ui/#doc_info/29229481/1/0", "77242113UCO2001-DEU-Z92-DE10002-Relevant Communications-29 May 2025 (v1.0)")</f>
        <v>77242113UCO2001-DEU-Z92-DE10002-Relevant Communications-29 May 2025 (v1.0)</v>
      </c>
      <c r="B65" s="3" t="inlineStr">
        <is>
          <t>DrugDev API Account</t>
        </is>
      </c>
      <c r="C65" s="3" t="inlineStr">
        <is>
          <t>Trial Management</t>
        </is>
      </c>
      <c r="D65" s="3" t="inlineStr">
        <is>
          <t>General</t>
        </is>
      </c>
      <c r="E65" s="3" t="inlineStr">
        <is>
          <t>Relevant Communications</t>
        </is>
      </c>
      <c r="F65" s="3" t="inlineStr">
        <is>
          <t>Email Blast-77242113UCO2001 Portal: ANTHEM UC meeting: review of data – Last reminder!-29 May 2025</t>
        </is>
      </c>
      <c r="G65" s="2" t="str">
        <f>HYPERLINK("https://vtmf.veevavault.com/ui/#doc_info/29229481/1/0", "VTMF-23493611")</f>
        <v>VTMF-23493611</v>
      </c>
      <c r="H65" s="3" t="inlineStr">
        <is>
          <t/>
        </is>
      </c>
      <c r="I65" s="3" t="inlineStr">
        <is>
          <t>System</t>
        </is>
      </c>
      <c r="J65" s="3" t="inlineStr">
        <is>
          <t>DrugDev API Account</t>
        </is>
      </c>
      <c r="K65" s="4" t="n">
        <v>45806.8549537037</v>
      </c>
      <c r="L65" s="5" t="n">
        <v>45807.0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5" s="3" t="inlineStr">
        <is>
          <t>Z92-AR10001, Z92-AR10002, Z92-AR10004, Z92-AR10006, Z92-AR10007, Z92-AU10002, Z92-AU10005, Z92-AU10007, Z92-BE10001, Z92-BE10004, Z92-BE10007, Z92-BR10008, Z92-BR10009, Z92-BR10010, Z92-BR10016, Z92-BR10017, Z92-BR10020, Z92-BR10021, Z92-BR10026, Z92-CA10001, Z92-CA10005, Z92-CA10007, Z92-CA10008, Z92-CN10001, Z92-CN10002, Z92-CN10004, Z92-CN10005, Z92-CN10007, Z92-CN10008, Z92-CN10010, Z92-CZ10003, Z92-CZ10004, Z92-CZ10008, Z92-CZ10009, Z92-DE10002, Z92-DE10005, Z92-DE10006, Z92-DE10010, Z92-DE10015, Z92-DE10016, Z92-ES10004, Z92-ES10005, Z92-ES10007, Z92-ES10009, Z92-ES10010, Z92-ES10011, Z92-ES10012, Z92-FR10002, Z92-FR10004, Z92-FR10005, Z92-FR10006, Z92-FR10009, Z92-FR10011, Z92-GB10001, Z92-GB10002, Z92-GB10003, Z92-GB10004, Z92-GB10005, Z92-GB10008, Z92-GB10013, Z92-HU10001, Z92-HU10004, Z92-HU10006, Z92-IN10001, Z92-IN10003, Z92-IN10006, Z92-IT10001, Z92-IT10002, Z92-IT10004, Z92-IT10005, Z92-IT10009, Z92-IT10010, Z92-JP10005, Z92-JP10006, Z92-JP10008, Z92-JP10009, Z92-JP10010, Z92-JP10012, Z92-JP10014, Z92-JP10016, Z92-KR10001, Z92-KR10004, Z92-KR10006, Z92-MY10001, Z92-MY10002, Z92-MY10004, Z92-PL10001, Z92-PL10002, Z92-PL10003, Z92-PL10004, Z92-PL10005, Z92-PL10007, Z92-PL10008, Z92-PL10009, Z92-PL10010, Z92-PL10012, Z92-RO10003, Z92-RO10005, Z92-RO10006, Z92-RO10007, Z92-TR10001, Z92-TR10002, Z92-TR10003, Z92-TR10004, Z92-US10001, Z92-US10005, Z92-US10006, Z92-US10007, Z92-US10014, Z92-US10020, Z92-US10033, Z92-US10037, Z92-US10045</t>
        </is>
      </c>
      <c r="Q65" s="3" t="inlineStr">
        <is>
          <t>77242113UCO2001</t>
        </is>
      </c>
    </row>
    <row r="66">
      <c r="A66" s="2" t="str">
        <f>HYPERLINK("https://vtmf.veevavault.com/ui/#doc_info/30221760/1/0", "77242113UCO2001-DEU-Z92-DE10002-Relevant Communications-21 Oct 2025 (v1.0)")</f>
        <v>77242113UCO2001-DEU-Z92-DE10002-Relevant Communications-21 Oct 2025 (v1.0)</v>
      </c>
      <c r="B66" s="3" t="inlineStr">
        <is>
          <t>DrugDev API Account</t>
        </is>
      </c>
      <c r="C66" s="3" t="inlineStr">
        <is>
          <t>Trial Management</t>
        </is>
      </c>
      <c r="D66" s="3" t="inlineStr">
        <is>
          <t>General</t>
        </is>
      </c>
      <c r="E66" s="3" t="inlineStr">
        <is>
          <t>Relevant Communications</t>
        </is>
      </c>
      <c r="F66" s="3" t="inlineStr">
        <is>
          <t>Email Blast-77242113UCO2001 Portal: Almac/IWRS System "No completion" visit error-22 Oct 2025</t>
        </is>
      </c>
      <c r="G66" s="2" t="str">
        <f>HYPERLINK("https://vtmf.veevavault.com/ui/#doc_info/30221760/1/0", "VTMF-24334585")</f>
        <v>VTMF-24334585</v>
      </c>
      <c r="H66" s="3" t="inlineStr">
        <is>
          <t/>
        </is>
      </c>
      <c r="I66" s="3" t="inlineStr">
        <is>
          <t>System</t>
        </is>
      </c>
      <c r="J66" s="3" t="inlineStr">
        <is>
          <t>DrugDev API Account</t>
        </is>
      </c>
      <c r="K66" s="4" t="n">
        <v>45953.85465277778</v>
      </c>
      <c r="L66" s="5" t="n">
        <v>45954.0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6" s="3" t="inlineStr">
        <is>
          <t>Z92-AR10001, Z92-AR10002, Z92-AR10004, Z92-AR10007, Z92-AU10002, Z92-AU10005, Z92-AU10007, Z92-BE10007, Z92-BR10008, Z92-BR10009, Z92-BR10016, Z92-BR10017, Z92-BR10020, Z92-BR10021, Z92-BR10026, Z92-CA10005, Z92-CA10007, Z92-CN10001, Z92-CN10002, Z92-CN10004, Z92-CN10005, Z92-CN10007, Z92-CN10008, Z92-CN10010, Z92-CZ10003, Z92-CZ10004, Z92-CZ10008, Z92-CZ10009, Z92-DE10002, Z92-DE10005, Z92-DE10006, Z92-DE10010, Z92-DE10015, Z92-DE10016, Z92-ES10004, Z92-ES10005, Z92-ES10007, Z92-ES10009, Z92-ES10011, Z92-FR10002, Z92-FR10004, Z92-FR10006, Z92-FR10009, Z92-FR10011, Z92-GB10001, Z92-GB10002, Z92-GB10003, Z92-GB10004, Z92-GB10005, Z92-GB10008, Z92-HU10001, Z92-HU10004, Z92-HU10006, Z92-IN10001, Z92-IN10003, Z92-IN10006, Z92-IT10001, Z92-IT10002, Z92-IT10004, Z92-IT10005, Z92-IT10009, Z92-IT10010, Z92-JP10005, Z92-JP10006, Z92-JP10008, Z92-JP10009, Z92-JP10010, Z92-JP10012, Z92-JP10014, Z92-JP10016, Z92-KR10004, Z92-KR10006, Z92-MY10001, Z92-MY10002, Z92-MY10004, Z92-PL10001, Z92-PL10002, Z92-PL10003, Z92-PL10005, Z92-PL10007, Z92-PL10008, Z92-PL10009, Z92-PL10010, Z92-PL10012, Z92-RO10003, Z92-RO10005, Z92-RO10006, Z92-RO10007, Z92-TR10001, Z92-TR10002, Z92-TR10004, Z92-US10001, Z92-US10005, Z92-US10006, Z92-US10014, Z92-US10020, Z92-US10033, Z92-US10037</t>
        </is>
      </c>
      <c r="Q66" s="3" t="inlineStr">
        <is>
          <t>77242113UCO2001</t>
        </is>
      </c>
    </row>
    <row r="67">
      <c r="A67" s="2" t="str">
        <f>HYPERLINK("https://vtmf.veevavault.com/ui/#doc_info/30321401/1/0", "77242113UCO2001-DEU-Z92-DE10002-Relevant Communications-31 Oct 2025 (v1.0)")</f>
        <v>77242113UCO2001-DEU-Z92-DE10002-Relevant Communications-31 Oct 2025 (v1.0)</v>
      </c>
      <c r="B67" s="3" t="inlineStr">
        <is>
          <t>DrugDev API Account</t>
        </is>
      </c>
      <c r="C67" s="3" t="inlineStr">
        <is>
          <t>Trial Management</t>
        </is>
      </c>
      <c r="D67" s="3" t="inlineStr">
        <is>
          <t>General</t>
        </is>
      </c>
      <c r="E67" s="3" t="inlineStr">
        <is>
          <t>Relevant Communications</t>
        </is>
      </c>
      <c r="F67" s="3" t="inlineStr">
        <is>
          <t>Email Blast-77242113UCO2001 Portal: Database Lock Timelines!-31 Oct 2025</t>
        </is>
      </c>
      <c r="G67" s="2" t="str">
        <f>HYPERLINK("https://vtmf.veevavault.com/ui/#doc_info/30321401/1/0", "VTMF-24418222")</f>
        <v>VTMF-24418222</v>
      </c>
      <c r="H67" s="3" t="inlineStr">
        <is>
          <t/>
        </is>
      </c>
      <c r="I67" s="3" t="inlineStr">
        <is>
          <t>System</t>
        </is>
      </c>
      <c r="J67" s="3" t="inlineStr">
        <is>
          <t>DrugDev API Account</t>
        </is>
      </c>
      <c r="K67" s="4" t="n">
        <v>45967.81297453704</v>
      </c>
      <c r="L67" s="5" t="n">
        <v>45968.0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7" s="3" t="inlineStr">
        <is>
          <t>Z92-AR10001, Z92-AR10002, Z92-AR10004, Z92-AR10007, Z92-AU10002, Z92-AU10005, Z92-AU10007, Z92-BE10007, Z92-BR10008, Z92-BR10009, Z92-BR10016, Z92-BR10017, Z92-BR10020, Z92-BR10021, Z92-BR10026, Z92-CA10005, Z92-CA10007, Z92-CN10001, Z92-CN10002, Z92-CN10004, Z92-CN10005, Z92-CN10007, Z92-CN10008, Z92-CN10010, Z92-CZ10003, Z92-CZ10004, Z92-CZ10008, Z92-CZ10009, Z92-DE10002, Z92-DE10005, Z92-DE10006, Z92-DE10010, Z92-DE10015, Z92-DE10016, Z92-ES10004, Z92-ES10005, Z92-ES10007, Z92-ES10009, Z92-ES10011, Z92-FR10002, Z92-FR10004, Z92-FR10006, Z92-FR10009, Z92-FR10011, Z92-GB10001, Z92-GB10002, Z92-GB10003, Z92-GB10004, Z92-GB10005, Z92-GB10008, Z92-HU10001, Z92-HU10004, Z92-HU10006, Z92-IN10001, Z92-IN10003, Z92-IN10006, Z92-IT10001, Z92-IT10002, Z92-IT10004, Z92-IT10005, Z92-IT10009, Z92-IT10010, Z92-JP10005, Z92-JP10006, Z92-JP10008, Z92-JP10009, Z92-JP10010, Z92-JP10012, Z92-JP10014, Z92-JP10016, Z92-KR10004, Z92-KR10006, Z92-MY10001, Z92-MY10002, Z92-MY10004, Z92-PL10001, Z92-PL10002, Z92-PL10003, Z92-PL10005, Z92-PL10007, Z92-PL10008, Z92-PL10009, Z92-PL10010, Z92-PL10012, Z92-RO10003, Z92-RO10005, Z92-RO10006, Z92-RO10007, Z92-TR10001, Z92-TR10002, Z92-TR10004, Z92-US10001, Z92-US10005, Z92-US10006, Z92-US10014, Z92-US10020, Z92-US10033, Z92-US10037</t>
        </is>
      </c>
      <c r="Q67" s="3" t="inlineStr">
        <is>
          <t>77242113UCO2001</t>
        </is>
      </c>
    </row>
    <row r="68">
      <c r="A68" s="2" t="str">
        <f>HYPERLINK("https://vtmf.veevavault.com/ui/#doc_info/25347854/1/0", "77242113UCO2001-DEU-Z92-DE10006-Relevant Communications-08 Dec 2023 (v1.0)")</f>
        <v>77242113UCO2001-DEU-Z92-DE10006-Relevant Communications-08 Dec 2023 (v1.0)</v>
      </c>
      <c r="B68" s="3" t="inlineStr">
        <is>
          <t>DrugDev API Account</t>
        </is>
      </c>
      <c r="C68" s="3" t="inlineStr">
        <is>
          <t>Trial Management</t>
        </is>
      </c>
      <c r="D68" s="3" t="inlineStr">
        <is>
          <t>General</t>
        </is>
      </c>
      <c r="E68" s="3" t="inlineStr">
        <is>
          <t>Relevant Communications</t>
        </is>
      </c>
      <c r="F68" s="3" t="inlineStr">
        <is>
          <t>Email Blast-77242113UCO2001 Portal: Upcoming IUS training on Dec 15th -08 Dec 2023</t>
        </is>
      </c>
      <c r="G68" s="2" t="str">
        <f>HYPERLINK("https://vtmf.veevavault.com/ui/#doc_info/25347854/1/0", "VTMF-20207244")</f>
        <v>VTMF-20207244</v>
      </c>
      <c r="H68" s="3" t="inlineStr">
        <is>
          <t/>
        </is>
      </c>
      <c r="I68" s="3" t="inlineStr">
        <is>
          <t>Anthony Suarez (veeva.com)</t>
        </is>
      </c>
      <c r="J68" s="3" t="inlineStr">
        <is>
          <t>DrugDev API Account</t>
        </is>
      </c>
      <c r="K68" s="4" t="n">
        <v>45274.81332175926</v>
      </c>
      <c r="L68" s="5" t="n">
        <v>45275.0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Argentina, Australia, Belgium, Brazil, China, Czech Republic, Germany, India, Italy, Japan, Korea (the Republic of), Mexico, Poland, Romania, Spain, Türkiye, United States</t>
        </is>
      </c>
      <c r="P68" s="3" t="inlineStr">
        <is>
          <t>Z92-AR10001, Z92-AR10002, Z92-AR10007, Z92-AU10006, Z92-BE10001, Z92-BE10002, Z92-BE10004, Z92-BE10007, Z92-BE10008, Z92-BR10009, Z92-BR10010, Z92-BR10017, Z92-BR10021, Z92-CN10002, Z92-CN10003, Z92-CN10004, Z92-CN10005, Z92-CN10007, Z92-CN10008, Z92-CN10011, Z92-CN10012, Z92-CN10013, Z92-CN10014, Z92-CZ10004, Z92-CZ10007, Z92-CZ10008, Z92-DE10006, Z92-DE10010, Z92-DE10011, Z92-DE10016, Z92-ES10003, Z92-ES10007, Z92-ES10008, Z92-ES10010, Z92-ES10013, Z92-IN10001, Z92-IN10003, Z92-IT10001, Z92-IT10002, Z92-IT10004, Z92-IT10005, Z92-IT10006, Z92-IT10007, Z92-IT10008, Z92-IT10009, Z92-JP10002, Z92-JP10008, Z92-JP10016, Z92-JP10017, Z92-KR10007, Z92-MX10003, Z92-PL10001, Z92-PL10003, Z92-PL10004, Z92-PL10008, Z92-PL10009, Z92-PL10016, Z92-RO10003, Z92-RO10006, Z92-RO10007, Z92-TR10002, Z92-TR10003, Z92-TR10004, Z92-US10058, Z92-US10062</t>
        </is>
      </c>
      <c r="Q68" s="3" t="inlineStr">
        <is>
          <t>77242113UCO2001</t>
        </is>
      </c>
    </row>
    <row r="69">
      <c r="A69" s="2" t="str">
        <f>HYPERLINK("https://vtmf.veevavault.com/ui/#doc_info/30529504/1/0", "77242113UCO2001-DEU-Z92-DE10002-Relevant Communications-01 Dec 2025 (v1.0)")</f>
        <v>77242113UCO2001-DEU-Z92-DE10002-Relevant Communications-01 Dec 2025 (v1.0)</v>
      </c>
      <c r="B69" s="3" t="inlineStr">
        <is>
          <t>DrugDev API Account</t>
        </is>
      </c>
      <c r="C69" s="3" t="inlineStr">
        <is>
          <t>Trial Management</t>
        </is>
      </c>
      <c r="D69" s="3" t="inlineStr">
        <is>
          <t>General</t>
        </is>
      </c>
      <c r="E69" s="3" t="inlineStr">
        <is>
          <t>Relevant Communications</t>
        </is>
      </c>
      <c r="F69" s="3" t="inlineStr">
        <is>
          <t>Email Blast-77242113UCO2001 Portal: Do Not Collect Biological Samples at Week-78 Visit-02 Dec 2025</t>
        </is>
      </c>
      <c r="G69" s="2" t="str">
        <f>HYPERLINK("https://vtmf.veevavault.com/ui/#doc_info/30529504/1/0", "VTMF-24595525")</f>
        <v>VTMF-24595525</v>
      </c>
      <c r="H69" s="3" t="inlineStr">
        <is>
          <t/>
        </is>
      </c>
      <c r="I69" s="3" t="inlineStr">
        <is>
          <t>System</t>
        </is>
      </c>
      <c r="J69" s="3" t="inlineStr">
        <is>
          <t>DrugDev API Account</t>
        </is>
      </c>
      <c r="K69" s="4" t="n">
        <v>45994.93204861111</v>
      </c>
      <c r="L69" s="5" t="n">
        <v>45995.0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69" s="3" t="inlineStr">
        <is>
          <t>Z92-AR10001, Z92-AR10002, Z92-AU10005, Z92-AU10007, Z92-BE10007, Z92-BR10008, Z92-BR10009, Z92-BR10016, Z92-BR10017, Z92-BR10020, Z92-BR10021, Z92-BR10026, Z92-CA10005, Z92-CA10007, Z92-CN10001, Z92-CN10002, Z92-CN10004, Z92-CN10005, Z92-CN10007, Z92-CN10008, Z92-CN10010, Z92-CZ10003, Z92-CZ10004, Z92-CZ10008, Z92-CZ10009, Z92-DE10002, Z92-DE10005, Z92-DE10006, Z92-DE10015, Z92-DE10016, Z92-ES10004, Z92-ES10005, Z92-ES10007, Z92-ES10009, Z92-ES10011, Z92-FR10002, Z92-FR10004, Z92-FR10006, Z92-FR10009, Z92-FR10011, Z92-GB10001, Z92-GB10002, Z92-GB10003, Z92-GB10004, Z92-GB10005, Z92-GB10008, Z92-HU10001, Z92-HU10004, Z92-HU10006, Z92-IN10001, Z92-IN10003, Z92-IN10006, Z92-IT10001, Z92-IT10002, Z92-IT10004, Z92-IT10005, Z92-IT10009, Z92-IT10010, Z92-JP10005, Z92-JP10006, Z92-JP10008, Z92-JP10009, Z92-JP10010, Z92-JP10012, Z92-JP10014, Z92-JP10016, Z92-KR10004, Z92-KR10006, Z92-MY10001, Z92-MY10002, Z92-MY10004, Z92-PL10001, Z92-PL10002, Z92-PL10003, Z92-PL10005, Z92-PL10007, Z92-PL10008, Z92-PL10009, Z92-PL10010, Z92-PL10012, Z92-RO10003, Z92-RO10005, Z92-RO10006, Z92-RO10007, Z92-TR10001, Z92-TR10002, Z92-TR10004, Z92-US10001, Z92-US10005, Z92-US10006, Z92-US10014, Z92-US10020, Z92-US10033, Z92-US10037</t>
        </is>
      </c>
      <c r="Q69" s="3" t="inlineStr">
        <is>
          <t>77242113UCO2001</t>
        </is>
      </c>
    </row>
    <row r="70">
      <c r="A70" s="2" t="str">
        <f>HYPERLINK("https://vtmf.veevavault.com/ui/#doc_info/30679111/1/0", "77242113UCO2001-DEU-Z92-DE10002-Relevant Communications-22 Dec 2025 (v1.0)")</f>
        <v>77242113UCO2001-DEU-Z92-DE10002-Relevant Communications-22 Dec 2025 (v1.0)</v>
      </c>
      <c r="B70" s="3" t="inlineStr">
        <is>
          <t>DrugDev API Account</t>
        </is>
      </c>
      <c r="C70" s="3" t="inlineStr">
        <is>
          <t>Trial Management</t>
        </is>
      </c>
      <c r="D70" s="3" t="inlineStr">
        <is>
          <t>General</t>
        </is>
      </c>
      <c r="E70" s="3" t="inlineStr">
        <is>
          <t>Relevant Communications</t>
        </is>
      </c>
      <c r="F70" s="3" t="inlineStr">
        <is>
          <t>Email Blast-77242113UCO2001 Portal: Immediate Action Required – Discard Biopsy Samples and SFU Kits On-Site-22 Dec 2025</t>
        </is>
      </c>
      <c r="G70" s="2" t="str">
        <f>HYPERLINK("https://vtmf.veevavault.com/ui/#doc_info/30679111/1/0", "VTMF-24722275")</f>
        <v>VTMF-24722275</v>
      </c>
      <c r="H70" s="3" t="inlineStr">
        <is>
          <t/>
        </is>
      </c>
      <c r="I70" s="3" t="inlineStr">
        <is>
          <t>System</t>
        </is>
      </c>
      <c r="J70" s="3" t="inlineStr">
        <is>
          <t>DrugDev API Account</t>
        </is>
      </c>
      <c r="K70" s="4" t="n">
        <v>46016.81302083333</v>
      </c>
      <c r="L70" s="5" t="n">
        <v>46017.0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70" s="3" t="inlineStr">
        <is>
          <t>Z92-AR10001, Z92-AR10002, Z92-AU10005, Z92-AU10007, Z92-BE10007, Z92-BR10008, Z92-BR10009, Z92-BR10016, Z92-BR10017, Z92-BR10020, Z92-BR10021, Z92-BR10026, Z92-CA10005, Z92-CA10007, Z92-CN10001, Z92-CN10002, Z92-CN10004, Z92-CN10005, Z92-CN10007, Z92-CN10008, Z92-CN10010, Z92-CZ10003, Z92-CZ10004, Z92-CZ10008, Z92-CZ10009, Z92-DE10002, Z92-DE10005, Z92-DE10006, Z92-DE10015, Z92-DE10016, Z92-ES10004, Z92-ES10005, Z92-ES10007, Z92-ES10009, Z92-ES10011, Z92-FR10002, Z92-FR10004, Z92-FR10006, Z92-FR10009, Z92-FR10011, Z92-GB10001, Z92-GB10002, Z92-GB10003, Z92-GB10004, Z92-GB10005, Z92-GB10008, Z92-HU10001, Z92-HU10004, Z92-HU10006, Z92-IN10001, Z92-IN10003, Z92-IN10006, Z92-IT10001, Z92-IT10002, Z92-IT10004, Z92-IT10005, Z92-IT10009, Z92-IT10010, Z92-JP10005, Z92-JP10006, Z92-JP10008, Z92-JP10009, Z92-JP10010, Z92-JP10012, Z92-JP10014, Z92-JP10016, Z92-KR10004, Z92-KR10006, Z92-MY10001, Z92-MY10002, Z92-MY10004, Z92-PL10001, Z92-PL10002, Z92-PL10003, Z92-PL10005, Z92-PL10007, Z92-PL10008, Z92-PL10009, Z92-PL10010, Z92-PL10012, Z92-RO10003, Z92-RO10005, Z92-RO10006, Z92-RO10007, Z92-TR10001, Z92-TR10002, Z92-TR10004, Z92-US10001, Z92-US10005, Z92-US10006, Z92-US10014, Z92-US10020, Z92-US10033, Z92-US10037</t>
        </is>
      </c>
      <c r="Q70" s="3" t="inlineStr">
        <is>
          <t>77242113UCO2001</t>
        </is>
      </c>
    </row>
    <row r="71">
      <c r="A71" s="2" t="str">
        <f>HYPERLINK("https://vtmf.veevavault.com/ui/#doc_info/30980377/1/0", "77242113UCO2001-DEU-Z92-DE10002-Relevant Communications-11 Feb 2026 (v1.0)")</f>
        <v>77242113UCO2001-DEU-Z92-DE10002-Relevant Communications-11 Feb 2026 (v1.0)</v>
      </c>
      <c r="B71" s="3" t="inlineStr">
        <is>
          <t>DrugDev API Account</t>
        </is>
      </c>
      <c r="C71" s="3" t="inlineStr">
        <is>
          <t>Trial Management</t>
        </is>
      </c>
      <c r="D71" s="3" t="inlineStr">
        <is>
          <t>General</t>
        </is>
      </c>
      <c r="E71" s="3" t="inlineStr">
        <is>
          <t>Relevant Communications</t>
        </is>
      </c>
      <c r="F71" s="3" t="inlineStr">
        <is>
          <t>Email Blast-77242113UCO2001 Portal: Congratulations!-11 Feb 2026</t>
        </is>
      </c>
      <c r="G71" s="2" t="str">
        <f>HYPERLINK("https://vtmf.veevavault.com/ui/#doc_info/30980377/1/0", "VTMF-24972161")</f>
        <v>VTMF-24972161</v>
      </c>
      <c r="H71" s="3" t="inlineStr">
        <is>
          <t/>
        </is>
      </c>
      <c r="I71" s="3" t="inlineStr">
        <is>
          <t>System</t>
        </is>
      </c>
      <c r="J71" s="3" t="inlineStr">
        <is>
          <t>DrugDev API Account</t>
        </is>
      </c>
      <c r="K71" s="4" t="n">
        <v>46065.81302083333</v>
      </c>
      <c r="L71" s="5" t="n">
        <v>46066.0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Argentina, Australia, Belgium, Brazil, Canada, China, Czech Republic, France, Germany, Hungary, India, Italy, Japan, Korea (the Republic of), Malaysia, Poland, Romania, Spain, Türkiye, United Kingdom, United States</t>
        </is>
      </c>
      <c r="P71" s="3" t="inlineStr">
        <is>
          <t>Z92-AR10001, Z92-AR10002, Z92-AU10005, Z92-AU10007, Z92-BE10007, Z92-BR10008, Z92-BR10009, Z92-BR10016, Z92-BR10017, Z92-BR10020, Z92-BR10021, Z92-BR10026, Z92-CA10005, Z92-CA10007, Z92-CN10001, Z92-CN10002, Z92-CN10004, Z92-CN10005, Z92-CN10008, Z92-CN10010, Z92-CZ10003, Z92-CZ10004, Z92-CZ10008, Z92-CZ10009, Z92-DE10002, Z92-DE10005, Z92-DE10006, Z92-DE10016, Z92-ES10004, Z92-ES10005, Z92-ES10007, Z92-ES10009, Z92-ES10011, Z92-FR10002, Z92-FR10004, Z92-FR10006, Z92-FR10009, Z92-FR10011, Z92-GB10001, Z92-GB10002, Z92-GB10003, Z92-GB10004, Z92-GB10005, Z92-GB10008, Z92-HU10001, Z92-HU10004, Z92-HU10006, Z92-IN10001, Z92-IN10003, Z92-IN10006, Z92-IT10001, Z92-IT10002, Z92-IT10004, Z92-IT10005, Z92-IT10009, Z92-IT10010, Z92-JP10005, Z92-JP10006, Z92-JP10008, Z92-JP10009, Z92-JP10010, Z92-JP10012, Z92-JP10014, Z92-JP10016, Z92-KR10004, Z92-KR10006, Z92-MY10001, Z92-MY10002, Z92-MY10004, Z92-PL10001, Z92-PL10002, Z92-PL10003, Z92-PL10005, Z92-PL10007, Z92-PL10008, Z92-PL10009, Z92-PL10010, Z92-PL10012, Z92-RO10003, Z92-RO10005, Z92-RO10006, Z92-RO10007, Z92-TR10001, Z92-TR10002, Z92-US10001, Z92-US10005, Z92-US10006, Z92-US10014, Z92-US10020, Z92-US10033, Z92-US10037</t>
        </is>
      </c>
      <c r="Q71" s="3" t="inlineStr">
        <is>
          <t>77242113UCO2001</t>
        </is>
      </c>
    </row>
    <row r="72">
      <c r="A72" s="2" t="str">
        <f>HYPERLINK("https://vtmf.veevavault.com/ui/#doc_info/24922120/1/0", "77242113UCO2001-DEU-Z92-DE10002-Relevant Communications-29 Sep 2023 (v1.0)")</f>
        <v>77242113UCO2001-DEU-Z92-DE10002-Relevant Communications-29 Sep 2023 (v1.0)</v>
      </c>
      <c r="B72" s="3" t="inlineStr">
        <is>
          <t>DrugDev API Account</t>
        </is>
      </c>
      <c r="C72" s="3" t="inlineStr">
        <is>
          <t>Trial Management</t>
        </is>
      </c>
      <c r="D72" s="3" t="inlineStr">
        <is>
          <t>General</t>
        </is>
      </c>
      <c r="E72" s="3" t="inlineStr">
        <is>
          <t>Relevant Communications</t>
        </is>
      </c>
      <c r="F72" s="3" t="inlineStr">
        <is>
          <t>Email Blast-77242113UCO2001 Portal: First Sites Open!-29 Sep 2023</t>
        </is>
      </c>
      <c r="G72" s="2" t="str">
        <f>HYPERLINK("https://vtmf.veevavault.com/ui/#doc_info/24922120/1/0", "VTMF-19833462")</f>
        <v>VTMF-19833462</v>
      </c>
      <c r="H72" s="3" t="inlineStr">
        <is>
          <t/>
        </is>
      </c>
      <c r="I72" s="3" t="inlineStr">
        <is>
          <t>Anthony Suarez (veeva.com)</t>
        </is>
      </c>
      <c r="J72" s="3" t="inlineStr">
        <is>
          <t>DrugDev API Account</t>
        </is>
      </c>
      <c r="K72" s="4" t="n">
        <v>45204.855104166665</v>
      </c>
      <c r="L72" s="5" t="n">
        <v>45205.0</v>
      </c>
      <c r="M72" s="3" t="inlineStr">
        <is>
          <t>Approved</t>
        </is>
      </c>
      <c r="N72" s="3" t="inlineStr">
        <is>
          <t>Country Close, Site Close, Study Close</t>
        </is>
      </c>
      <c r="O72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72" s="3" t="inlineStr">
        <is>
          <t>Z92-AR10001,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Z92-CN10006, Z92-CN10007, Z92-CN10008, Z92-CN10010, Z92-CN10011, Z92-CN10012, Z92-CN10013, Z92-CZ10003, Z92-CZ10004, Z92-CZ10007, Z92-CZ10008, Z92-CZ10009, Z92-DE10002, Z92-DE10003,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Z92-PL10011,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Z92-US10020, Z92-US10021, Z92-US10024, Z92-US10025, Z92-US10026, Z92-US10027, Z92-US10028, Z92-US10029, Z92-US10034, Z92-US10035, Z92-US10037, Z92-US10038, Z92-US10039, Z92-US10040, Z92-US10042, Z92-US10044, Z92-US10045, Z92-US10047, Z92-US10048, Z92-US10049, Z92-US10050, Z92-US10054, Z92-US10057, Z92-US10058, Z92-US10061, Z92-US10062, Z92-US10063</t>
        </is>
      </c>
      <c r="Q72" s="3" t="inlineStr">
        <is>
          <t>77242113UCO2001</t>
        </is>
      </c>
    </row>
    <row r="73">
      <c r="A73" s="2" t="str">
        <f>HYPERLINK("https://vtmf.veevavault.com/ui/#doc_info/25143143/1/0", "77242113UCO2001-DEU-Z92-DE10002-Relevant Communications-07 Nov 2023 (v1.0)")</f>
        <v>77242113UCO2001-DEU-Z92-DE10002-Relevant Communications-07 Nov 2023 (v1.0)</v>
      </c>
      <c r="B73" s="3" t="inlineStr">
        <is>
          <t>DrugDev API Account</t>
        </is>
      </c>
      <c r="C73" s="3" t="inlineStr">
        <is>
          <t>Trial Management</t>
        </is>
      </c>
      <c r="D73" s="3" t="inlineStr">
        <is>
          <t>General</t>
        </is>
      </c>
      <c r="E73" s="3" t="inlineStr">
        <is>
          <t>Relevant Communications</t>
        </is>
      </c>
      <c r="F73" s="3" t="inlineStr">
        <is>
          <t>Email Blast-77242113UCO2001 Portal: First Patient Enrolled!-07 Nov 2023</t>
        </is>
      </c>
      <c r="G73" s="2" t="str">
        <f>HYPERLINK("https://vtmf.veevavault.com/ui/#doc_info/25143143/1/0", "VTMF-20028682")</f>
        <v>VTMF-20028682</v>
      </c>
      <c r="H73" s="3" t="inlineStr">
        <is>
          <t/>
        </is>
      </c>
      <c r="I73" s="3" t="inlineStr">
        <is>
          <t>Anthony Suarez (veeva.com)</t>
        </is>
      </c>
      <c r="J73" s="3" t="inlineStr">
        <is>
          <t>DrugDev API Account</t>
        </is>
      </c>
      <c r="K73" s="4" t="n">
        <v>45239.81340277778</v>
      </c>
      <c r="L73" s="5" t="n">
        <v>45240.0</v>
      </c>
      <c r="M73" s="3" t="inlineStr">
        <is>
          <t>Approved</t>
        </is>
      </c>
      <c r="N73" s="3" t="inlineStr">
        <is>
          <t>Country Close, Site Close, Study Close</t>
        </is>
      </c>
      <c r="O73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73" s="3" t="inlineStr">
        <is>
          <t>Z92-AR10001,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Z92-PL10011,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</t>
        </is>
      </c>
      <c r="Q73" s="3" t="inlineStr">
        <is>
          <t>77242113UCO2001</t>
        </is>
      </c>
    </row>
    <row r="74">
      <c r="A74" s="2" t="str">
        <f>HYPERLINK("https://vtmf.veevavault.com/ui/#doc_info/25223297/1/0", "77242113UCO2001-DEU-Z92-DE10002-Relevant Communications-18 Nov 2023 (v1.0)")</f>
        <v>77242113UCO2001-DEU-Z92-DE10002-Relevant Communications-18 Nov 2023 (v1.0)</v>
      </c>
      <c r="B74" s="3" t="inlineStr">
        <is>
          <t>DrugDev API Account</t>
        </is>
      </c>
      <c r="C74" s="3" t="inlineStr">
        <is>
          <t>Trial Management</t>
        </is>
      </c>
      <c r="D74" s="3" t="inlineStr">
        <is>
          <t>General</t>
        </is>
      </c>
      <c r="E74" s="3" t="inlineStr">
        <is>
          <t>Relevant Communications</t>
        </is>
      </c>
      <c r="F74" s="3" t="inlineStr">
        <is>
          <t>Email Blast-77242113UCO2001 Portal: Pre-Screening Log Now Available!-18 Nov 2023</t>
        </is>
      </c>
      <c r="G74" s="2" t="str">
        <f>HYPERLINK("https://vtmf.veevavault.com/ui/#doc_info/25223297/1/0", "VTMF-20098424")</f>
        <v>VTMF-20098424</v>
      </c>
      <c r="H74" s="3" t="inlineStr">
        <is>
          <t/>
        </is>
      </c>
      <c r="I74" s="3" t="inlineStr">
        <is>
          <t>Anthony Suarez (veeva.com)</t>
        </is>
      </c>
      <c r="J74" s="3" t="inlineStr">
        <is>
          <t>DrugDev API Account</t>
        </is>
      </c>
      <c r="K74" s="4" t="n">
        <v>45253.81348379629</v>
      </c>
      <c r="L74" s="5" t="n">
        <v>45254.0</v>
      </c>
      <c r="M74" s="3" t="inlineStr">
        <is>
          <t>Approved</t>
        </is>
      </c>
      <c r="N74" s="3" t="inlineStr">
        <is>
          <t>Country Close, Site Close, Study Close</t>
        </is>
      </c>
      <c r="O74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74" s="3" t="inlineStr">
        <is>
          <t>Z92-AR10001,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Z92-CN10014, Z92-CZ10003, Z92-CZ10004, Z92-CZ10007, Z92-CZ10008, Z92-CZ10009, Z92-DE10002,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Z92-IN10006,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Z92-PL10011,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Z92-US10016,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</t>
        </is>
      </c>
      <c r="Q74" s="3" t="inlineStr">
        <is>
          <t>77242113UCO2001</t>
        </is>
      </c>
    </row>
    <row r="75">
      <c r="A75" s="2" t="str">
        <f>HYPERLINK("https://vtmf.veevavault.com/ui/#doc_info/24964909/1/0", "77242113UCO2001-DEU-Z92-DE10002-Relevant Communications-10 Oct 2023 (v1.0)")</f>
        <v>77242113UCO2001-DEU-Z92-DE10002-Relevant Communications-10 Oct 2023 (v1.0)</v>
      </c>
      <c r="B75" s="3" t="inlineStr">
        <is>
          <t>DrugDev API Account</t>
        </is>
      </c>
      <c r="C75" s="3" t="inlineStr">
        <is>
          <t>Trial Management</t>
        </is>
      </c>
      <c r="D75" s="3" t="inlineStr">
        <is>
          <t>General</t>
        </is>
      </c>
      <c r="E75" s="3" t="inlineStr">
        <is>
          <t>Relevant Communications</t>
        </is>
      </c>
      <c r="F75" s="3" t="inlineStr">
        <is>
          <t>Email Blast-77242113UCO2001 Portal: First Patient Screened!-10 Oct 2023</t>
        </is>
      </c>
      <c r="G75" s="2" t="str">
        <f>HYPERLINK("https://vtmf.veevavault.com/ui/#doc_info/24964909/1/0", "VTMF-19872719")</f>
        <v>VTMF-19872719</v>
      </c>
      <c r="H75" s="3" t="inlineStr">
        <is>
          <t/>
        </is>
      </c>
      <c r="I75" s="3" t="inlineStr">
        <is>
          <t>Anthony Suarez (veeva.com)</t>
        </is>
      </c>
      <c r="J75" s="3" t="inlineStr">
        <is>
          <t>DrugDev API Account</t>
        </is>
      </c>
      <c r="K75" s="4" t="n">
        <v>45211.85512731481</v>
      </c>
      <c r="L75" s="5" t="n">
        <v>45212.0</v>
      </c>
      <c r="M75" s="3" t="inlineStr">
        <is>
          <t>Approved</t>
        </is>
      </c>
      <c r="N75" s="3" t="inlineStr">
        <is>
          <t>Country Close, Site Close, Study Close</t>
        </is>
      </c>
      <c r="O75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75" s="3" t="inlineStr">
        <is>
          <t>Z92-AR10001, Z92-AR10004, Z92-AR10006, Z92-AR10007, Z92-AU10002, Z92-AU10005, Z92-AU10006, Z92-AU10007, Z92-BE10001, Z92-BE10002, Z92-BE10004, Z92-BE10006, Z92-BE10007, Z92-BE10008, Z92-BR10008, Z92-BR10009, Z92-BR10010, Z92-BR10016, Z92-BR10017, Z92-BR10020, Z92-BR10021, Z92-BR10026, Z92-CA10001, Z92-CA10003, Z92-CA10005, Z92-CA10007, Z92-CA10008, Z92-CN10001, Z92-CN10002, Z92-CN10003, Z92-CN10004, Z92-CN10005, Z92-CN10007, Z92-CN10008, Z92-CN10010, Z92-CN10011, Z92-CN10012, Z92-CN10013, Z92-CZ10003, Z92-CZ10004, Z92-CZ10007, Z92-CZ10008, Z92-CZ10009, Z92-DE10002, Z92-DE10003, Z92-DE10005, Z92-DE10006, Z92-DE10009, Z92-DE10010, Z92-DE10011,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Z92-IT10001, Z92-IT10002, Z92-IT10003, Z92-IT10004, Z92-IT10005, Z92-IT10006, Z92-IT10007, Z92-IT10008, Z92-IT10009, Z92-IT10010, Z92-JP10001, Z92-JP10002, Z92-JP10003, Z92-JP10005, Z92-JP10006, Z92-JP10007, Z92-JP10008, Z92-JP10009, Z92-JP10010, Z92-JP10012, Z92-JP10013, Z92-JP10014, Z92-JP10016, Z92-JP10017, Z92-KR10001, Z92-KR10002, Z92-KR10003, Z92-KR10004, Z92-KR10005, Z92-KR10006, Z92-KR10007, Z92-MX10001, Z92-MX10003, Z92-MX10005, Z92-MX10008, Z92-MY10001, Z92-MY10002, Z92-MY10004, Z92-PL10001, Z92-PL10002, Z92-PL10003, Z92-PL10004, Z92-PL10005, Z92-PL10006, Z92-PL10007, Z92-PL10008, Z92-PL10009, Z92-PL10010, Z92-PL10011, Z92-PL10012, Z92-PL10016, Z92-RO10003, Z92-RO10005, Z92-RO10006, Z92-RO10007, Z92-TR10001, Z92-TR10002, Z92-TR10003, Z92-TR10004, Z92-US10001, Z92-US10002, Z92-US10005, Z92-US10007, Z92-US10008, Z92-US10009, Z92-US10010, Z92-US10011, Z92-US10012, Z92-US10013, Z92-US10014, Z92-US10015, Z92-US10020, Z92-US10021, Z92-US10024, Z92-US10025, Z92-US10026, Z92-US10028, Z92-US10029, Z92-US10034, Z92-US10035, Z92-US10037, Z92-US10038, Z92-US10039, Z92-US10040, Z92-US10042, Z92-US10044, Z92-US10045, Z92-US10047, Z92-US10048, Z92-US10049, Z92-US10050, Z92-US10054, Z92-US10057, Z92-US10058, Z92-US10061, Z92-US10062, Z92-US10063</t>
        </is>
      </c>
      <c r="Q75" s="3" t="inlineStr">
        <is>
          <t>77242113UCO2001</t>
        </is>
      </c>
    </row>
    <row r="76">
      <c r="A76" s="2" t="str">
        <f>HYPERLINK("https://vtmf.veevavault.com/ui/#doc_info/26385495/1/0", "77242113UCO2001-DEU-Z92-DE10005-Relevant Communications-17 May 2024 (v1.0)")</f>
        <v>77242113UCO2001-DEU-Z92-DE10005-Relevant Communications-17 May 2024 (v1.0)</v>
      </c>
      <c r="B76" s="3" t="inlineStr">
        <is>
          <t>DrugDev API Account</t>
        </is>
      </c>
      <c r="C76" s="3" t="inlineStr">
        <is>
          <t>Trial Management</t>
        </is>
      </c>
      <c r="D76" s="3" t="inlineStr">
        <is>
          <t>General</t>
        </is>
      </c>
      <c r="E76" s="3" t="inlineStr">
        <is>
          <t>Relevant Communications</t>
        </is>
      </c>
      <c r="F76" s="3" t="inlineStr">
        <is>
          <t>Email Blast-77242113UCO2001 Portal: World IBD Day-17 May 2024</t>
        </is>
      </c>
      <c r="G76" s="2" t="str">
        <f>HYPERLINK("https://vtmf.veevavault.com/ui/#doc_info/26385495/1/0", "VTMF-21116624")</f>
        <v>VTMF-21116624</v>
      </c>
      <c r="H76" s="3" t="inlineStr">
        <is>
          <t/>
        </is>
      </c>
      <c r="I76" s="3" t="inlineStr">
        <is>
          <t>Anthony Suarez (veeva.com)</t>
        </is>
      </c>
      <c r="J76" s="3" t="inlineStr">
        <is>
          <t>DrugDev API Account</t>
        </is>
      </c>
      <c r="K76" s="4" t="n">
        <v>45435.85525462963</v>
      </c>
      <c r="L76" s="5" t="n">
        <v>45436.0</v>
      </c>
      <c r="M76" s="3" t="inlineStr">
        <is>
          <t>Approved</t>
        </is>
      </c>
      <c r="N76" s="3" t="inlineStr">
        <is>
          <t>Country Close, Site Close, Study Close</t>
        </is>
      </c>
      <c r="O76" s="3" t="inlineStr">
        <is>
          <t>Argentina, Australia, Belgium, Brazil, Canada, China, Czech Republic, France, Germany, Hungary, India, Italy, Japan, Korea (the Republic of), Malaysia, Mexico, Poland, Romania, Spain, Türkiye, United Kingdom, United States</t>
        </is>
      </c>
      <c r="P76" s="3" t="inlineStr">
        <is>
          <t>Z92-AR10001, Z92-AR10004, Z92-AU10002, Z92-AU10005, Z92-AU10006, Z92-BE10001, Z92-BE10006, Z92-BE10008, Z92-BR10010, Z92-BR10026, Z92-CA10001, Z92-CA10005, Z92-CN10003, Z92-CN10007, Z92-CN10008, Z92-CN10010, Z92-CN10011, Z92-CN10012, Z92-CZ10003, Z92-CZ10004, Z92-CZ10008, Z92-CZ10009, Z92-DE10005, Z92-ES10001, Z92-ES10004, Z92-ES10005, Z92-ES10006, Z92-ES10007, Z92-ES10008, Z92-ES10009, Z92-ES10010, Z92-ES10011, Z92-ES10012, Z92-ES10013, Z92-FR10011, Z92-GB10002, Z92-GB10003, Z92-GB10004, Z92-GB10006, Z92-GB10008, Z92-GB10010, Z92-HU10001, Z92-HU10002, Z92-HU10003, Z92-IN10001, Z92-IN10002, Z92-IN10003, Z92-IT10003, Z92-IT10007, Z92-IT10008, Z92-JP10005, Z92-JP10010, Z92-JP10012, Z92-JP10013, Z92-KR10007, Z92-MX10001, Z92-MX10003, Z92-MX10005, Z92-MX10008, Z92-MY10002, Z92-MY10004, Z92-PL10012, Z92-RO10003, Z92-RO10005, Z92-RO10006, Z92-RO10007, Z92-TR10001, Z92-TR10002, Z92-TR10003, Z92-TR10004, Z92-US10002, Z92-US10005, Z92-US10010, Z92-US10011, Z92-US10013, Z92-US10014, Z92-US10020, Z92-US10021, Z92-US10024, Z92-US10033, Z92-US10035, Z92-US10042, Z92-US10054, Z92-US10058, Z92-US10061, Z92-US10062</t>
        </is>
      </c>
      <c r="Q76" s="3" t="inlineStr">
        <is>
          <t>77242113UCO2001</t>
        </is>
      </c>
    </row>
    <row r="77">
      <c r="A77" s="2" t="str">
        <f>HYPERLINK("https://vtmf.veevavault.com/ui/#doc_info/25347871/1/0", "77242113UCO2001-DEU-Z92-DE10002-Relevant Communications-09 Dec 2023 (v1.0)")</f>
        <v>77242113UCO2001-DEU-Z92-DE10002-Relevant Communications-09 Dec 2023 (v1.0)</v>
      </c>
      <c r="B77" s="3" t="inlineStr">
        <is>
          <t>DrugDev API Account</t>
        </is>
      </c>
      <c r="C77" s="3" t="inlineStr">
        <is>
          <t>Trial Management</t>
        </is>
      </c>
      <c r="D77" s="3" t="inlineStr">
        <is>
          <t>General</t>
        </is>
      </c>
      <c r="E77" s="3" t="inlineStr">
        <is>
          <t>Relevant Communications</t>
        </is>
      </c>
      <c r="F77" s="3" t="inlineStr">
        <is>
          <t>Email Blast-77242113UCO2001 Portal: Investigator Meeting Reminder- Rome-09 Dec 2023</t>
        </is>
      </c>
      <c r="G77" s="2" t="str">
        <f>HYPERLINK("https://vtmf.veevavault.com/ui/#doc_info/25347871/1/0", "VTMF-20207261")</f>
        <v>VTMF-20207261</v>
      </c>
      <c r="H77" s="3" t="inlineStr">
        <is>
          <t/>
        </is>
      </c>
      <c r="I77" s="3" t="inlineStr">
        <is>
          <t>Anthony Suarez (veeva.com)</t>
        </is>
      </c>
      <c r="J77" s="3" t="inlineStr">
        <is>
          <t>DrugDev API Account</t>
        </is>
      </c>
      <c r="K77" s="4" t="n">
        <v>45274.81332175926</v>
      </c>
      <c r="L77" s="5" t="n">
        <v>45275.0</v>
      </c>
      <c r="M77" s="3" t="inlineStr">
        <is>
          <t>Approved</t>
        </is>
      </c>
      <c r="N77" s="3" t="inlineStr">
        <is>
          <t>Country Close, Site Close, Study Close</t>
        </is>
      </c>
      <c r="O77" s="3" t="inlineStr">
        <is>
          <t>Australia, Belgium, Czech Republic, France, Germany, Hungary, India, Italy, Malaysia, Poland, Romania, Spain, Türkiye, United Kingdom</t>
        </is>
      </c>
      <c r="P77" s="3" t="inlineStr">
        <is>
          <t>Z92-AU10002, Z92-AU10005, Z92-AU10006, Z92-AU10007, Z92-BE10001, Z92-BE10002, Z92-BE10004, Z92-BE10006, Z92-BE10007, Z92-BE10008, Z92-CZ10003, Z92-CZ10004, Z92-CZ10007, Z92-CZ10008, Z92-CZ10009, Z92-DE10002, Z92-DE10005, Z92-DE10006, Z92-DE10009, Z92-DE10010, Z92-DE10013, Z92-DE10015, Z92-DE10016, Z92-ES10001, Z92-ES10003, Z92-ES10004, Z92-ES10005, Z92-ES10006, Z92-ES10007, Z92-ES10008, Z92-ES10009, Z92-ES10010, Z92-ES10011, Z92-ES10012, Z92-ES10013, Z92-FR10001, Z92-FR10002, Z92-FR10003, Z92-FR10004, Z92-FR10005, Z92-FR10006, Z92-FR10007, Z92-FR10008, Z92-FR10009, Z92-FR10010, Z92-FR10011, Z92-GB10001, Z92-GB10002, Z92-GB10003, Z92-GB10004, Z92-GB10005, Z92-GB10006, Z92-GB10008, Z92-GB10010, Z92-GB10013, Z92-HU10001, Z92-HU10002, Z92-HU10003, Z92-HU10004, Z92-HU10005, Z92-HU10006, Z92-IN10001, Z92-IN10002, Z92-IN10003, Z92-IT10001, Z92-IT10002, Z92-IT10003, Z92-IT10004, Z92-IT10005, Z92-IT10006, Z92-IT10007, Z92-IT10008, Z92-IT10009, Z92-IT10010, Z92-MY10001, Z92-MY10002, Z92-MY10004, Z92-PL10001, Z92-PL10002, Z92-PL10003, Z92-PL10004, Z92-PL10005, Z92-PL10006, Z92-PL10007, Z92-PL10008, Z92-PL10009, Z92-PL10010, Z92-PL10012, Z92-PL10016, Z92-RO10003, Z92-RO10005, Z92-RO10006, Z92-RO10007, Z92-TR10001, Z92-TR10002, Z92-TR10003, Z92-TR10004</t>
        </is>
      </c>
      <c r="Q77" s="3" t="inlineStr">
        <is>
          <t>77242113UCO2001</t>
        </is>
      </c>
    </row>
    <row r="78">
      <c r="A78" s="2" t="str">
        <f>HYPERLINK("https://vtmf.veevavault.com/ui/#doc_info/24158199/1/0", "77242113UCO2001-CZE-Z92-CZ10001-Confidentiality Agreement-17 May 2023 (v1.0)")</f>
        <v>77242113UCO2001-CZE-Z92-CZ10001-Confidentiality Agreement-17 May 2023 (v1.0)</v>
      </c>
      <c r="B78" s="3" t="inlineStr">
        <is>
          <t>Lucie Duskova</t>
        </is>
      </c>
      <c r="C78" s="3" t="inlineStr">
        <is>
          <t>Site Management</t>
        </is>
      </c>
      <c r="D78" s="3" t="inlineStr">
        <is>
          <t>Site Selection</t>
        </is>
      </c>
      <c r="E78" s="3" t="inlineStr">
        <is>
          <t>Confidentiality Agreement</t>
        </is>
      </c>
      <c r="F78" s="3" t="inlineStr">
        <is>
          <t>Confidentiality Disclosure Agreement_Matous Jan_Axon_17MAY2023</t>
        </is>
      </c>
      <c r="G78" s="2" t="str">
        <f>HYPERLINK("https://vtmf.veevavault.com/ui/#doc_info/24158199/1/0", "VTMF-19168864")</f>
        <v>VTMF-19168864</v>
      </c>
      <c r="H78" s="3" t="inlineStr">
        <is>
          <t/>
        </is>
      </c>
      <c r="I78" s="3" t="inlineStr">
        <is>
          <t>System</t>
        </is>
      </c>
      <c r="J78" s="3" t="inlineStr">
        <is>
          <t>Lucie Duskova</t>
        </is>
      </c>
      <c r="K78" s="4" t="n">
        <v>45075.65351851852</v>
      </c>
      <c r="L78" s="5" t="n">
        <v>45075.0</v>
      </c>
      <c r="M78" s="3" t="inlineStr">
        <is>
          <t>Approved</t>
        </is>
      </c>
      <c r="N78" s="3" t="inlineStr">
        <is>
          <t>Available for Distribution, Site Start</t>
        </is>
      </c>
      <c r="O78" s="3" t="inlineStr">
        <is>
          <t>Czech Republic</t>
        </is>
      </c>
      <c r="P78" s="3" t="inlineStr">
        <is>
          <t>Z92-CZ10001</t>
        </is>
      </c>
      <c r="Q78" s="3" t="inlineStr">
        <is>
          <t>77242113UCO2001</t>
        </is>
      </c>
    </row>
    <row r="79">
      <c r="A79" s="2" t="str">
        <f>HYPERLINK("https://vtmf.veevavault.com/ui/#doc_info/24193462/1/0", "77242113UCO2001-CZE-Z92-CZ10001-Monitoring Visit Follow-up Letter-SQVR_FL-17 May 2023 (v1.0)")</f>
        <v>77242113UCO2001-CZE-Z92-CZ10001-Monitoring Visit Follow-up Letter-SQVR_FL-17 May 2023 (v1.0)</v>
      </c>
      <c r="B79" s="3" t="inlineStr">
        <is>
          <t>Admin User Medidata</t>
        </is>
      </c>
      <c r="C79" s="3" t="inlineStr">
        <is>
          <t>Site Management</t>
        </is>
      </c>
      <c r="D79" s="3" t="inlineStr">
        <is>
          <t>Site Management</t>
        </is>
      </c>
      <c r="E79" s="3" t="inlineStr">
        <is>
          <t>Monitoring Visit Follow-up Letter</t>
        </is>
      </c>
      <c r="F79" s="3" t="inlineStr">
        <is>
          <t/>
        </is>
      </c>
      <c r="G79" s="2" t="str">
        <f>HYPERLINK("https://vtmf.veevavault.com/ui/#doc_info/24193462/1/0", "VTMF-19199992")</f>
        <v>VTMF-19199992</v>
      </c>
      <c r="H79" s="3" t="inlineStr">
        <is>
          <t/>
        </is>
      </c>
      <c r="I79" s="3" t="inlineStr">
        <is>
          <t>System</t>
        </is>
      </c>
      <c r="J79" s="3" t="inlineStr">
        <is>
          <t>Admin User Medidata</t>
        </is>
      </c>
      <c r="K79" s="4" t="n">
        <v>45079.83237268519</v>
      </c>
      <c r="L79" s="5" t="n">
        <v>45079.0</v>
      </c>
      <c r="M79" s="3" t="inlineStr">
        <is>
          <t>Approved</t>
        </is>
      </c>
      <c r="N79" s="3" t="inlineStr">
        <is>
          <t>Available for Distribution, CLIX Filing, Site Close</t>
        </is>
      </c>
      <c r="O79" s="3" t="inlineStr">
        <is>
          <t>Czech Republic</t>
        </is>
      </c>
      <c r="P79" s="3" t="inlineStr">
        <is>
          <t>Z92-CZ10001</t>
        </is>
      </c>
      <c r="Q79" s="3" t="inlineStr">
        <is>
          <t>77242113UCO2001</t>
        </is>
      </c>
    </row>
    <row r="80">
      <c r="A80" s="2" t="str">
        <f>HYPERLINK("https://vtmf.veevavault.com/ui/#doc_info/24158272/1/0", "77242113UCO2001-CZE-Z92-CZ10001-Non-IP Shipment Documentation-17 May 2023 (v1.0)")</f>
        <v>77242113UCO2001-CZE-Z92-CZ10001-Non-IP Shipment Documentation-17 May 2023 (v1.0)</v>
      </c>
      <c r="B80" s="3" t="inlineStr">
        <is>
          <t>Lucie Duskova</t>
        </is>
      </c>
      <c r="C80" s="3" t="inlineStr">
        <is>
          <t>IP and Trial Supplies</t>
        </is>
      </c>
      <c r="D80" s="3" t="inlineStr">
        <is>
          <t>Non-IP Documentation</t>
        </is>
      </c>
      <c r="E80" s="3" t="inlineStr">
        <is>
          <t>Non-IP Shipment Documentation</t>
        </is>
      </c>
      <c r="F80" s="3" t="inlineStr">
        <is>
          <t>NIPSF_Protocol Original_17MAY2023</t>
        </is>
      </c>
      <c r="G80" s="2" t="str">
        <f>HYPERLINK("https://vtmf.veevavault.com/ui/#doc_info/24158272/1/0", "VTMF-19168917")</f>
        <v>VTMF-19168917</v>
      </c>
      <c r="H80" s="3" t="inlineStr">
        <is>
          <t/>
        </is>
      </c>
      <c r="I80" s="3" t="inlineStr">
        <is>
          <t>Anthony Suarez (veeva.com)</t>
        </is>
      </c>
      <c r="J80" s="3" t="inlineStr">
        <is>
          <t>Lucie Duskova</t>
        </is>
      </c>
      <c r="K80" s="4" t="n">
        <v>45075.6606712963</v>
      </c>
      <c r="L80" s="5" t="n">
        <v>45075.0</v>
      </c>
      <c r="M80" s="3" t="inlineStr">
        <is>
          <t>Approved</t>
        </is>
      </c>
      <c r="N80" s="3" t="inlineStr">
        <is>
          <t>Available for Distribution, CLIX Filing, Site Close</t>
        </is>
      </c>
      <c r="O80" s="3" t="inlineStr">
        <is>
          <t>Czech Republic</t>
        </is>
      </c>
      <c r="P80" s="3" t="inlineStr">
        <is>
          <t>Z92-CZ10001</t>
        </is>
      </c>
      <c r="Q80" s="3" t="inlineStr">
        <is>
          <t>77242113UCO2001</t>
        </is>
      </c>
    </row>
    <row r="81">
      <c r="A81" s="2" t="str">
        <f>HYPERLINK("https://vtmf.veevavault.com/ui/#doc_info/24095949/1/0", "77242113UCO2001-CZE-Z92-CZ10001-Pre Trial Monitoring Report-17 May 2023 (v1.0)")</f>
        <v>77242113UCO2001-CZE-Z92-CZ10001-Pre Trial Monitoring Report-17 May 2023 (v1.0)</v>
      </c>
      <c r="B81" s="3" t="inlineStr">
        <is>
          <t>Admin User Medidata</t>
        </is>
      </c>
      <c r="C81" s="3" t="inlineStr">
        <is>
          <t>Site Management</t>
        </is>
      </c>
      <c r="D81" s="3" t="inlineStr">
        <is>
          <t>Site Selection</t>
        </is>
      </c>
      <c r="E81" s="3" t="inlineStr">
        <is>
          <t>Pre Trial Monitoring Report</t>
        </is>
      </c>
      <c r="F81" s="3" t="inlineStr">
        <is>
          <t/>
        </is>
      </c>
      <c r="G81" s="2" t="str">
        <f>HYPERLINK("https://vtmf.veevavault.com/ui/#doc_info/24095949/1/0", "VTMF-19110679")</f>
        <v>VTMF-19110679</v>
      </c>
      <c r="H81" s="3" t="inlineStr">
        <is>
          <t/>
        </is>
      </c>
      <c r="I81" s="3" t="inlineStr">
        <is>
          <t>System</t>
        </is>
      </c>
      <c r="J81" s="3" t="inlineStr">
        <is>
          <t>Admin User Medidata</t>
        </is>
      </c>
      <c r="K81" s="4" t="n">
        <v>45069.49083333334</v>
      </c>
      <c r="L81" s="5" t="n">
        <v>45069.0</v>
      </c>
      <c r="M81" s="3" t="inlineStr">
        <is>
          <t>Approved</t>
        </is>
      </c>
      <c r="N81" s="3" t="inlineStr">
        <is>
          <t>Available for Distribution, Site Start</t>
        </is>
      </c>
      <c r="O81" s="3" t="inlineStr">
        <is>
          <t>Czech Republic</t>
        </is>
      </c>
      <c r="P81" s="3" t="inlineStr">
        <is>
          <t>Z92-CZ10001</t>
        </is>
      </c>
      <c r="Q81" s="3" t="inlineStr">
        <is>
          <t>77242113UCO2001</t>
        </is>
      </c>
    </row>
    <row r="82">
      <c r="A82" s="2" t="str">
        <f>HYPERLINK("https://vtmf.veevavault.com/ui/#doc_info/24158349/1/0", "77242113UCO2001-CZE-Z92-CZ10001-Site Confirmation Letter-- (v1.0)")</f>
        <v>77242113UCO2001-CZE-Z92-CZ10001-Site Confirmation Letter-- (v1.0)</v>
      </c>
      <c r="B82" s="3" t="inlineStr">
        <is>
          <t>Lucie Duskova</t>
        </is>
      </c>
      <c r="C82" s="3" t="inlineStr">
        <is>
          <t>Site Management</t>
        </is>
      </c>
      <c r="D82" s="3" t="inlineStr">
        <is>
          <t>Site Management</t>
        </is>
      </c>
      <c r="E82" s="3" t="inlineStr">
        <is>
          <t>Site Confirmation Letter</t>
        </is>
      </c>
      <c r="F82" s="3" t="inlineStr">
        <is>
          <t>Site Qualification visit confirmation letter_Matous Jan_10MAY2023</t>
        </is>
      </c>
      <c r="G82" s="2" t="str">
        <f>HYPERLINK("https://vtmf.veevavault.com/ui/#doc_info/24158349/1/0", "VTMF-19168975")</f>
        <v>VTMF-19168975</v>
      </c>
      <c r="H82" s="3" t="inlineStr">
        <is>
          <t/>
        </is>
      </c>
      <c r="I82" s="3" t="inlineStr">
        <is>
          <t>Anthony Suarez (veeva.com)</t>
        </is>
      </c>
      <c r="J82" s="3" t="inlineStr">
        <is>
          <t>Lucie Duskova</t>
        </is>
      </c>
      <c r="K82" s="4" t="n">
        <v>45075.668391203704</v>
      </c>
      <c r="L82" s="5" t="n">
        <v>45075.0</v>
      </c>
      <c r="M82" s="3" t="inlineStr">
        <is>
          <t>Approved</t>
        </is>
      </c>
      <c r="N82" s="3" t="inlineStr">
        <is>
          <t>Available for Distribution, CLIX Filing, Site Close</t>
        </is>
      </c>
      <c r="O82" s="3" t="inlineStr">
        <is>
          <t>Czech Republic</t>
        </is>
      </c>
      <c r="P82" s="3" t="inlineStr">
        <is>
          <t>Z92-CZ10001</t>
        </is>
      </c>
      <c r="Q82" s="3" t="inlineStr">
        <is>
          <t>77242113UCO2001</t>
        </is>
      </c>
    </row>
    <row r="83">
      <c r="A83" s="2" t="str">
        <f>HYPERLINK("https://vtmf.veevavault.com/ui/#doc_info/24275290/1/0", "77242113UCO2001-CZE-Z92-CZ10001-Sites Evaluated but not Selected-16 Jun 2023 (v1.0)")</f>
        <v>77242113UCO2001-CZE-Z92-CZ10001-Sites Evaluated but not Selected-16 Jun 2023 (v1.0)</v>
      </c>
      <c r="B83" s="3" t="inlineStr">
        <is>
          <t>Vladimir Buzalka</t>
        </is>
      </c>
      <c r="C83" s="3" t="inlineStr">
        <is>
          <t>Site Management</t>
        </is>
      </c>
      <c r="D83" s="3" t="inlineStr">
        <is>
          <t>Site Selection</t>
        </is>
      </c>
      <c r="E83" s="3" t="inlineStr">
        <is>
          <t>Sites Evaluated but not Selected</t>
        </is>
      </c>
      <c r="F83" s="3" t="inlineStr">
        <is>
          <t>Site Notification of Study Non-Selection 16JUN2023</t>
        </is>
      </c>
      <c r="G83" s="2" t="str">
        <f>HYPERLINK("https://vtmf.veevavault.com/ui/#doc_info/24275290/1/0", "VTMF-19271208")</f>
        <v>VTMF-19271208</v>
      </c>
      <c r="H83" s="3" t="inlineStr">
        <is>
          <t/>
        </is>
      </c>
      <c r="I83" s="3" t="inlineStr">
        <is>
          <t>System</t>
        </is>
      </c>
      <c r="J83" s="3" t="inlineStr">
        <is>
          <t>Vladimir Buzalka</t>
        </is>
      </c>
      <c r="K83" s="4" t="n">
        <v>45093.42215277778</v>
      </c>
      <c r="L83" s="5" t="n">
        <v>45093.0</v>
      </c>
      <c r="M83" s="3" t="inlineStr">
        <is>
          <t>Approved</t>
        </is>
      </c>
      <c r="N83" s="3" t="inlineStr">
        <is>
          <t/>
        </is>
      </c>
      <c r="O83" s="3" t="inlineStr">
        <is>
          <t>Czech Republic</t>
        </is>
      </c>
      <c r="P83" s="3" t="inlineStr">
        <is>
          <t>Z92-CZ10001</t>
        </is>
      </c>
      <c r="Q83" s="3" t="inlineStr">
        <is>
          <t>77242113UCO2001</t>
        </is>
      </c>
    </row>
    <row r="84">
      <c r="A84" s="2" t="str">
        <f>HYPERLINK("https://vtmf.veevavault.com/ui/#doc_info/24139238/2/0", "77242113UCO2001-CZE-Z92-CZ10002-Confidentiality Agreement-17 May 2023 (v2.0)")</f>
        <v>77242113UCO2001-CZE-Z92-CZ10002-Confidentiality Agreement-17 May 2023 (v2.0)</v>
      </c>
      <c r="B84" s="3" t="inlineStr">
        <is>
          <t>Vladimir Buzalka</t>
        </is>
      </c>
      <c r="C84" s="3" t="inlineStr">
        <is>
          <t>Site Management</t>
        </is>
      </c>
      <c r="D84" s="3" t="inlineStr">
        <is>
          <t>Site Selection</t>
        </is>
      </c>
      <c r="E84" s="3" t="inlineStr">
        <is>
          <t>Confidentiality Agreement</t>
        </is>
      </c>
      <c r="F84" s="3" t="inlineStr">
        <is>
          <t>CDA_SMAJSTRLA, Vit ; 17MAY2023</t>
        </is>
      </c>
      <c r="G84" s="2" t="str">
        <f>HYPERLINK("https://vtmf.veevavault.com/ui/#doc_info/24139238/2/0", "VTMF-19151869")</f>
        <v>VTMF-19151869</v>
      </c>
      <c r="H84" s="3" t="inlineStr">
        <is>
          <t/>
        </is>
      </c>
      <c r="I84" s="3" t="inlineStr">
        <is>
          <t>System</t>
        </is>
      </c>
      <c r="J84" s="3" t="inlineStr">
        <is>
          <t>Jitka Kone</t>
        </is>
      </c>
      <c r="K84" s="4" t="n">
        <v>45447.51994212963</v>
      </c>
      <c r="L84" s="5" t="n">
        <v>45447.0</v>
      </c>
      <c r="M84" s="3" t="inlineStr">
        <is>
          <t>Approved</t>
        </is>
      </c>
      <c r="N84" s="3" t="inlineStr">
        <is>
          <t>Available for Distribution, Site Start</t>
        </is>
      </c>
      <c r="O84" s="3" t="inlineStr">
        <is>
          <t>Czech Republic</t>
        </is>
      </c>
      <c r="P84" s="3" t="inlineStr">
        <is>
          <t>Z92-CZ10002</t>
        </is>
      </c>
      <c r="Q84" s="3" t="inlineStr">
        <is>
          <t>77242113UCO2001</t>
        </is>
      </c>
    </row>
    <row r="85">
      <c r="A85" s="2" t="str">
        <f>HYPERLINK("https://vtmf.veevavault.com/ui/#doc_info/24227007/1/0", "77242113UCO2001-CZE-Z92-CZ10002-Monitoring Visit Follow-up Letter-SQVR_FL-17 May 2023 (v1.0)")</f>
        <v>77242113UCO2001-CZE-Z92-CZ10002-Monitoring Visit Follow-up Letter-SQVR_FL-17 May 2023 (v1.0)</v>
      </c>
      <c r="B85" s="3" t="inlineStr">
        <is>
          <t>Admin User Medidata</t>
        </is>
      </c>
      <c r="C85" s="3" t="inlineStr">
        <is>
          <t>Site Management</t>
        </is>
      </c>
      <c r="D85" s="3" t="inlineStr">
        <is>
          <t>Site Management</t>
        </is>
      </c>
      <c r="E85" s="3" t="inlineStr">
        <is>
          <t>Monitoring Visit Follow-up Letter</t>
        </is>
      </c>
      <c r="F85" s="3" t="inlineStr">
        <is>
          <t/>
        </is>
      </c>
      <c r="G85" s="2" t="str">
        <f>HYPERLINK("https://vtmf.veevavault.com/ui/#doc_info/24227007/1/0", "VTMF-19228666")</f>
        <v>VTMF-19228666</v>
      </c>
      <c r="H85" s="3" t="inlineStr">
        <is>
          <t/>
        </is>
      </c>
      <c r="I85" s="3" t="inlineStr">
        <is>
          <t>System</t>
        </is>
      </c>
      <c r="J85" s="3" t="inlineStr">
        <is>
          <t>Admin User Medidata</t>
        </is>
      </c>
      <c r="K85" s="4" t="n">
        <v>45085.81423611111</v>
      </c>
      <c r="L85" s="5" t="n">
        <v>45085.0</v>
      </c>
      <c r="M85" s="3" t="inlineStr">
        <is>
          <t>Approved</t>
        </is>
      </c>
      <c r="N85" s="3" t="inlineStr">
        <is>
          <t>Available for Distribution, CLIX Filing, Site Close</t>
        </is>
      </c>
      <c r="O85" s="3" t="inlineStr">
        <is>
          <t>Czech Republic</t>
        </is>
      </c>
      <c r="P85" s="3" t="inlineStr">
        <is>
          <t>Z92-CZ10002</t>
        </is>
      </c>
      <c r="Q85" s="3" t="inlineStr">
        <is>
          <t>77242113UCO2001</t>
        </is>
      </c>
    </row>
    <row r="86">
      <c r="A86" s="2" t="str">
        <f>HYPERLINK("https://vtmf.veevavault.com/ui/#doc_info/24151589/1/0", "77242113UCO2001-CZE-Z92-CZ10002-Pre Trial Monitoring Report-17 May 2023 (v1.0)")</f>
        <v>77242113UCO2001-CZE-Z92-CZ10002-Pre Trial Monitoring Report-17 May 2023 (v1.0)</v>
      </c>
      <c r="B86" s="3" t="inlineStr">
        <is>
          <t>Admin User Medidata</t>
        </is>
      </c>
      <c r="C86" s="3" t="inlineStr">
        <is>
          <t>Site Management</t>
        </is>
      </c>
      <c r="D86" s="3" t="inlineStr">
        <is>
          <t>Site Selection</t>
        </is>
      </c>
      <c r="E86" s="3" t="inlineStr">
        <is>
          <t>Pre Trial Monitoring Report</t>
        </is>
      </c>
      <c r="F86" s="3" t="inlineStr">
        <is>
          <t/>
        </is>
      </c>
      <c r="G86" s="2" t="str">
        <f>HYPERLINK("https://vtmf.veevavault.com/ui/#doc_info/24151589/1/0", "VTMF-19162608")</f>
        <v>VTMF-19162608</v>
      </c>
      <c r="H86" s="3" t="inlineStr">
        <is>
          <t/>
        </is>
      </c>
      <c r="I86" s="3" t="inlineStr">
        <is>
          <t>System</t>
        </is>
      </c>
      <c r="J86" s="3" t="inlineStr">
        <is>
          <t>Admin User Medidata</t>
        </is>
      </c>
      <c r="K86" s="4" t="n">
        <v>45073.01971064815</v>
      </c>
      <c r="L86" s="5" t="n">
        <v>45072.0</v>
      </c>
      <c r="M86" s="3" t="inlineStr">
        <is>
          <t>Approved</t>
        </is>
      </c>
      <c r="N86" s="3" t="inlineStr">
        <is>
          <t>Available for Distribution, Site Start</t>
        </is>
      </c>
      <c r="O86" s="3" t="inlineStr">
        <is>
          <t>Czech Republic</t>
        </is>
      </c>
      <c r="P86" s="3" t="inlineStr">
        <is>
          <t>Z92-CZ10002</t>
        </is>
      </c>
      <c r="Q86" s="3" t="inlineStr">
        <is>
          <t>77242113UCO2001</t>
        </is>
      </c>
    </row>
    <row r="87">
      <c r="A87" s="2" t="str">
        <f>HYPERLINK("https://vtmf.veevavault.com/ui/#doc_info/24227004/1/0", "77242113UCO2001-CZE-Z92-CZ10002-Site Confirmation Letter-SQVR_CL-17 May 2023 (v1.0)")</f>
        <v>77242113UCO2001-CZE-Z92-CZ10002-Site Confirmation Letter-SQVR_CL-17 May 2023 (v1.0)</v>
      </c>
      <c r="B87" s="3" t="inlineStr">
        <is>
          <t>Admin User Medidata</t>
        </is>
      </c>
      <c r="C87" s="3" t="inlineStr">
        <is>
          <t>Site Management</t>
        </is>
      </c>
      <c r="D87" s="3" t="inlineStr">
        <is>
          <t>Site Management</t>
        </is>
      </c>
      <c r="E87" s="3" t="inlineStr">
        <is>
          <t>Site Confirmation Letter</t>
        </is>
      </c>
      <c r="F87" s="3" t="inlineStr">
        <is>
          <t/>
        </is>
      </c>
      <c r="G87" s="2" t="str">
        <f>HYPERLINK("https://vtmf.veevavault.com/ui/#doc_info/24227004/1/0", "VTMF-19228663")</f>
        <v>VTMF-19228663</v>
      </c>
      <c r="H87" s="3" t="inlineStr">
        <is>
          <t/>
        </is>
      </c>
      <c r="I87" s="3" t="inlineStr">
        <is>
          <t>System</t>
        </is>
      </c>
      <c r="J87" s="3" t="inlineStr">
        <is>
          <t>Admin User Medidata</t>
        </is>
      </c>
      <c r="K87" s="4" t="n">
        <v>45085.81380787037</v>
      </c>
      <c r="L87" s="5" t="n">
        <v>45085.0</v>
      </c>
      <c r="M87" s="3" t="inlineStr">
        <is>
          <t>Approved</t>
        </is>
      </c>
      <c r="N87" s="3" t="inlineStr">
        <is>
          <t>Available for Distribution, CLIX Filing, Site Close</t>
        </is>
      </c>
      <c r="O87" s="3" t="inlineStr">
        <is>
          <t>Czech Republic</t>
        </is>
      </c>
      <c r="P87" s="3" t="inlineStr">
        <is>
          <t>Z92-CZ10002</t>
        </is>
      </c>
      <c r="Q87" s="3" t="inlineStr">
        <is>
          <t>77242113UCO2001</t>
        </is>
      </c>
    </row>
    <row r="88">
      <c r="A88" s="2" t="str">
        <f>HYPERLINK("https://vtmf.veevavault.com/ui/#doc_info/24275291/1/0", "77242113UCO2001-CZE-Z92-CZ10002-Sites Evaluated but not Selected-16 Jun 2023 (v1.0)")</f>
        <v>77242113UCO2001-CZE-Z92-CZ10002-Sites Evaluated but not Selected-16 Jun 2023 (v1.0)</v>
      </c>
      <c r="B88" s="3" t="inlineStr">
        <is>
          <t>Vladimir Buzalka</t>
        </is>
      </c>
      <c r="C88" s="3" t="inlineStr">
        <is>
          <t>Site Management</t>
        </is>
      </c>
      <c r="D88" s="3" t="inlineStr">
        <is>
          <t>Site Selection</t>
        </is>
      </c>
      <c r="E88" s="3" t="inlineStr">
        <is>
          <t>Sites Evaluated but not Selected</t>
        </is>
      </c>
      <c r="F88" s="3" t="inlineStr">
        <is>
          <t>Site Notification of Study Non-Selection 16JUN2023</t>
        </is>
      </c>
      <c r="G88" s="2" t="str">
        <f>HYPERLINK("https://vtmf.veevavault.com/ui/#doc_info/24275291/1/0", "VTMF-19271209")</f>
        <v>VTMF-19271209</v>
      </c>
      <c r="H88" s="3" t="inlineStr">
        <is>
          <t/>
        </is>
      </c>
      <c r="I88" s="3" t="inlineStr">
        <is>
          <t>System</t>
        </is>
      </c>
      <c r="J88" s="3" t="inlineStr">
        <is>
          <t>Vladimir Buzalka</t>
        </is>
      </c>
      <c r="K88" s="4" t="n">
        <v>45093.42215277778</v>
      </c>
      <c r="L88" s="5" t="n">
        <v>45093.0</v>
      </c>
      <c r="M88" s="3" t="inlineStr">
        <is>
          <t>Approved</t>
        </is>
      </c>
      <c r="N88" s="3" t="inlineStr">
        <is>
          <t/>
        </is>
      </c>
      <c r="O88" s="3" t="inlineStr">
        <is>
          <t>Czech Republic</t>
        </is>
      </c>
      <c r="P88" s="3" t="inlineStr">
        <is>
          <t>Z92-CZ10002</t>
        </is>
      </c>
      <c r="Q88" s="3" t="inlineStr">
        <is>
          <t>77242113UCO2001</t>
        </is>
      </c>
    </row>
    <row r="89">
      <c r="A89" s="2" t="str">
        <f>HYPERLINK("https://vtmf.veevavault.com/ui/#doc_info/25446289/1/0", "77242113UCO2001-CZE-Z92-CZ10003-Acceptance of Investigator Brochure-13 Dec 2023 (v1.0)")</f>
        <v>77242113UCO2001-CZE-Z92-CZ10003-Acceptance of Investigator Brochure-13 Dec 2023 (v1.0)</v>
      </c>
      <c r="B89" s="3" t="inlineStr">
        <is>
          <t>Jitka Kone</t>
        </is>
      </c>
      <c r="C89" s="3" t="inlineStr">
        <is>
          <t>Site Management</t>
        </is>
      </c>
      <c r="D89" s="3" t="inlineStr">
        <is>
          <t>Site Set-up Documentation</t>
        </is>
      </c>
      <c r="E89" s="3" t="inlineStr">
        <is>
          <t>Acceptance of Investigator Brochure</t>
        </is>
      </c>
      <c r="F89" s="3" t="inlineStr">
        <is>
          <t>IB Acceptance Pharmacy_JNJ77242113_ 
IB Ed. 4 , dated 21Dec22+ Add.1 to IB Ed.4, dated 05May22_13Dec23</t>
        </is>
      </c>
      <c r="G89" s="2" t="str">
        <f>HYPERLINK("https://vtmf.veevavault.com/ui/#doc_info/25446289/1/0", "VTMF-20293169")</f>
        <v>VTMF-20293169</v>
      </c>
      <c r="H89" s="3" t="inlineStr">
        <is>
          <t/>
        </is>
      </c>
      <c r="I89" s="3" t="inlineStr">
        <is>
          <t>Anthony Suarez (veeva.com)</t>
        </is>
      </c>
      <c r="J89" s="3" t="inlineStr">
        <is>
          <t>Jitka Kone</t>
        </is>
      </c>
      <c r="K89" s="4" t="n">
        <v>45295.614849537036</v>
      </c>
      <c r="L89" s="5" t="n">
        <v>45295.0</v>
      </c>
      <c r="M89" s="3" t="inlineStr">
        <is>
          <t>Approved</t>
        </is>
      </c>
      <c r="N89" s="3" t="inlineStr">
        <is>
          <t>Available for Distribution, CLIX Filing, Site Close</t>
        </is>
      </c>
      <c r="O89" s="3" t="inlineStr">
        <is>
          <t>Czech Republic</t>
        </is>
      </c>
      <c r="P89" s="3" t="inlineStr">
        <is>
          <t>Z92-CZ10003</t>
        </is>
      </c>
      <c r="Q89" s="3" t="inlineStr">
        <is>
          <t>77242113UCO2001</t>
        </is>
      </c>
    </row>
    <row r="90">
      <c r="A90" s="2" t="str">
        <f>HYPERLINK("https://vtmf.veevavault.com/ui/#doc_info/25446320/1/0", "77242113UCO2001-CZE-Z92-CZ10003-Acceptance of Investigator Brochure-13 Dec 2023 (v1.0)")</f>
        <v>77242113UCO2001-CZE-Z92-CZ10003-Acceptance of Investigator Brochure-13 Dec 2023 (v1.0)</v>
      </c>
      <c r="B90" s="3" t="inlineStr">
        <is>
          <t>Jitka Kone</t>
        </is>
      </c>
      <c r="C90" s="3" t="inlineStr">
        <is>
          <t>Site Management</t>
        </is>
      </c>
      <c r="D90" s="3" t="inlineStr">
        <is>
          <t>Site Set-up Documentation</t>
        </is>
      </c>
      <c r="E90" s="3" t="inlineStr">
        <is>
          <t>Acceptance of Investigator Brochure</t>
        </is>
      </c>
      <c r="F90" s="3" t="inlineStr">
        <is>
          <t>IB Acceptance Site_JNJ77242113_
IB Ed. 4 , dated 21Dec22+ Add.1 to IB Ed.4, dated 05May22_13Dec23</t>
        </is>
      </c>
      <c r="G90" s="2" t="str">
        <f>HYPERLINK("https://vtmf.veevavault.com/ui/#doc_info/25446320/1/0", "VTMF-20293197")</f>
        <v>VTMF-20293197</v>
      </c>
      <c r="H90" s="3" t="inlineStr">
        <is>
          <t/>
        </is>
      </c>
      <c r="I90" s="3" t="inlineStr">
        <is>
          <t>Anthony Suarez (veeva.com)</t>
        </is>
      </c>
      <c r="J90" s="3" t="inlineStr">
        <is>
          <t>Jitka Kone</t>
        </is>
      </c>
      <c r="K90" s="4" t="n">
        <v>45295.61927083333</v>
      </c>
      <c r="L90" s="5" t="n">
        <v>45295.0</v>
      </c>
      <c r="M90" s="3" t="inlineStr">
        <is>
          <t>Approved</t>
        </is>
      </c>
      <c r="N90" s="3" t="inlineStr">
        <is>
          <t>Available for Distribution, CLIX Filing, Site Close</t>
        </is>
      </c>
      <c r="O90" s="3" t="inlineStr">
        <is>
          <t>Czech Republic</t>
        </is>
      </c>
      <c r="P90" s="3" t="inlineStr">
        <is>
          <t>Z92-CZ10003</t>
        </is>
      </c>
      <c r="Q90" s="3" t="inlineStr">
        <is>
          <t>77242113UCO2001</t>
        </is>
      </c>
    </row>
    <row r="91">
      <c r="A91" s="2" t="str">
        <f>HYPERLINK("https://vtmf.veevavault.com/ui/#doc_info/28301545/1/0", "77242113UCO2001-CZE-Z92-CZ10003-Acceptance of Investigator Brochure-13 Feb 2025 (v1.0)")</f>
        <v>77242113UCO2001-CZE-Z92-CZ10003-Acceptance of Investigator Brochure-13 Feb 2025 (v1.0)</v>
      </c>
      <c r="B91" s="3" t="inlineStr">
        <is>
          <t>Jitka Kone</t>
        </is>
      </c>
      <c r="C91" s="3" t="inlineStr">
        <is>
          <t>Site Management</t>
        </is>
      </c>
      <c r="D91" s="3" t="inlineStr">
        <is>
          <t>Site Set-up Documentation</t>
        </is>
      </c>
      <c r="E91" s="3" t="inlineStr">
        <is>
          <t>Acceptance of Investigator Brochure</t>
        </is>
      </c>
      <c r="F91" s="3" t="inlineStr">
        <is>
          <t>IB acceptance site_JNJ-77242113_IB Ed. 6 dated 16Dec2024_13Feb2025</t>
        </is>
      </c>
      <c r="G91" s="2" t="str">
        <f>HYPERLINK("https://vtmf.veevavault.com/ui/#doc_info/28301545/1/0", "VTMF-22703564")</f>
        <v>VTMF-22703564</v>
      </c>
      <c r="H91" s="3" t="inlineStr">
        <is>
          <t/>
        </is>
      </c>
      <c r="I91" s="3" t="inlineStr">
        <is>
          <t>Anthony Suarez (veeva.com)</t>
        </is>
      </c>
      <c r="J91" s="3" t="inlineStr">
        <is>
          <t>Jitka Kone</t>
        </is>
      </c>
      <c r="K91" s="4" t="n">
        <v>45702.56321759259</v>
      </c>
      <c r="L91" s="5" t="n">
        <v>45702.0</v>
      </c>
      <c r="M91" s="3" t="inlineStr">
        <is>
          <t>Approved</t>
        </is>
      </c>
      <c r="N91" s="3" t="inlineStr">
        <is>
          <t>Available for Distribution, CLIX Filing, IP Release, Site Start</t>
        </is>
      </c>
      <c r="O91" s="3" t="inlineStr">
        <is>
          <t>Czech Republic</t>
        </is>
      </c>
      <c r="P91" s="3" t="inlineStr">
        <is>
          <t>Z92-CZ10003</t>
        </is>
      </c>
      <c r="Q91" s="3" t="inlineStr">
        <is>
          <t>77242113UCO2001</t>
        </is>
      </c>
    </row>
    <row r="92">
      <c r="A92" s="2" t="str">
        <f>HYPERLINK("https://vtmf.veevavault.com/ui/#doc_info/29786969/1/0", "77242113UCO2001-CZE-Z92-CZ10003-Acceptance of Investigator Brochure-15 Aug 2025 (v1.0)")</f>
        <v>77242113UCO2001-CZE-Z92-CZ10003-Acceptance of Investigator Brochure-15 Aug 2025 (v1.0)</v>
      </c>
      <c r="B92" s="3" t="inlineStr">
        <is>
          <t>Jitka Kone</t>
        </is>
      </c>
      <c r="C92" s="3" t="inlineStr">
        <is>
          <t>Site Management</t>
        </is>
      </c>
      <c r="D92" s="3" t="inlineStr">
        <is>
          <t>Site Set-up Documentation</t>
        </is>
      </c>
      <c r="E92" s="3" t="inlineStr">
        <is>
          <t>Acceptance of Investigator Brochure</t>
        </is>
      </c>
      <c r="F92" s="3" t="inlineStr">
        <is>
          <t>IB acceptance site_JNJ-77242113_Add. 1 to IB Ed. 6 dated 16Jul2025_15Aug2025</t>
        </is>
      </c>
      <c r="G92" s="2" t="str">
        <f>HYPERLINK("https://vtmf.veevavault.com/ui/#doc_info/29786969/1/0", "VTMF-23970621")</f>
        <v>VTMF-23970621</v>
      </c>
      <c r="H92" s="3" t="inlineStr">
        <is>
          <t/>
        </is>
      </c>
      <c r="I92" s="3" t="inlineStr">
        <is>
          <t>Anthony Suarez (veeva.com)</t>
        </is>
      </c>
      <c r="J92" s="3" t="inlineStr">
        <is>
          <t>Jitka Kone</t>
        </is>
      </c>
      <c r="K92" s="4" t="n">
        <v>45888.405439814815</v>
      </c>
      <c r="L92" s="5" t="n">
        <v>45888.0</v>
      </c>
      <c r="M92" s="3" t="inlineStr">
        <is>
          <t>Approved</t>
        </is>
      </c>
      <c r="N92" s="3" t="inlineStr">
        <is>
          <t>Available for Distribution, CLIX Filing, IP Release, Site Start</t>
        </is>
      </c>
      <c r="O92" s="3" t="inlineStr">
        <is>
          <t>Czech Republic</t>
        </is>
      </c>
      <c r="P92" s="3" t="inlineStr">
        <is>
          <t>Z92-CZ10003</t>
        </is>
      </c>
      <c r="Q92" s="3" t="inlineStr">
        <is>
          <t>77242113UCO2001</t>
        </is>
      </c>
    </row>
    <row r="93">
      <c r="A93" s="2" t="str">
        <f>HYPERLINK("https://vtmf.veevavault.com/ui/#doc_info/26768622/1/0", "77242113UCO2001-CZE-Z92-CZ10003-Acceptance of Investigator Brochure-17 Jul 2024 (v1.0)")</f>
        <v>77242113UCO2001-CZE-Z92-CZ10003-Acceptance of Investigator Brochure-17 Jul 2024 (v1.0)</v>
      </c>
      <c r="B93" s="3" t="inlineStr">
        <is>
          <t>Lenka Placha</t>
        </is>
      </c>
      <c r="C93" s="3" t="inlineStr">
        <is>
          <t>Site Management</t>
        </is>
      </c>
      <c r="D93" s="3" t="inlineStr">
        <is>
          <t>Site Set-up Documentation</t>
        </is>
      </c>
      <c r="E93" s="3" t="inlineStr">
        <is>
          <t>Acceptance of Investigator Brochure</t>
        </is>
      </c>
      <c r="F93" s="3" t="inlineStr">
        <is>
          <t>IB Acceptance pharmacy_ JNJ77242113_Add.2 to IB Ed. 4_ dated 31Oct23+ IB Ed. 5_dated 19Dec23_signed 17Jul2024</t>
        </is>
      </c>
      <c r="G93" s="2" t="str">
        <f>HYPERLINK("https://vtmf.veevavault.com/ui/#doc_info/26768622/1/0", "VTMF-21451985")</f>
        <v>VTMF-21451985</v>
      </c>
      <c r="H93" s="3" t="inlineStr">
        <is>
          <t/>
        </is>
      </c>
      <c r="I93" s="3" t="inlineStr">
        <is>
          <t>Anthony Suarez (veeva.com)</t>
        </is>
      </c>
      <c r="J93" s="3" t="inlineStr">
        <is>
          <t>Lenka Placha</t>
        </is>
      </c>
      <c r="K93" s="4" t="n">
        <v>45498.43488425926</v>
      </c>
      <c r="L93" s="5" t="n">
        <v>45498.0</v>
      </c>
      <c r="M93" s="3" t="inlineStr">
        <is>
          <t>Approved</t>
        </is>
      </c>
      <c r="N93" s="3" t="inlineStr">
        <is>
          <t>Available for Distribution, CLIX Filing, Site Close</t>
        </is>
      </c>
      <c r="O93" s="3" t="inlineStr">
        <is>
          <t>Czech Republic</t>
        </is>
      </c>
      <c r="P93" s="3" t="inlineStr">
        <is>
          <t>Z92-CZ10003</t>
        </is>
      </c>
      <c r="Q93" s="3" t="inlineStr">
        <is>
          <t>77242113UCO2001</t>
        </is>
      </c>
    </row>
    <row r="94">
      <c r="A94" s="2" t="str">
        <f>HYPERLINK("https://vtmf.veevavault.com/ui/#doc_info/26445778/1/0", "77242113UCO2001-CZE-Z92-CZ10003-Acceptance of Investigator Brochure-30 May 2024 (v1.0)")</f>
        <v>77242113UCO2001-CZE-Z92-CZ10003-Acceptance of Investigator Brochure-30 May 2024 (v1.0)</v>
      </c>
      <c r="B94" s="3" t="inlineStr">
        <is>
          <t>Jitka Kone</t>
        </is>
      </c>
      <c r="C94" s="3" t="inlineStr">
        <is>
          <t>Site Management</t>
        </is>
      </c>
      <c r="D94" s="3" t="inlineStr">
        <is>
          <t>Site Set-up Documentation</t>
        </is>
      </c>
      <c r="E94" s="3" t="inlineStr">
        <is>
          <t>Acceptance of Investigator Brochure</t>
        </is>
      </c>
      <c r="F94" s="3" t="inlineStr">
        <is>
          <t>IB Acceptance site_ JNJ77242113_Add.2 to IB Ed. 4_ dated 31Oct23+ IB Ed. 5_dated 19Dec23_signed 30May2024</t>
        </is>
      </c>
      <c r="G94" s="2" t="str">
        <f>HYPERLINK("https://vtmf.veevavault.com/ui/#doc_info/26445778/1/0", "VTMF-21169632")</f>
        <v>VTMF-21169632</v>
      </c>
      <c r="H94" s="3" t="inlineStr">
        <is>
          <t/>
        </is>
      </c>
      <c r="I94" s="3" t="inlineStr">
        <is>
          <t>Anthony Suarez (veeva.com)</t>
        </is>
      </c>
      <c r="J94" s="3" t="inlineStr">
        <is>
          <t>Jitka Kone</t>
        </is>
      </c>
      <c r="K94" s="4" t="n">
        <v>45446.656180555554</v>
      </c>
      <c r="L94" s="5" t="n">
        <v>45446.0</v>
      </c>
      <c r="M94" s="3" t="inlineStr">
        <is>
          <t>Approved</t>
        </is>
      </c>
      <c r="N94" s="3" t="inlineStr">
        <is>
          <t>Available for Distribution, CLIX Filing, Site Close</t>
        </is>
      </c>
      <c r="O94" s="3" t="inlineStr">
        <is>
          <t>Czech Republic</t>
        </is>
      </c>
      <c r="P94" s="3" t="inlineStr">
        <is>
          <t>Z92-CZ10003</t>
        </is>
      </c>
      <c r="Q94" s="3" t="inlineStr">
        <is>
          <t>77242113UCO2001</t>
        </is>
      </c>
    </row>
    <row r="95">
      <c r="A95" s="2" t="str">
        <f>HYPERLINK("https://vtmf.veevavault.com/ui/#doc_info/25700189/1/0", "77242113UCO2001-CZE-Z92-CZ10003-Clinical Trial Agreement-26 Sep 2023 (v1.0)")</f>
        <v>77242113UCO2001-CZE-Z92-CZ10003-Clinical Trial Agreement-26 Sep 2023 (v1.0)</v>
      </c>
      <c r="B95" s="3" t="inlineStr">
        <is>
          <t>Jitka Kone</t>
        </is>
      </c>
      <c r="C95" s="3" t="inlineStr">
        <is>
          <t>Site Management</t>
        </is>
      </c>
      <c r="D95" s="3" t="inlineStr">
        <is>
          <t>Site Set-up Documentation</t>
        </is>
      </c>
      <c r="E95" s="3" t="inlineStr">
        <is>
          <t>Clinical Trial Agreement</t>
        </is>
      </c>
      <c r="F95" s="3" t="inlineStr">
        <is>
          <t>Široký_Gastroenterologie_contract
document uploaded in ICD_Nr. 1946921</t>
        </is>
      </c>
      <c r="G95" s="2" t="str">
        <f>HYPERLINK("https://vtmf.veevavault.com/ui/#doc_info/25700189/1/0", "VTMF-20515425")</f>
        <v>VTMF-20515425</v>
      </c>
      <c r="H95" s="3" t="inlineStr">
        <is>
          <t/>
        </is>
      </c>
      <c r="I95" s="3" t="inlineStr">
        <is>
          <t>Lenka Placha</t>
        </is>
      </c>
      <c r="J95" s="3" t="inlineStr">
        <is>
          <t>Jitka Kone</t>
        </is>
      </c>
      <c r="K95" s="4" t="n">
        <v>45334.70359953704</v>
      </c>
      <c r="L95" s="5" t="n">
        <v>45334.0</v>
      </c>
      <c r="M95" s="3" t="inlineStr">
        <is>
          <t>Approved</t>
        </is>
      </c>
      <c r="N95" s="3" t="inlineStr">
        <is>
          <t>Available for Distribution, Site Start</t>
        </is>
      </c>
      <c r="O95" s="3" t="inlineStr">
        <is>
          <t>Czech Republic</t>
        </is>
      </c>
      <c r="P95" s="3" t="inlineStr">
        <is>
          <t>Z92-CZ10003</t>
        </is>
      </c>
      <c r="Q95" s="3" t="inlineStr">
        <is>
          <t>77242113UCO2001</t>
        </is>
      </c>
    </row>
    <row r="96">
      <c r="A96" s="2" t="str">
        <f>HYPERLINK("https://vtmf.veevavault.com/ui/#doc_info/24158198/5/0", "77242113UCO2001-CZE-Z92-CZ10003-Confidentiality Agreement-10 May 2023 (v5.0)")</f>
        <v>77242113UCO2001-CZE-Z92-CZ10003-Confidentiality Agreement-10 May 2023 (v5.0)</v>
      </c>
      <c r="B96" s="3" t="inlineStr">
        <is>
          <t>Lucie Duskova</t>
        </is>
      </c>
      <c r="C96" s="3" t="inlineStr">
        <is>
          <t>Site Management</t>
        </is>
      </c>
      <c r="D96" s="3" t="inlineStr">
        <is>
          <t>Site Selection</t>
        </is>
      </c>
      <c r="E96" s="3" t="inlineStr">
        <is>
          <t>Confidentiality Agreement</t>
        </is>
      </c>
      <c r="F96" s="3" t="inlineStr">
        <is>
          <t>Confidentiality Disclosure Agreement_Siroky Milan_Gastroenterologie s.r.o.</t>
        </is>
      </c>
      <c r="G96" s="2" t="str">
        <f>HYPERLINK("https://vtmf.veevavault.com/ui/#doc_info/24158198/5/0", "VTMF-19168863")</f>
        <v>VTMF-19168863</v>
      </c>
      <c r="H96" s="3" t="inlineStr">
        <is>
          <t/>
        </is>
      </c>
      <c r="I96" s="3" t="inlineStr">
        <is>
          <t>Anthony Suarez (veeva.com)</t>
        </is>
      </c>
      <c r="J96" s="3" t="inlineStr">
        <is>
          <t>Jitka Kone</t>
        </is>
      </c>
      <c r="K96" s="4" t="n">
        <v>45446.5584375</v>
      </c>
      <c r="L96" s="5" t="n">
        <v>45446.0</v>
      </c>
      <c r="M96" s="3" t="inlineStr">
        <is>
          <t>Approved</t>
        </is>
      </c>
      <c r="N96" s="3" t="inlineStr">
        <is>
          <t>Available for Distribution, Site Start</t>
        </is>
      </c>
      <c r="O96" s="3" t="inlineStr">
        <is>
          <t>Czech Republic</t>
        </is>
      </c>
      <c r="P96" s="3" t="inlineStr">
        <is>
          <t>Z92-CZ10003</t>
        </is>
      </c>
      <c r="Q96" s="3" t="inlineStr">
        <is>
          <t>77242113UCO2001</t>
        </is>
      </c>
    </row>
    <row r="97">
      <c r="A97" s="2" t="str">
        <f>HYPERLINK("https://vtmf.veevavault.com/ui/#doc_info/31654411/1/0", "77242113UCO2001-CZE-Z92-CZ10003-CRF Completion Requirements-07 May 2026 (v1.0)")</f>
        <v>77242113UCO2001-CZE-Z92-CZ10003-CRF Completion Requirements-07 May 2026 (v1.0)</v>
      </c>
      <c r="B97" s="3" t="inlineStr">
        <is>
          <t>Jitka Kone</t>
        </is>
      </c>
      <c r="C97" s="3" t="inlineStr">
        <is>
          <t>Data Management</t>
        </is>
      </c>
      <c r="D97" s="3" t="inlineStr">
        <is>
          <t>Data Capture</t>
        </is>
      </c>
      <c r="E97" s="3" t="inlineStr">
        <is>
          <t>CRF Completion Requirements</t>
        </is>
      </c>
      <c r="F97" s="3" t="inlineStr">
        <is>
          <t>EOS Acknowledgement -Subject PDF site acknowledgement_V. 06-MAY-2026EOS Acknowledgement -Subject PDF site acknowledgement_V. 07-MAY-2026</t>
        </is>
      </c>
      <c r="G97" s="2" t="str">
        <f>HYPERLINK("https://vtmf.veevavault.com/ui/#doc_info/31654411/1/0", "VTMF-25548998")</f>
        <v>VTMF-25548998</v>
      </c>
      <c r="H97" s="3" t="inlineStr">
        <is>
          <t/>
        </is>
      </c>
      <c r="I97" s="3" t="inlineStr">
        <is>
          <t>System</t>
        </is>
      </c>
      <c r="J97" s="3" t="inlineStr">
        <is>
          <t>Jitka Kone</t>
        </is>
      </c>
      <c r="K97" s="4" t="n">
        <v>46155.69672453704</v>
      </c>
      <c r="L97" s="5" t="n">
        <v>46155.0</v>
      </c>
      <c r="M97" s="3" t="inlineStr">
        <is>
          <t>Approved</t>
        </is>
      </c>
      <c r="N97" s="3" t="inlineStr">
        <is>
          <t>Available for Distribution, CLIX Filing, Study Start</t>
        </is>
      </c>
      <c r="O97" s="3" t="inlineStr">
        <is>
          <t>Czech Republic</t>
        </is>
      </c>
      <c r="P97" s="3" t="inlineStr">
        <is>
          <t>Z92-CZ10003</t>
        </is>
      </c>
      <c r="Q97" s="3" t="inlineStr">
        <is>
          <t>77242113UCO2001</t>
        </is>
      </c>
    </row>
    <row r="98">
      <c r="A98" s="2" t="str">
        <f>HYPERLINK("https://vtmf.veevavault.com/ui/#doc_info/31328005/1/0", "77242113UCO2001-CZE-Z92-CZ10003-Drug Accountability Form-12 Mar 2026 (v1.0)")</f>
        <v>77242113UCO2001-CZE-Z92-CZ10003-Drug Accountability Form-12 Mar 2026 (v1.0)</v>
      </c>
      <c r="B98" s="3" t="inlineStr">
        <is>
          <t>Bela Lukavcová</t>
        </is>
      </c>
      <c r="C98" s="3" t="inlineStr">
        <is>
          <t>IP and Trial Supplies</t>
        </is>
      </c>
      <c r="D98" s="3" t="inlineStr">
        <is>
          <t>IP Documentation</t>
        </is>
      </c>
      <c r="E98" s="3" t="inlineStr">
        <is>
          <t>Drug Accountability Form</t>
        </is>
      </c>
      <c r="F98" s="3" t="inlineStr">
        <is>
          <t>Drug Accountability Form_Single_CZ100030003</t>
        </is>
      </c>
      <c r="G98" s="2" t="str">
        <f>HYPERLINK("https://vtmf.veevavault.com/ui/#doc_info/31328005/1/0", "VTMF-25264608")</f>
        <v>VTMF-25264608</v>
      </c>
      <c r="H98" s="3" t="inlineStr">
        <is>
          <t/>
        </is>
      </c>
      <c r="I98" s="3" t="inlineStr">
        <is>
          <t>System</t>
        </is>
      </c>
      <c r="J98" s="3" t="inlineStr">
        <is>
          <t>Bela Lukavcová</t>
        </is>
      </c>
      <c r="K98" s="4" t="n">
        <v>46114.41987268518</v>
      </c>
      <c r="L98" s="5" t="n">
        <v>46114.0</v>
      </c>
      <c r="M98" s="3" t="inlineStr">
        <is>
          <t>Approved</t>
        </is>
      </c>
      <c r="N98" s="3" t="inlineStr">
        <is>
          <t>Site Close</t>
        </is>
      </c>
      <c r="O98" s="3" t="inlineStr">
        <is>
          <t>Czech Republic</t>
        </is>
      </c>
      <c r="P98" s="3" t="inlineStr">
        <is>
          <t>Z92-CZ10003</t>
        </is>
      </c>
      <c r="Q98" s="3" t="inlineStr">
        <is>
          <t>77242113UCO2001</t>
        </is>
      </c>
    </row>
    <row r="99">
      <c r="A99" s="2" t="str">
        <f>HYPERLINK("https://vtmf.veevavault.com/ui/#doc_info/31328009/1/0", "77242113UCO2001-CZE-Z92-CZ10003-Drug Accountability Form-12 Mar 2026 (v1.0)")</f>
        <v>77242113UCO2001-CZE-Z92-CZ10003-Drug Accountability Form-12 Mar 2026 (v1.0)</v>
      </c>
      <c r="B99" s="3" t="inlineStr">
        <is>
          <t>Bela Lukavcová</t>
        </is>
      </c>
      <c r="C99" s="3" t="inlineStr">
        <is>
          <t>IP and Trial Supplies</t>
        </is>
      </c>
      <c r="D99" s="3" t="inlineStr">
        <is>
          <t>IP Documentation</t>
        </is>
      </c>
      <c r="E99" s="3" t="inlineStr">
        <is>
          <t>Drug Accountability Form</t>
        </is>
      </c>
      <c r="F99" s="3" t="inlineStr">
        <is>
          <t>Drug Accountability Form_Single_CZ100030004</t>
        </is>
      </c>
      <c r="G99" s="2" t="str">
        <f>HYPERLINK("https://vtmf.veevavault.com/ui/#doc_info/31328009/1/0", "VTMF-25264621")</f>
        <v>VTMF-25264621</v>
      </c>
      <c r="H99" s="3" t="inlineStr">
        <is>
          <t/>
        </is>
      </c>
      <c r="I99" s="3" t="inlineStr">
        <is>
          <t>System</t>
        </is>
      </c>
      <c r="J99" s="3" t="inlineStr">
        <is>
          <t>Bela Lukavcová</t>
        </is>
      </c>
      <c r="K99" s="4" t="n">
        <v>46114.42201388889</v>
      </c>
      <c r="L99" s="5" t="n">
        <v>46114.0</v>
      </c>
      <c r="M99" s="3" t="inlineStr">
        <is>
          <t>Approved</t>
        </is>
      </c>
      <c r="N99" s="3" t="inlineStr">
        <is>
          <t>Site Close</t>
        </is>
      </c>
      <c r="O99" s="3" t="inlineStr">
        <is>
          <t>Czech Republic</t>
        </is>
      </c>
      <c r="P99" s="3" t="inlineStr">
        <is>
          <t>Z92-CZ10003</t>
        </is>
      </c>
      <c r="Q99" s="3" t="inlineStr">
        <is>
          <t>77242113UCO2001</t>
        </is>
      </c>
    </row>
    <row r="100">
      <c r="A100" s="2" t="str">
        <f>HYPERLINK("https://vtmf.veevavault.com/ui/#doc_info/31328017/1/0", "77242113UCO2001-CZE-Z92-CZ10003-Drug Accountability Form-12 Mar 2026 (v1.0)")</f>
        <v>77242113UCO2001-CZE-Z92-CZ10003-Drug Accountability Form-12 Mar 2026 (v1.0)</v>
      </c>
      <c r="B100" s="3" t="inlineStr">
        <is>
          <t>Bela Lukavcová</t>
        </is>
      </c>
      <c r="C100" s="3" t="inlineStr">
        <is>
          <t>IP and Trial Supplies</t>
        </is>
      </c>
      <c r="D100" s="3" t="inlineStr">
        <is>
          <t>IP Documentation</t>
        </is>
      </c>
      <c r="E100" s="3" t="inlineStr">
        <is>
          <t>Drug Accountability Form</t>
        </is>
      </c>
      <c r="F100" s="3" t="inlineStr">
        <is>
          <t>Drug Accountability Form_Single_CZ100030005</t>
        </is>
      </c>
      <c r="G100" s="2" t="str">
        <f>HYPERLINK("https://vtmf.veevavault.com/ui/#doc_info/31328017/1/0", "VTMF-25264643")</f>
        <v>VTMF-25264643</v>
      </c>
      <c r="H100" s="3" t="inlineStr">
        <is>
          <t/>
        </is>
      </c>
      <c r="I100" s="3" t="inlineStr">
        <is>
          <t>System</t>
        </is>
      </c>
      <c r="J100" s="3" t="inlineStr">
        <is>
          <t>Bela Lukavcová</t>
        </is>
      </c>
      <c r="K100" s="4" t="n">
        <v>46114.42414351852</v>
      </c>
      <c r="L100" s="5" t="n">
        <v>46114.0</v>
      </c>
      <c r="M100" s="3" t="inlineStr">
        <is>
          <t>Approved</t>
        </is>
      </c>
      <c r="N100" s="3" t="inlineStr">
        <is>
          <t>Site Close</t>
        </is>
      </c>
      <c r="O100" s="3" t="inlineStr">
        <is>
          <t>Czech Republic</t>
        </is>
      </c>
      <c r="P100" s="3" t="inlineStr">
        <is>
          <t>Z92-CZ10003</t>
        </is>
      </c>
      <c r="Q100" s="3" t="inlineStr">
        <is>
          <t>77242113UCO2001</t>
        </is>
      </c>
    </row>
    <row r="101">
      <c r="A101" s="2" t="str">
        <f>HYPERLINK("https://vtmf.veevavault.com/ui/#doc_info/31328023/1/0", "77242113UCO2001-CZE-Z92-CZ10003-Drug Accountability Form-12 Mar 2026 (v1.0)")</f>
        <v>77242113UCO2001-CZE-Z92-CZ10003-Drug Accountability Form-12 Mar 2026 (v1.0)</v>
      </c>
      <c r="B101" s="3" t="inlineStr">
        <is>
          <t>Bela Lukavcová</t>
        </is>
      </c>
      <c r="C101" s="3" t="inlineStr">
        <is>
          <t>IP and Trial Supplies</t>
        </is>
      </c>
      <c r="D101" s="3" t="inlineStr">
        <is>
          <t>IP Documentation</t>
        </is>
      </c>
      <c r="E101" s="3" t="inlineStr">
        <is>
          <t>Drug Accountability Form</t>
        </is>
      </c>
      <c r="F101" s="3" t="inlineStr">
        <is>
          <t>Drug Accountability Form_Single_CZ100030006</t>
        </is>
      </c>
      <c r="G101" s="2" t="str">
        <f>HYPERLINK("https://vtmf.veevavault.com/ui/#doc_info/31328023/1/0", "VTMF-25264673")</f>
        <v>VTMF-25264673</v>
      </c>
      <c r="H101" s="3" t="inlineStr">
        <is>
          <t/>
        </is>
      </c>
      <c r="I101" s="3" t="inlineStr">
        <is>
          <t>System</t>
        </is>
      </c>
      <c r="J101" s="3" t="inlineStr">
        <is>
          <t>Bela Lukavcová</t>
        </is>
      </c>
      <c r="K101" s="4" t="n">
        <v>46114.42648148148</v>
      </c>
      <c r="L101" s="5" t="n">
        <v>46114.0</v>
      </c>
      <c r="M101" s="3" t="inlineStr">
        <is>
          <t>Approved</t>
        </is>
      </c>
      <c r="N101" s="3" t="inlineStr">
        <is>
          <t>Site Close</t>
        </is>
      </c>
      <c r="O101" s="3" t="inlineStr">
        <is>
          <t>Czech Republic</t>
        </is>
      </c>
      <c r="P101" s="3" t="inlineStr">
        <is>
          <t>Z92-CZ10003</t>
        </is>
      </c>
      <c r="Q101" s="3" t="inlineStr">
        <is>
          <t>77242113UCO2001</t>
        </is>
      </c>
    </row>
    <row r="102">
      <c r="A102" s="2" t="str">
        <f>HYPERLINK("https://vtmf.veevavault.com/ui/#doc_info/31328031/1/0", "77242113UCO2001-CZE-Z92-CZ10003-Drug Accountability Form-12 Mar 2026 (v1.0)")</f>
        <v>77242113UCO2001-CZE-Z92-CZ10003-Drug Accountability Form-12 Mar 2026 (v1.0)</v>
      </c>
      <c r="B102" s="3" t="inlineStr">
        <is>
          <t>Bela Lukavcová</t>
        </is>
      </c>
      <c r="C102" s="3" t="inlineStr">
        <is>
          <t>IP and Trial Supplies</t>
        </is>
      </c>
      <c r="D102" s="3" t="inlineStr">
        <is>
          <t>IP Documentation</t>
        </is>
      </c>
      <c r="E102" s="3" t="inlineStr">
        <is>
          <t>Drug Accountability Form</t>
        </is>
      </c>
      <c r="F102" s="3" t="inlineStr">
        <is>
          <t>Drug Accountability Form_Multiple</t>
        </is>
      </c>
      <c r="G102" s="2" t="str">
        <f>HYPERLINK("https://vtmf.veevavault.com/ui/#doc_info/31328031/1/0", "VTMF-25264686")</f>
        <v>VTMF-25264686</v>
      </c>
      <c r="H102" s="3" t="inlineStr">
        <is>
          <t/>
        </is>
      </c>
      <c r="I102" s="3" t="inlineStr">
        <is>
          <t>System</t>
        </is>
      </c>
      <c r="J102" s="3" t="inlineStr">
        <is>
          <t>Bela Lukavcová</t>
        </is>
      </c>
      <c r="K102" s="4" t="n">
        <v>46114.42853009259</v>
      </c>
      <c r="L102" s="5" t="n">
        <v>46114.0</v>
      </c>
      <c r="M102" s="3" t="inlineStr">
        <is>
          <t>Approved</t>
        </is>
      </c>
      <c r="N102" s="3" t="inlineStr">
        <is>
          <t>Site Close</t>
        </is>
      </c>
      <c r="O102" s="3" t="inlineStr">
        <is>
          <t>Czech Republic</t>
        </is>
      </c>
      <c r="P102" s="3" t="inlineStr">
        <is>
          <t>Z92-CZ10003</t>
        </is>
      </c>
      <c r="Q102" s="3" t="inlineStr">
        <is>
          <t>77242113UCO2001</t>
        </is>
      </c>
    </row>
    <row r="103">
      <c r="A103" s="2" t="str">
        <f>HYPERLINK("https://vtmf.veevavault.com/ui/#doc_info/31328067/1/0", "77242113UCO2001-CZE-Z92-CZ10003-Drug Accountability Form-12 Mar 2026 (v1.0)")</f>
        <v>77242113UCO2001-CZE-Z92-CZ10003-Drug Accountability Form-12 Mar 2026 (v1.0)</v>
      </c>
      <c r="B103" s="3" t="inlineStr">
        <is>
          <t>Bela Lukavcová</t>
        </is>
      </c>
      <c r="C103" s="3" t="inlineStr">
        <is>
          <t>IP and Trial Supplies</t>
        </is>
      </c>
      <c r="D103" s="3" t="inlineStr">
        <is>
          <t>IP Documentation</t>
        </is>
      </c>
      <c r="E103" s="3" t="inlineStr">
        <is>
          <t>Drug Accountability Form</t>
        </is>
      </c>
      <c r="F103" s="3" t="inlineStr">
        <is>
          <t>Drug Accountability Form_Single_CZ100030002</t>
        </is>
      </c>
      <c r="G103" s="2" t="str">
        <f>HYPERLINK("https://vtmf.veevavault.com/ui/#doc_info/31328067/1/0", "VTMF-25264755")</f>
        <v>VTMF-25264755</v>
      </c>
      <c r="H103" s="3" t="inlineStr">
        <is>
          <t/>
        </is>
      </c>
      <c r="I103" s="3" t="inlineStr">
        <is>
          <t>System</t>
        </is>
      </c>
      <c r="J103" s="3" t="inlineStr">
        <is>
          <t>Bela Lukavcová</t>
        </is>
      </c>
      <c r="K103" s="4" t="n">
        <v>46114.43586805555</v>
      </c>
      <c r="L103" s="5" t="n">
        <v>46114.0</v>
      </c>
      <c r="M103" s="3" t="inlineStr">
        <is>
          <t>Approved</t>
        </is>
      </c>
      <c r="N103" s="3" t="inlineStr">
        <is>
          <t>Site Close</t>
        </is>
      </c>
      <c r="O103" s="3" t="inlineStr">
        <is>
          <t>Czech Republic</t>
        </is>
      </c>
      <c r="P103" s="3" t="inlineStr">
        <is>
          <t>Z92-CZ10003</t>
        </is>
      </c>
      <c r="Q103" s="3" t="inlineStr">
        <is>
          <t>77242113UCO2001</t>
        </is>
      </c>
    </row>
    <row r="104">
      <c r="A104" s="2" t="str">
        <f>HYPERLINK("https://vtmf.veevavault.com/ui/#doc_info/24275071/1/0", "77242113UCO2001-CZE-Z92-CZ10003-Feasibility Documentation-16 Jun 2023 (v1.0)")</f>
        <v>77242113UCO2001-CZE-Z92-CZ10003-Feasibility Documentation-16 Jun 2023 (v1.0)</v>
      </c>
      <c r="B104" s="3" t="inlineStr">
        <is>
          <t>Vladimir Buzalka</t>
        </is>
      </c>
      <c r="C104" s="3" t="inlineStr">
        <is>
          <t>Site Management</t>
        </is>
      </c>
      <c r="D104" s="3" t="inlineStr">
        <is>
          <t>Site Selection</t>
        </is>
      </c>
      <c r="E104" s="3" t="inlineStr">
        <is>
          <t>Feasibility Documentation</t>
        </is>
      </c>
      <c r="F104" s="3" t="inlineStr">
        <is>
          <t>Site selection notification 16JUN2023</t>
        </is>
      </c>
      <c r="G104" s="2" t="str">
        <f>HYPERLINK("https://vtmf.veevavault.com/ui/#doc_info/24275071/1/0", "VTMF-19270988")</f>
        <v>VTMF-19270988</v>
      </c>
      <c r="H104" s="3" t="inlineStr">
        <is>
          <t/>
        </is>
      </c>
      <c r="I104" s="3" t="inlineStr">
        <is>
          <t>Anthony Suarez (veeva.com)</t>
        </is>
      </c>
      <c r="J104" s="3" t="inlineStr">
        <is>
          <t>Vladimir Buzalka</t>
        </is>
      </c>
      <c r="K104" s="4" t="n">
        <v>45093.39760416667</v>
      </c>
      <c r="L104" s="5" t="n">
        <v>45093.0</v>
      </c>
      <c r="M104" s="3" t="inlineStr">
        <is>
          <t>Approved</t>
        </is>
      </c>
      <c r="N104" s="3" t="inlineStr">
        <is>
          <t>Available for Distribution, CLIX Filing, Site Close</t>
        </is>
      </c>
      <c r="O104" s="3" t="inlineStr">
        <is>
          <t>Czech Republic</t>
        </is>
      </c>
      <c r="P104" s="3" t="inlineStr">
        <is>
          <t>Z92-CZ10003</t>
        </is>
      </c>
      <c r="Q104" s="3" t="inlineStr">
        <is>
          <t>77242113UCO2001</t>
        </is>
      </c>
    </row>
    <row r="105">
      <c r="A105" s="2" t="str">
        <f>HYPERLINK("https://vtmf.veevavault.com/ui/#doc_info/31278128/1/0", "77242113UCO2001-CZE-Z92-CZ10003-Final Trial Close Out Monitoring Report-12 Mar 2026 (v1.0)")</f>
        <v>77242113UCO2001-CZE-Z92-CZ10003-Final Trial Close Out Monitoring Report-12 Mar 2026 (v1.0)</v>
      </c>
      <c r="B105" s="3" t="inlineStr">
        <is>
          <t>Admin User Medidata</t>
        </is>
      </c>
      <c r="C105" s="3" t="inlineStr">
        <is>
          <t>Site Management</t>
        </is>
      </c>
      <c r="D105" s="3" t="inlineStr">
        <is>
          <t>Site Management</t>
        </is>
      </c>
      <c r="E105" s="3" t="inlineStr">
        <is>
          <t>Final Trial Close Out Monitoring Report</t>
        </is>
      </c>
      <c r="F105" s="3" t="inlineStr">
        <is>
          <t/>
        </is>
      </c>
      <c r="G105" s="2" t="str">
        <f>HYPERLINK("https://vtmf.veevavault.com/ui/#doc_info/31278128/1/0", "VTMF-25225369")</f>
        <v>VTMF-25225369</v>
      </c>
      <c r="H105" s="3" t="inlineStr">
        <is>
          <t/>
        </is>
      </c>
      <c r="I105" s="3" t="inlineStr">
        <is>
          <t>System</t>
        </is>
      </c>
      <c r="J105" s="3" t="inlineStr">
        <is>
          <t>Admin User Medidata</t>
        </is>
      </c>
      <c r="K105" s="4" t="n">
        <v>46107.51844907407</v>
      </c>
      <c r="L105" s="5" t="n">
        <v>46107.0</v>
      </c>
      <c r="M105" s="3" t="inlineStr">
        <is>
          <t>Approved</t>
        </is>
      </c>
      <c r="N105" s="3" t="inlineStr">
        <is>
          <t>Site Close</t>
        </is>
      </c>
      <c r="O105" s="3" t="inlineStr">
        <is>
          <t>Czech Republic</t>
        </is>
      </c>
      <c r="P105" s="3" t="inlineStr">
        <is>
          <t>Z92-CZ10003</t>
        </is>
      </c>
      <c r="Q105" s="3" t="inlineStr">
        <is>
          <t>77242113UCO2001</t>
        </is>
      </c>
    </row>
    <row r="106">
      <c r="A106" s="2" t="str">
        <f>HYPERLINK("https://vtmf.veevavault.com/ui/#doc_info/25366614/1/0", "77242113UCO2001-CZE-Z92-CZ10003-Financial Disclosure Form-13 Dec 2023 (v1.0)")</f>
        <v>77242113UCO2001-CZE-Z92-CZ10003-Financial Disclosure Form-13 Dec 2023 (v1.0)</v>
      </c>
      <c r="B106" s="3" t="inlineStr">
        <is>
          <t>Lenka Placha</t>
        </is>
      </c>
      <c r="C106" s="3" t="inlineStr">
        <is>
          <t>Site Management</t>
        </is>
      </c>
      <c r="D106" s="3" t="inlineStr">
        <is>
          <t>Site Set-up Documentation</t>
        </is>
      </c>
      <c r="E106" s="3" t="inlineStr">
        <is>
          <t>Financial Disclosure Form</t>
        </is>
      </c>
      <c r="F106" s="3" t="inlineStr">
        <is>
          <t>IFDF_SI Siroky Milan_Initial_13Dec23</t>
        </is>
      </c>
      <c r="G106" s="2" t="str">
        <f>HYPERLINK("https://vtmf.veevavault.com/ui/#doc_info/25366614/1/0", "VTMF-20223160")</f>
        <v>VTMF-20223160</v>
      </c>
      <c r="H106" s="3" t="inlineStr">
        <is>
          <t/>
        </is>
      </c>
      <c r="I106" s="3" t="inlineStr">
        <is>
          <t>Anthony Suarez (veeva.com)</t>
        </is>
      </c>
      <c r="J106" s="3" t="inlineStr">
        <is>
          <t>Lenka Placha</t>
        </is>
      </c>
      <c r="K106" s="4" t="n">
        <v>45278.82579861111</v>
      </c>
      <c r="L106" s="5" t="n">
        <v>45278.0</v>
      </c>
      <c r="M106" s="3" t="inlineStr">
        <is>
          <t>Approved</t>
        </is>
      </c>
      <c r="N106" s="3" t="inlineStr">
        <is>
          <t>Available for Distribution, IP Release, Ready for TMF Lock, Site Start</t>
        </is>
      </c>
      <c r="O106" s="3" t="inlineStr">
        <is>
          <t>Czech Republic</t>
        </is>
      </c>
      <c r="P106" s="3" t="inlineStr">
        <is>
          <t>Z92-CZ10003</t>
        </is>
      </c>
      <c r="Q106" s="3" t="inlineStr">
        <is>
          <t>77242113UCO2001</t>
        </is>
      </c>
    </row>
    <row r="107">
      <c r="A107" s="2" t="str">
        <f>HYPERLINK("https://vtmf.veevavault.com/ui/#doc_info/25362978/2/0", "77242113UCO2001-CZE-Z92-CZ10003-Form FDA1572-21 Feb 2024 (v2.0)")</f>
        <v>77242113UCO2001-CZE-Z92-CZ10003-Form FDA1572-21 Feb 2024 (v2.0)</v>
      </c>
      <c r="B107" s="3" t="inlineStr">
        <is>
          <t>Lenka Placha</t>
        </is>
      </c>
      <c r="C107" s="3" t="inlineStr">
        <is>
          <t>Site Management</t>
        </is>
      </c>
      <c r="D107" s="3" t="inlineStr">
        <is>
          <t>Site Set-up Documentation</t>
        </is>
      </c>
      <c r="E107" s="3" t="inlineStr">
        <is>
          <t>Form FDA1572</t>
        </is>
      </c>
      <c r="F107" s="3" t="inlineStr">
        <is>
          <t>FDA1572_initial_12Dec23_PI Siroky Milan Jr._not signed_12Dec23-update 21Feb24</t>
        </is>
      </c>
      <c r="G107" s="2" t="str">
        <f>HYPERLINK("https://vtmf.veevavault.com/ui/#doc_info/25362978/2/0", "VTMF-20220220")</f>
        <v>VTMF-20220220</v>
      </c>
      <c r="H107" s="3" t="inlineStr">
        <is>
          <t/>
        </is>
      </c>
      <c r="I107" s="3" t="inlineStr">
        <is>
          <t>Anthony Suarez (veeva.com)</t>
        </is>
      </c>
      <c r="J107" s="3" t="inlineStr">
        <is>
          <t>Lenka Placha</t>
        </is>
      </c>
      <c r="K107" s="4" t="n">
        <v>45343.95930555555</v>
      </c>
      <c r="L107" s="5" t="n">
        <v>45343.0</v>
      </c>
      <c r="M107" s="3" t="inlineStr">
        <is>
          <t>Approved</t>
        </is>
      </c>
      <c r="N107" s="3" t="inlineStr">
        <is>
          <t>Available for Distribution, CLIX Filing, Site Close</t>
        </is>
      </c>
      <c r="O107" s="3" t="inlineStr">
        <is>
          <t>Czech Republic</t>
        </is>
      </c>
      <c r="P107" s="3" t="inlineStr">
        <is>
          <t>Z92-CZ10003</t>
        </is>
      </c>
      <c r="Q107" s="3" t="inlineStr">
        <is>
          <t>77242113UCO2001</t>
        </is>
      </c>
    </row>
    <row r="108">
      <c r="A108" s="2" t="str">
        <f>HYPERLINK("https://vtmf.veevavault.com/ui/#doc_info/29822958/1/0", "77242113UCO2001-CZE-Z92-CZ10003-Handover Document/Transition Checklist-25 Aug 2025 (v1.0)")</f>
        <v>77242113UCO2001-CZE-Z92-CZ10003-Handover Document/Transition Checklist-25 Aug 2025 (v1.0)</v>
      </c>
      <c r="B108" s="3" t="inlineStr">
        <is>
          <t>Lenka Placha</t>
        </is>
      </c>
      <c r="C108" s="3" t="inlineStr">
        <is>
          <t>Trial Management</t>
        </is>
      </c>
      <c r="D108" s="3" t="inlineStr">
        <is>
          <t>Trial Team</t>
        </is>
      </c>
      <c r="E108" s="3" t="inlineStr">
        <is>
          <t>Handover Document/Transition Checklist</t>
        </is>
      </c>
      <c r="F108" s="3" t="inlineStr">
        <is>
          <t>handover_77242113UCO2001_ site Z92-CZ10003_ Placha Lenka_Ruiz Kajtarova Agnesa _25Aug25</t>
        </is>
      </c>
      <c r="G108" s="2" t="str">
        <f>HYPERLINK("https://vtmf.veevavault.com/ui/#doc_info/29822958/1/0", "VTMF-24001412")</f>
        <v>VTMF-24001412</v>
      </c>
      <c r="H108" s="3" t="inlineStr">
        <is>
          <t/>
        </is>
      </c>
      <c r="I108" s="3" t="inlineStr">
        <is>
          <t>System</t>
        </is>
      </c>
      <c r="J108" s="3" t="inlineStr">
        <is>
          <t>Lenka Placha</t>
        </is>
      </c>
      <c r="K108" s="4" t="n">
        <v>45894.738078703704</v>
      </c>
      <c r="L108" s="5" t="n">
        <v>45894.0</v>
      </c>
      <c r="M108" s="3" t="inlineStr">
        <is>
          <t>Approved</t>
        </is>
      </c>
      <c r="N108" s="3" t="inlineStr">
        <is>
          <t>Not associated to a milestone</t>
        </is>
      </c>
      <c r="O108" s="3" t="inlineStr">
        <is>
          <t>Czech Republic</t>
        </is>
      </c>
      <c r="P108" s="3" t="inlineStr">
        <is>
          <t>Z92-CZ10003</t>
        </is>
      </c>
      <c r="Q108" s="3" t="inlineStr">
        <is>
          <t>77242113UCO2001</t>
        </is>
      </c>
    </row>
    <row r="109">
      <c r="A109" s="2" t="str">
        <f>HYPERLINK("https://vtmf.veevavault.com/ui/#doc_info/31168035/1/0", "77242113UCO2001-CZE-Z92-CZ10003-IP Destruction Form-16 Jan 2026 (v1.0)")</f>
        <v>77242113UCO2001-CZE-Z92-CZ10003-IP Destruction Form-16 Jan 2026 (v1.0)</v>
      </c>
      <c r="B109" s="3" t="inlineStr">
        <is>
          <t>Jitka Kone</t>
        </is>
      </c>
      <c r="C109" s="3" t="inlineStr">
        <is>
          <t>IP and Trial Supplies</t>
        </is>
      </c>
      <c r="D109" s="3" t="inlineStr">
        <is>
          <t>IP Documentation</t>
        </is>
      </c>
      <c r="E109" s="3" t="inlineStr">
        <is>
          <t>IP Destruction Form</t>
        </is>
      </c>
      <c r="F109" s="3" t="inlineStr">
        <is>
          <t>Destruction form CZ-DESTR-002-2026</t>
        </is>
      </c>
      <c r="G109" s="2" t="str">
        <f>HYPERLINK("https://vtmf.veevavault.com/ui/#doc_info/31168035/1/0", "VTMF-25131233")</f>
        <v>VTMF-25131233</v>
      </c>
      <c r="H109" s="3" t="inlineStr">
        <is>
          <t/>
        </is>
      </c>
      <c r="I109" s="3" t="inlineStr">
        <is>
          <t>System</t>
        </is>
      </c>
      <c r="J109" s="3" t="inlineStr">
        <is>
          <t>Jitka Kone</t>
        </is>
      </c>
      <c r="K109" s="4" t="n">
        <v>46093.356990740744</v>
      </c>
      <c r="L109" s="5" t="n">
        <v>46093.0</v>
      </c>
      <c r="M109" s="3" t="inlineStr">
        <is>
          <t>Approved</t>
        </is>
      </c>
      <c r="N109" s="3" t="inlineStr">
        <is>
          <t>Available for Distribution, CLIX Filing, Country Close, Site Close</t>
        </is>
      </c>
      <c r="O109" s="3" t="inlineStr">
        <is>
          <t>Czech Republic</t>
        </is>
      </c>
      <c r="P109" s="3" t="inlineStr">
        <is>
          <t>Z92-CZ10003</t>
        </is>
      </c>
      <c r="Q109" s="3" t="inlineStr">
        <is>
          <t>77242113UCO2001</t>
        </is>
      </c>
    </row>
    <row r="110">
      <c r="A110" s="2" t="str">
        <f>HYPERLINK("https://vtmf.veevavault.com/ui/#doc_info/29533415/1/0", "77242113UCO2001-CZE-Z92-CZ10003-IP Destruction Form-16 Jun 2025 (v1.0)")</f>
        <v>77242113UCO2001-CZE-Z92-CZ10003-IP Destruction Form-16 Jun 2025 (v1.0)</v>
      </c>
      <c r="B110" s="3" t="inlineStr">
        <is>
          <t>Jitka Kone</t>
        </is>
      </c>
      <c r="C110" s="3" t="inlineStr">
        <is>
          <t>IP and Trial Supplies</t>
        </is>
      </c>
      <c r="D110" s="3" t="inlineStr">
        <is>
          <t>IP Documentation</t>
        </is>
      </c>
      <c r="E110" s="3" t="inlineStr">
        <is>
          <t>IP Destruction Form</t>
        </is>
      </c>
      <c r="F110" s="3" t="inlineStr">
        <is>
          <t>Destruction log_CZ-DESTR-044-2025</t>
        </is>
      </c>
      <c r="G110" s="2" t="str">
        <f>HYPERLINK("https://vtmf.veevavault.com/ui/#doc_info/29533415/1/0", "VTMF-23753648")</f>
        <v>VTMF-23753648</v>
      </c>
      <c r="H110" s="3" t="inlineStr">
        <is>
          <t/>
        </is>
      </c>
      <c r="I110" s="3" t="inlineStr">
        <is>
          <t>System</t>
        </is>
      </c>
      <c r="J110" s="3" t="inlineStr">
        <is>
          <t>Jitka Kone</t>
        </is>
      </c>
      <c r="K110" s="4" t="n">
        <v>45848.64859953704</v>
      </c>
      <c r="L110" s="5" t="n">
        <v>45848.0</v>
      </c>
      <c r="M110" s="3" t="inlineStr">
        <is>
          <t>Approved</t>
        </is>
      </c>
      <c r="N110" s="3" t="inlineStr">
        <is>
          <t>Available for Distribution, CLIX Filing, Country Close, Site Close</t>
        </is>
      </c>
      <c r="O110" s="3" t="inlineStr">
        <is>
          <t>Czech Republic</t>
        </is>
      </c>
      <c r="P110" s="3" t="inlineStr">
        <is>
          <t>Z92-CZ10003</t>
        </is>
      </c>
      <c r="Q110" s="3" t="inlineStr">
        <is>
          <t>77242113UCO2001</t>
        </is>
      </c>
    </row>
    <row r="111">
      <c r="A111" s="2" t="str">
        <f>HYPERLINK("https://vtmf.veevavault.com/ui/#doc_info/29533445/1/0", "77242113UCO2001-CZE-Z92-CZ10003-IP Destruction Form-16 Jun 2025 (v1.0)")</f>
        <v>77242113UCO2001-CZE-Z92-CZ10003-IP Destruction Form-16 Jun 2025 (v1.0)</v>
      </c>
      <c r="B111" s="3" t="inlineStr">
        <is>
          <t>Jitka Kone</t>
        </is>
      </c>
      <c r="C111" s="3" t="inlineStr">
        <is>
          <t>IP and Trial Supplies</t>
        </is>
      </c>
      <c r="D111" s="3" t="inlineStr">
        <is>
          <t>IP Documentation</t>
        </is>
      </c>
      <c r="E111" s="3" t="inlineStr">
        <is>
          <t>IP Destruction Form</t>
        </is>
      </c>
      <c r="F111" s="3" t="inlineStr">
        <is>
          <t>Destruction log_CZ-DESTR-045-2025</t>
        </is>
      </c>
      <c r="G111" s="2" t="str">
        <f>HYPERLINK("https://vtmf.veevavault.com/ui/#doc_info/29533445/1/0", "VTMF-23753721")</f>
        <v>VTMF-23753721</v>
      </c>
      <c r="H111" s="3" t="inlineStr">
        <is>
          <t/>
        </is>
      </c>
      <c r="I111" s="3" t="inlineStr">
        <is>
          <t>System</t>
        </is>
      </c>
      <c r="J111" s="3" t="inlineStr">
        <is>
          <t>Jitka Kone</t>
        </is>
      </c>
      <c r="K111" s="4" t="n">
        <v>45848.6528125</v>
      </c>
      <c r="L111" s="5" t="n">
        <v>45848.0</v>
      </c>
      <c r="M111" s="3" t="inlineStr">
        <is>
          <t>Approved</t>
        </is>
      </c>
      <c r="N111" s="3" t="inlineStr">
        <is>
          <t>Available for Distribution, CLIX Filing, Country Close, Site Close</t>
        </is>
      </c>
      <c r="O111" s="3" t="inlineStr">
        <is>
          <t>Czech Republic</t>
        </is>
      </c>
      <c r="P111" s="3" t="inlineStr">
        <is>
          <t>Z92-CZ10003</t>
        </is>
      </c>
      <c r="Q111" s="3" t="inlineStr">
        <is>
          <t>77242113UCO2001</t>
        </is>
      </c>
    </row>
    <row r="112">
      <c r="A112" s="2" t="str">
        <f>HYPERLINK("https://vtmf.veevavault.com/ui/#doc_info/28067393/1/0", "77242113UCO2001-CZE-Z92-CZ10003-IP Destruction Form-18 Dec 2024 (v1.0)")</f>
        <v>77242113UCO2001-CZE-Z92-CZ10003-IP Destruction Form-18 Dec 2024 (v1.0)</v>
      </c>
      <c r="B112" s="3" t="inlineStr">
        <is>
          <t>Jitka Kone</t>
        </is>
      </c>
      <c r="C112" s="3" t="inlineStr">
        <is>
          <t>IP and Trial Supplies</t>
        </is>
      </c>
      <c r="D112" s="3" t="inlineStr">
        <is>
          <t>IP Documentation</t>
        </is>
      </c>
      <c r="E112" s="3" t="inlineStr">
        <is>
          <t>IP Destruction Form</t>
        </is>
      </c>
      <c r="F112" s="3" t="inlineStr">
        <is>
          <t>Destruction log CZ-DESTR-105-2024</t>
        </is>
      </c>
      <c r="G112" s="2" t="str">
        <f>HYPERLINK("https://vtmf.veevavault.com/ui/#doc_info/28067393/1/0", "VTMF-22508544")</f>
        <v>VTMF-22508544</v>
      </c>
      <c r="H112" s="3" t="inlineStr">
        <is>
          <t/>
        </is>
      </c>
      <c r="I112" s="3" t="inlineStr">
        <is>
          <t>System</t>
        </is>
      </c>
      <c r="J112" s="3" t="inlineStr">
        <is>
          <t>Jitka Kone</t>
        </is>
      </c>
      <c r="K112" s="4" t="n">
        <v>45670.64650462963</v>
      </c>
      <c r="L112" s="5" t="n">
        <v>45670.0</v>
      </c>
      <c r="M112" s="3" t="inlineStr">
        <is>
          <t>Approved</t>
        </is>
      </c>
      <c r="N112" s="3" t="inlineStr">
        <is>
          <t>Available for Distribution, CLIX Filing, Country Close, Site Close</t>
        </is>
      </c>
      <c r="O112" s="3" t="inlineStr">
        <is>
          <t>Czech Republic</t>
        </is>
      </c>
      <c r="P112" s="3" t="inlineStr">
        <is>
          <t>Z92-CZ10003</t>
        </is>
      </c>
      <c r="Q112" s="3" t="inlineStr">
        <is>
          <t>77242113UCO2001</t>
        </is>
      </c>
    </row>
    <row r="113">
      <c r="A113" s="2" t="str">
        <f>HYPERLINK("https://vtmf.veevavault.com/ui/#doc_info/26801942/1/0", "77242113UCO2001-CZE-Z92-CZ10003-IP Destruction Form-18 Jul 2024 (v1.0)")</f>
        <v>77242113UCO2001-CZE-Z92-CZ10003-IP Destruction Form-18 Jul 2024 (v1.0)</v>
      </c>
      <c r="B113" s="3" t="inlineStr">
        <is>
          <t>Lenka Placha</t>
        </is>
      </c>
      <c r="C113" s="3" t="inlineStr">
        <is>
          <t>IP and Trial Supplies</t>
        </is>
      </c>
      <c r="D113" s="3" t="inlineStr">
        <is>
          <t>IP Documentation</t>
        </is>
      </c>
      <c r="E113" s="3" t="inlineStr">
        <is>
          <t>IP Destruction Form</t>
        </is>
      </c>
      <c r="F113" s="3" t="inlineStr">
        <is>
          <t>IP destruction form-site Z92-CZ10003- 18Jul24- not confirmed by Alloga</t>
        </is>
      </c>
      <c r="G113" s="2" t="str">
        <f>HYPERLINK("https://vtmf.veevavault.com/ui/#doc_info/26801942/1/0", "VTMF-21480082")</f>
        <v>VTMF-21480082</v>
      </c>
      <c r="H113" s="3" t="inlineStr">
        <is>
          <t/>
        </is>
      </c>
      <c r="I113" s="3" t="inlineStr">
        <is>
          <t>Anthony Suarez (veeva.com)</t>
        </is>
      </c>
      <c r="J113" s="3" t="inlineStr">
        <is>
          <t>Lenka Placha</t>
        </is>
      </c>
      <c r="K113" s="4" t="n">
        <v>45504.51038194444</v>
      </c>
      <c r="L113" s="5" t="n">
        <v>45504.0</v>
      </c>
      <c r="M113" s="3" t="inlineStr">
        <is>
          <t>Approved</t>
        </is>
      </c>
      <c r="N113" s="3" t="inlineStr">
        <is>
          <t>Available for Distribution, CLIX Filing, Site Close</t>
        </is>
      </c>
      <c r="O113" s="3" t="inlineStr">
        <is>
          <t>Czech Republic</t>
        </is>
      </c>
      <c r="P113" s="3" t="inlineStr">
        <is>
          <t>Z92-CZ10003</t>
        </is>
      </c>
      <c r="Q113" s="3" t="inlineStr">
        <is>
          <t>77242113UCO2001</t>
        </is>
      </c>
    </row>
    <row r="114">
      <c r="A114" s="2" t="str">
        <f>HYPERLINK("https://vtmf.veevavault.com/ui/#doc_info/27781303/2/0", "77242113UCO2001-CZE-Z92-CZ10003-IP Destruction Form-22 Oct 2024 (v2.0)")</f>
        <v>77242113UCO2001-CZE-Z92-CZ10003-IP Destruction Form-22 Oct 2024 (v2.0)</v>
      </c>
      <c r="B114" s="3" t="inlineStr">
        <is>
          <t>Jitka Kone</t>
        </is>
      </c>
      <c r="C114" s="3" t="inlineStr">
        <is>
          <t>IP and Trial Supplies</t>
        </is>
      </c>
      <c r="D114" s="3" t="inlineStr">
        <is>
          <t>IP Documentation</t>
        </is>
      </c>
      <c r="E114" s="3" t="inlineStr">
        <is>
          <t>IP Destruction Form</t>
        </is>
      </c>
      <c r="F114" s="3" t="inlineStr">
        <is>
          <t>Destruction log_CZ-DESTR-097A-2024</t>
        </is>
      </c>
      <c r="G114" s="2" t="str">
        <f>HYPERLINK("https://vtmf.veevavault.com/ui/#doc_info/27781303/2/0", "VTMF-22276735")</f>
        <v>VTMF-22276735</v>
      </c>
      <c r="H114" s="3" t="inlineStr">
        <is>
          <t/>
        </is>
      </c>
      <c r="I114" s="3" t="inlineStr">
        <is>
          <t>Anthony Suarez (veeva.com)</t>
        </is>
      </c>
      <c r="J114" s="3" t="inlineStr">
        <is>
          <t>Jitka Kone</t>
        </is>
      </c>
      <c r="K114" s="4" t="n">
        <v>45643.55940972222</v>
      </c>
      <c r="L114" s="5" t="n">
        <v>45643.0</v>
      </c>
      <c r="M114" s="3" t="inlineStr">
        <is>
          <t>Approved</t>
        </is>
      </c>
      <c r="N114" s="3" t="inlineStr">
        <is>
          <t>Available for Distribution, CLIX Filing, Country Close, Site Close</t>
        </is>
      </c>
      <c r="O114" s="3" t="inlineStr">
        <is>
          <t>Czech Republic</t>
        </is>
      </c>
      <c r="P114" s="3" t="inlineStr">
        <is>
          <t>Z92-CZ10003</t>
        </is>
      </c>
      <c r="Q114" s="3" t="inlineStr">
        <is>
          <t>77242113UCO2001</t>
        </is>
      </c>
    </row>
    <row r="115">
      <c r="A115" s="2" t="str">
        <f>HYPERLINK("https://vtmf.veevavault.com/ui/#doc_info/28691286/1/0", "77242113UCO2001-CZE-Z92-CZ10003-IP Destruction Form-25 Feb 2025 (v1.0)")</f>
        <v>77242113UCO2001-CZE-Z92-CZ10003-IP Destruction Form-25 Feb 2025 (v1.0)</v>
      </c>
      <c r="B115" s="3" t="inlineStr">
        <is>
          <t>Jitka Kone</t>
        </is>
      </c>
      <c r="C115" s="3" t="inlineStr">
        <is>
          <t>IP and Trial Supplies</t>
        </is>
      </c>
      <c r="D115" s="3" t="inlineStr">
        <is>
          <t>IP Documentation</t>
        </is>
      </c>
      <c r="E115" s="3" t="inlineStr">
        <is>
          <t>IP Destruction Form</t>
        </is>
      </c>
      <c r="F115" s="3" t="inlineStr">
        <is>
          <t>Destructon log CZ-DESTR-014-2025</t>
        </is>
      </c>
      <c r="G115" s="2" t="str">
        <f>HYPERLINK("https://vtmf.veevavault.com/ui/#doc_info/28691286/1/0", "VTMF-23047286")</f>
        <v>VTMF-23047286</v>
      </c>
      <c r="H115" s="3" t="inlineStr">
        <is>
          <t/>
        </is>
      </c>
      <c r="I115" s="3" t="inlineStr">
        <is>
          <t>System</t>
        </is>
      </c>
      <c r="J115" s="3" t="inlineStr">
        <is>
          <t>Jitka Kone</t>
        </is>
      </c>
      <c r="K115" s="4" t="n">
        <v>45734.53362268519</v>
      </c>
      <c r="L115" s="5" t="n">
        <v>45734.0</v>
      </c>
      <c r="M115" s="3" t="inlineStr">
        <is>
          <t>Approved</t>
        </is>
      </c>
      <c r="N115" s="3" t="inlineStr">
        <is>
          <t>Available for Distribution, CLIX Filing, Country Close, Site Close</t>
        </is>
      </c>
      <c r="O115" s="3" t="inlineStr">
        <is>
          <t>Czech Republic</t>
        </is>
      </c>
      <c r="P115" s="3" t="inlineStr">
        <is>
          <t>Z92-CZ10003</t>
        </is>
      </c>
      <c r="Q115" s="3" t="inlineStr">
        <is>
          <t>77242113UCO2001</t>
        </is>
      </c>
    </row>
    <row r="116">
      <c r="A116" s="2" t="str">
        <f>HYPERLINK("https://vtmf.veevavault.com/ui/#doc_info/27443099/1/0", "77242113UCO2001-CZE-Z92-CZ10003-IP Destruction Form-30 Sep 2024 (v1.0)")</f>
        <v>77242113UCO2001-CZE-Z92-CZ10003-IP Destruction Form-30 Sep 2024 (v1.0)</v>
      </c>
      <c r="B116" s="3" t="inlineStr">
        <is>
          <t>Jana Seemanova</t>
        </is>
      </c>
      <c r="C116" s="3" t="inlineStr">
        <is>
          <t>IP and Trial Supplies</t>
        </is>
      </c>
      <c r="D116" s="3" t="inlineStr">
        <is>
          <t>IP Documentation</t>
        </is>
      </c>
      <c r="E116" s="3" t="inlineStr">
        <is>
          <t>IP Destruction Form</t>
        </is>
      </c>
      <c r="F116" s="3" t="inlineStr">
        <is>
          <t>Desctruction log_CZ-DESTR-086-2024</t>
        </is>
      </c>
      <c r="G116" s="2" t="str">
        <f>HYPERLINK("https://vtmf.veevavault.com/ui/#doc_info/27443099/1/0", "VTMF-22008382")</f>
        <v>VTMF-22008382</v>
      </c>
      <c r="H116" s="3" t="inlineStr">
        <is>
          <t/>
        </is>
      </c>
      <c r="I116" s="3" t="inlineStr">
        <is>
          <t>System</t>
        </is>
      </c>
      <c r="J116" s="3" t="inlineStr">
        <is>
          <t>Jana Seemanova</t>
        </is>
      </c>
      <c r="K116" s="4" t="n">
        <v>45603.68173611111</v>
      </c>
      <c r="L116" s="5" t="n">
        <v>45603.0</v>
      </c>
      <c r="M116" s="3" t="inlineStr">
        <is>
          <t>Approved</t>
        </is>
      </c>
      <c r="N116" s="3" t="inlineStr">
        <is>
          <t>Available for Distribution, CLIX Filing, Country Close, Site Close</t>
        </is>
      </c>
      <c r="O116" s="3" t="inlineStr">
        <is>
          <t>Czech Republic</t>
        </is>
      </c>
      <c r="P116" s="3" t="inlineStr">
        <is>
          <t>Z92-CZ10003</t>
        </is>
      </c>
      <c r="Q116" s="3" t="inlineStr">
        <is>
          <t>77242113UCO2001</t>
        </is>
      </c>
    </row>
    <row r="117">
      <c r="A117" s="2" t="str">
        <f>HYPERLINK("https://vtmf.veevavault.com/ui/#doc_info/26881879/1/0", "77242113UCO2001-CZE-Z92-CZ10003-IP Destruction Form-31 Jul 2024 (v1.0)")</f>
        <v>77242113UCO2001-CZE-Z92-CZ10003-IP Destruction Form-31 Jul 2024 (v1.0)</v>
      </c>
      <c r="B117" s="3" t="inlineStr">
        <is>
          <t>Jitka Kone</t>
        </is>
      </c>
      <c r="C117" s="3" t="inlineStr">
        <is>
          <t>IP and Trial Supplies</t>
        </is>
      </c>
      <c r="D117" s="3" t="inlineStr">
        <is>
          <t>IP Documentation</t>
        </is>
      </c>
      <c r="E117" s="3" t="inlineStr">
        <is>
          <t>IP Destruction Form</t>
        </is>
      </c>
      <c r="F117" s="3" t="inlineStr">
        <is>
          <t>Destruction log_CZ-DESTR-068-2024</t>
        </is>
      </c>
      <c r="G117" s="2" t="str">
        <f>HYPERLINK("https://vtmf.veevavault.com/ui/#doc_info/26881879/1/0", "VTMF-21548070")</f>
        <v>VTMF-21548070</v>
      </c>
      <c r="H117" s="3" t="inlineStr">
        <is>
          <t/>
        </is>
      </c>
      <c r="I117" s="3" t="inlineStr">
        <is>
          <t>Anthony Suarez (veeva.com)</t>
        </is>
      </c>
      <c r="J117" s="3" t="inlineStr">
        <is>
          <t>Jitka Kone</t>
        </is>
      </c>
      <c r="K117" s="4" t="n">
        <v>45517.63244212963</v>
      </c>
      <c r="L117" s="5" t="n">
        <v>45517.0</v>
      </c>
      <c r="M117" s="3" t="inlineStr">
        <is>
          <t>Approved</t>
        </is>
      </c>
      <c r="N117" s="3" t="inlineStr">
        <is>
          <t>Available for Distribution, CLIX Filing, Site Close</t>
        </is>
      </c>
      <c r="O117" s="3" t="inlineStr">
        <is>
          <t>Czech Republic</t>
        </is>
      </c>
      <c r="P117" s="3" t="inlineStr">
        <is>
          <t>Z92-CZ10003</t>
        </is>
      </c>
      <c r="Q117" s="3" t="inlineStr">
        <is>
          <t>77242113UCO2001</t>
        </is>
      </c>
    </row>
    <row r="118">
      <c r="A118" s="2" t="str">
        <f>HYPERLINK("https://vtmf.veevavault.com/ui/#doc_info/25374851/1/0", "77242113UCO2001-CZE-Z92-CZ10003-IP Site Release Documentation-19 Dec 2023 (v1.0)")</f>
        <v>77242113UCO2001-CZE-Z92-CZ10003-IP Site Release Documentation-19 Dec 2023 (v1.0)</v>
      </c>
      <c r="B118" s="3" t="inlineStr">
        <is>
          <t>Vladimir Buzalka</t>
        </is>
      </c>
      <c r="C118" s="3" t="inlineStr">
        <is>
          <t>Site Management</t>
        </is>
      </c>
      <c r="D118" s="3" t="inlineStr">
        <is>
          <t>Site Set-up Documentation</t>
        </is>
      </c>
      <c r="E118" s="3" t="inlineStr">
        <is>
          <t>IP Site Release Documentation</t>
        </is>
      </c>
      <c r="F118" s="3" t="inlineStr">
        <is>
          <t>IP shipment approval form 19DEC2023</t>
        </is>
      </c>
      <c r="G118" s="2" t="str">
        <f>HYPERLINK("https://vtmf.veevavault.com/ui/#doc_info/25374851/1/0", "VTMF-20230138")</f>
        <v>VTMF-20230138</v>
      </c>
      <c r="H118" s="3" t="inlineStr">
        <is>
          <t/>
        </is>
      </c>
      <c r="I118" s="3" t="inlineStr">
        <is>
          <t>System</t>
        </is>
      </c>
      <c r="J118" s="3" t="inlineStr">
        <is>
          <t>Vladimir Buzalka</t>
        </is>
      </c>
      <c r="K118" s="4" t="n">
        <v>45279.75508101852</v>
      </c>
      <c r="L118" s="5" t="n">
        <v>45279.0</v>
      </c>
      <c r="M118" s="3" t="inlineStr">
        <is>
          <t>Approved</t>
        </is>
      </c>
      <c r="N118" s="3" t="inlineStr">
        <is>
          <t>Available for Distribution, Site Start</t>
        </is>
      </c>
      <c r="O118" s="3" t="inlineStr">
        <is>
          <t>Czech Republic</t>
        </is>
      </c>
      <c r="P118" s="3" t="inlineStr">
        <is>
          <t>Z92-CZ10003</t>
        </is>
      </c>
      <c r="Q118" s="3" t="inlineStr">
        <is>
          <t>77242113UCO2001</t>
        </is>
      </c>
    </row>
    <row r="119">
      <c r="A119" s="2" t="str">
        <f>HYPERLINK("https://vtmf.veevavault.com/ui/#doc_info/25362697/1/0", "77242113UCO2001-CZE-Z92-CZ10003-IRB/IEC Composition-18 Dec 2023 (v1.0)")</f>
        <v>77242113UCO2001-CZE-Z92-CZ10003-IRB/IEC Composition-18 Dec 2023 (v1.0)</v>
      </c>
      <c r="B119" s="3" t="inlineStr">
        <is>
          <t>Lenka Placha</t>
        </is>
      </c>
      <c r="C119" s="3" t="inlineStr">
        <is>
          <t>IRB/IEC and other Approvals</t>
        </is>
      </c>
      <c r="D119" s="3" t="inlineStr">
        <is>
          <t>IRB/IEC Trial Approval</t>
        </is>
      </c>
      <c r="E119" s="3" t="inlineStr">
        <is>
          <t>IRB/IEC Composition</t>
        </is>
      </c>
      <c r="F119" s="3" t="inlineStr">
        <is>
          <t>NTF-IRB_IEC membership list_site Z92-CZ10003</t>
        </is>
      </c>
      <c r="G119" s="2" t="str">
        <f>HYPERLINK("https://vtmf.veevavault.com/ui/#doc_info/25362697/1/0", "VTMF-20219990")</f>
        <v>VTMF-20219990</v>
      </c>
      <c r="H119" s="3" t="inlineStr">
        <is>
          <t/>
        </is>
      </c>
      <c r="I119" s="3" t="inlineStr">
        <is>
          <t>System</t>
        </is>
      </c>
      <c r="J119" s="3" t="inlineStr">
        <is>
          <t>Lenka Placha</t>
        </is>
      </c>
      <c r="K119" s="4" t="n">
        <v>45278.500127314815</v>
      </c>
      <c r="L119" s="5" t="n">
        <v>45278.0</v>
      </c>
      <c r="M119" s="3" t="inlineStr">
        <is>
          <t>Approved</t>
        </is>
      </c>
      <c r="N119" s="3" t="inlineStr">
        <is>
          <t>Available for Distribution, Country Start, Site Start</t>
        </is>
      </c>
      <c r="O119" s="3" t="inlineStr">
        <is>
          <t>Czech Republic</t>
        </is>
      </c>
      <c r="P119" s="3" t="inlineStr">
        <is>
          <t>Z92-CZ10003</t>
        </is>
      </c>
      <c r="Q119" s="3" t="inlineStr">
        <is>
          <t>77242113UCO2001</t>
        </is>
      </c>
    </row>
    <row r="120">
      <c r="A120" s="2" t="str">
        <f>HYPERLINK("https://vtmf.veevavault.com/ui/#doc_info/25362744/2/0", "77242113UCO2001-CZE-Z92-CZ10003-IRB/IEC Documentation of Non-Voting Status-17 Jan 2024 (v2.0)")</f>
        <v>77242113UCO2001-CZE-Z92-CZ10003-IRB/IEC Documentation of Non-Voting Status-17 Jan 2024 (v2.0)</v>
      </c>
      <c r="B120" s="3" t="inlineStr">
        <is>
          <t>Lenka Placha</t>
        </is>
      </c>
      <c r="C120" s="3" t="inlineStr">
        <is>
          <t>IRB/IEC and other Approvals</t>
        </is>
      </c>
      <c r="D120" s="3" t="inlineStr">
        <is>
          <t>IRB/IEC Trial Approval</t>
        </is>
      </c>
      <c r="E120" s="3" t="inlineStr">
        <is>
          <t>IRB/IEC Documentation of Non-Voting Status</t>
        </is>
      </c>
      <c r="F120" s="3" t="inlineStr">
        <is>
          <t>NTF-IRB-IEC Documentation of Non-Voting Status_updated_site Z92-CZ10003_17Jan24</t>
        </is>
      </c>
      <c r="G120" s="2" t="str">
        <f>HYPERLINK("https://vtmf.veevavault.com/ui/#doc_info/25362744/2/0", "VTMF-20220033")</f>
        <v>VTMF-20220033</v>
      </c>
      <c r="H120" s="3" t="inlineStr">
        <is>
          <t/>
        </is>
      </c>
      <c r="I120" s="3" t="inlineStr">
        <is>
          <t>Lenka Placha</t>
        </is>
      </c>
      <c r="J120" s="3" t="inlineStr">
        <is>
          <t>Lenka Placha</t>
        </is>
      </c>
      <c r="K120" s="4" t="n">
        <v>45308.581608796296</v>
      </c>
      <c r="L120" s="5" t="n">
        <v>45308.0</v>
      </c>
      <c r="M120" s="3" t="inlineStr">
        <is>
          <t>Approved</t>
        </is>
      </c>
      <c r="N120" s="3" t="inlineStr">
        <is>
          <t>Available for Distribution, Country Start, Site Start</t>
        </is>
      </c>
      <c r="O120" s="3" t="inlineStr">
        <is>
          <t>Czech Republic</t>
        </is>
      </c>
      <c r="P120" s="3" t="inlineStr">
        <is>
          <t>Z92-CZ10003</t>
        </is>
      </c>
      <c r="Q120" s="3" t="inlineStr">
        <is>
          <t>77242113UCO2001</t>
        </is>
      </c>
    </row>
    <row r="121">
      <c r="A121" s="2" t="str">
        <f>HYPERLINK("https://vtmf.veevavault.com/ui/#doc_info/25362715/1/0", "77242113UCO2001-CZE-Z92-CZ10003-IRB/IEC GCP Compliance Statement-18 Dec 2023 (v1.0)")</f>
        <v>77242113UCO2001-CZE-Z92-CZ10003-IRB/IEC GCP Compliance Statement-18 Dec 2023 (v1.0)</v>
      </c>
      <c r="B121" s="3" t="inlineStr">
        <is>
          <t>Lenka Placha</t>
        </is>
      </c>
      <c r="C121" s="3" t="inlineStr">
        <is>
          <t>IRB/IEC and other Approvals</t>
        </is>
      </c>
      <c r="D121" s="3" t="inlineStr">
        <is>
          <t>IRB/IEC Trial Approval</t>
        </is>
      </c>
      <c r="E121" s="3" t="inlineStr">
        <is>
          <t>IRB/IEC GCP Compliance Statement</t>
        </is>
      </c>
      <c r="F121" s="3" t="inlineStr">
        <is>
          <t>NTF-IRB_IEC GCP Compliance Statement_site Z92-CZ10003</t>
        </is>
      </c>
      <c r="G121" s="2" t="str">
        <f>HYPERLINK("https://vtmf.veevavault.com/ui/#doc_info/25362715/1/0", "VTMF-20220008")</f>
        <v>VTMF-20220008</v>
      </c>
      <c r="H121" s="3" t="inlineStr">
        <is>
          <t/>
        </is>
      </c>
      <c r="I121" s="3" t="inlineStr">
        <is>
          <t>System</t>
        </is>
      </c>
      <c r="J121" s="3" t="inlineStr">
        <is>
          <t>Lenka Placha</t>
        </is>
      </c>
      <c r="K121" s="4" t="n">
        <v>45278.50244212963</v>
      </c>
      <c r="L121" s="5" t="n">
        <v>45278.0</v>
      </c>
      <c r="M121" s="3" t="inlineStr">
        <is>
          <t>Approved</t>
        </is>
      </c>
      <c r="N121" s="3" t="inlineStr">
        <is>
          <t>Available for Distribution, Country Start, IP Release, Site Start</t>
        </is>
      </c>
      <c r="O121" s="3" t="inlineStr">
        <is>
          <t>Czech Republic</t>
        </is>
      </c>
      <c r="P121" s="3" t="inlineStr">
        <is>
          <t>Z92-CZ10003</t>
        </is>
      </c>
      <c r="Q121" s="3" t="inlineStr">
        <is>
          <t>77242113UCO2001</t>
        </is>
      </c>
    </row>
    <row r="122">
      <c r="A122" s="2" t="str">
        <f>HYPERLINK("https://vtmf.veevavault.com/ui/#doc_info/25618525/1/0", "77242113UCO2001-CZE-Z92-CZ10003-Monitoring Visit Follow-up Letter--10 Jan 2024 (v1.0)")</f>
        <v>77242113UCO2001-CZE-Z92-CZ10003-Monitoring Visit Follow-up Letter--10 Jan 2024 (v1.0)</v>
      </c>
      <c r="B122" s="3" t="inlineStr">
        <is>
          <t>Lenka Placha</t>
        </is>
      </c>
      <c r="C122" s="3" t="inlineStr">
        <is>
          <t>Site Management</t>
        </is>
      </c>
      <c r="D122" s="3" t="inlineStr">
        <is>
          <t>Site Management</t>
        </is>
      </c>
      <c r="E122" s="3" t="inlineStr">
        <is>
          <t>Monitoring Visit Follow-up Letter</t>
        </is>
      </c>
      <c r="F122" s="3" t="inlineStr">
        <is>
          <t>Follow-up letter MV 10Jan24- site Z92-CZ10003_31Jan24</t>
        </is>
      </c>
      <c r="G122" s="2" t="str">
        <f>HYPERLINK("https://vtmf.veevavault.com/ui/#doc_info/25618525/1/0", "VTMF-20442730")</f>
        <v>VTMF-20442730</v>
      </c>
      <c r="H122" s="3" t="inlineStr">
        <is>
          <t/>
        </is>
      </c>
      <c r="I122" s="3" t="inlineStr">
        <is>
          <t>Anthony Suarez (veeva.com)</t>
        </is>
      </c>
      <c r="J122" s="3" t="inlineStr">
        <is>
          <t>Lenka Placha</t>
        </is>
      </c>
      <c r="K122" s="4" t="n">
        <v>45322.98519675926</v>
      </c>
      <c r="L122" s="5" t="n">
        <v>45322.0</v>
      </c>
      <c r="M122" s="3" t="inlineStr">
        <is>
          <t>Approved</t>
        </is>
      </c>
      <c r="N122" s="3" t="inlineStr">
        <is>
          <t>Available for Distribution, CLIX Filing, Site Close</t>
        </is>
      </c>
      <c r="O122" s="3" t="inlineStr">
        <is>
          <t>Czech Republic</t>
        </is>
      </c>
      <c r="P122" s="3" t="inlineStr">
        <is>
          <t>Z92-CZ10003</t>
        </is>
      </c>
      <c r="Q122" s="3" t="inlineStr">
        <is>
          <t>77242113UCO2001</t>
        </is>
      </c>
    </row>
    <row r="123">
      <c r="A123" s="2" t="str">
        <f>HYPERLINK("https://vtmf.veevavault.com/ui/#doc_info/31280132/1/0", "77242113UCO2001-CZE-Z92-CZ10003-Monitoring Visit Follow-up Letter-SCVR_FL-12 Mar 2026 (v1.0)")</f>
        <v>77242113UCO2001-CZE-Z92-CZ10003-Monitoring Visit Follow-up Letter-SCVR_FL-12 Mar 2026 (v1.0)</v>
      </c>
      <c r="B123" s="3" t="inlineStr">
        <is>
          <t>Admin User Medidata</t>
        </is>
      </c>
      <c r="C123" s="3" t="inlineStr">
        <is>
          <t>Site Management</t>
        </is>
      </c>
      <c r="D123" s="3" t="inlineStr">
        <is>
          <t>Site Management</t>
        </is>
      </c>
      <c r="E123" s="3" t="inlineStr">
        <is>
          <t>Monitoring Visit Follow-up Letter</t>
        </is>
      </c>
      <c r="F123" s="3" t="inlineStr">
        <is>
          <t/>
        </is>
      </c>
      <c r="G123" s="2" t="str">
        <f>HYPERLINK("https://vtmf.veevavault.com/ui/#doc_info/31280132/1/0", "VTMF-25227084")</f>
        <v>VTMF-25227084</v>
      </c>
      <c r="H123" s="3" t="inlineStr">
        <is>
          <t/>
        </is>
      </c>
      <c r="I123" s="3" t="inlineStr">
        <is>
          <t>System</t>
        </is>
      </c>
      <c r="J123" s="3" t="inlineStr">
        <is>
          <t>Admin User Medidata</t>
        </is>
      </c>
      <c r="K123" s="4" t="n">
        <v>46107.682592592595</v>
      </c>
      <c r="L123" s="5" t="n">
        <v>46107.0</v>
      </c>
      <c r="M123" s="3" t="inlineStr">
        <is>
          <t>Approved</t>
        </is>
      </c>
      <c r="N123" s="3" t="inlineStr">
        <is>
          <t>Available for Distribution, CLIX Filing, Not associated to a milestone</t>
        </is>
      </c>
      <c r="O123" s="3" t="inlineStr">
        <is>
          <t>Czech Republic</t>
        </is>
      </c>
      <c r="P123" s="3" t="inlineStr">
        <is>
          <t>Z92-CZ10003</t>
        </is>
      </c>
      <c r="Q123" s="3" t="inlineStr">
        <is>
          <t>77242113UCO2001</t>
        </is>
      </c>
    </row>
    <row r="124">
      <c r="A124" s="2" t="str">
        <f>HYPERLINK("https://vtmf.veevavault.com/ui/#doc_info/25430333/1/0", "77242113UCO2001-CZE-Z92-CZ10003-Monitoring Visit Follow-up Letter-SIVR_FL-14 Dec 2023 (v1.0)")</f>
        <v>77242113UCO2001-CZE-Z92-CZ10003-Monitoring Visit Follow-up Letter-SIVR_FL-14 Dec 2023 (v1.0)</v>
      </c>
      <c r="B124" s="3" t="inlineStr">
        <is>
          <t>Admin User Medidata</t>
        </is>
      </c>
      <c r="C124" s="3" t="inlineStr">
        <is>
          <t>Site Management</t>
        </is>
      </c>
      <c r="D124" s="3" t="inlineStr">
        <is>
          <t>Site Management</t>
        </is>
      </c>
      <c r="E124" s="3" t="inlineStr">
        <is>
          <t>Monitoring Visit Follow-up Letter</t>
        </is>
      </c>
      <c r="F124" s="3" t="inlineStr">
        <is>
          <t/>
        </is>
      </c>
      <c r="G124" s="2" t="str">
        <f>HYPERLINK("https://vtmf.veevavault.com/ui/#doc_info/25430333/1/0", "VTMF-20278904")</f>
        <v>VTMF-20278904</v>
      </c>
      <c r="H124" s="3" t="inlineStr">
        <is>
          <t/>
        </is>
      </c>
      <c r="I124" s="3" t="inlineStr">
        <is>
          <t>System</t>
        </is>
      </c>
      <c r="J124" s="3" t="inlineStr">
        <is>
          <t>Admin User Medidata</t>
        </is>
      </c>
      <c r="K124" s="4" t="n">
        <v>45292.92940972222</v>
      </c>
      <c r="L124" s="5" t="n">
        <v>45292.0</v>
      </c>
      <c r="M124" s="3" t="inlineStr">
        <is>
          <t>Approved</t>
        </is>
      </c>
      <c r="N124" s="3" t="inlineStr">
        <is>
          <t>Available for Distribution, CLIX Filing, Site Close</t>
        </is>
      </c>
      <c r="O124" s="3" t="inlineStr">
        <is>
          <t>Czech Republic</t>
        </is>
      </c>
      <c r="P124" s="3" t="inlineStr">
        <is>
          <t>Z92-CZ10003</t>
        </is>
      </c>
      <c r="Q124" s="3" t="inlineStr">
        <is>
          <t>77242113UCO2001</t>
        </is>
      </c>
    </row>
    <row r="125">
      <c r="A125" s="2" t="str">
        <f>HYPERLINK("https://vtmf.veevavault.com/ui/#doc_info/26392312/1/0", "77242113UCO2001-CZE-Z92-CZ10003-Monitoring Visit Follow-up Letter-SMVR_FL-03 May 2024 (v1.0)")</f>
        <v>77242113UCO2001-CZE-Z92-CZ10003-Monitoring Visit Follow-up Letter-SMVR_FL-03 May 2024 (v1.0)</v>
      </c>
      <c r="B125" s="3" t="inlineStr">
        <is>
          <t>Admin User Medidata</t>
        </is>
      </c>
      <c r="C125" s="3" t="inlineStr">
        <is>
          <t>Site Management</t>
        </is>
      </c>
      <c r="D125" s="3" t="inlineStr">
        <is>
          <t>Site Management</t>
        </is>
      </c>
      <c r="E125" s="3" t="inlineStr">
        <is>
          <t>Monitoring Visit Follow-up Letter</t>
        </is>
      </c>
      <c r="F125" s="3" t="inlineStr">
        <is>
          <t/>
        </is>
      </c>
      <c r="G125" s="2" t="str">
        <f>HYPERLINK("https://vtmf.veevavault.com/ui/#doc_info/26392312/1/0", "VTMF-21122313")</f>
        <v>VTMF-21122313</v>
      </c>
      <c r="H125" s="3" t="inlineStr">
        <is>
          <t/>
        </is>
      </c>
      <c r="I125" s="3" t="inlineStr">
        <is>
          <t>System</t>
        </is>
      </c>
      <c r="J125" s="3" t="inlineStr">
        <is>
          <t>Admin User Medidata</t>
        </is>
      </c>
      <c r="K125" s="4" t="n">
        <v>45436.64204861111</v>
      </c>
      <c r="L125" s="5" t="n">
        <v>45436.0</v>
      </c>
      <c r="M125" s="3" t="inlineStr">
        <is>
          <t>Approved</t>
        </is>
      </c>
      <c r="N125" s="3" t="inlineStr">
        <is>
          <t>Available for Distribution, CLIX Filing, Site Close</t>
        </is>
      </c>
      <c r="O125" s="3" t="inlineStr">
        <is>
          <t>Czech Republic</t>
        </is>
      </c>
      <c r="P125" s="3" t="inlineStr">
        <is>
          <t>Z92-CZ10003</t>
        </is>
      </c>
      <c r="Q125" s="3" t="inlineStr">
        <is>
          <t>77242113UCO2001</t>
        </is>
      </c>
    </row>
    <row r="126">
      <c r="A126" s="2" t="str">
        <f>HYPERLINK("https://vtmf.veevavault.com/ui/#doc_info/29263981/1/0", "77242113UCO2001-CZE-Z92-CZ10003-Monitoring Visit Follow-up Letter-SMVR_FL-14 May 2025 (v1.0)")</f>
        <v>77242113UCO2001-CZE-Z92-CZ10003-Monitoring Visit Follow-up Letter-SMVR_FL-14 May 2025 (v1.0)</v>
      </c>
      <c r="B126" s="3" t="inlineStr">
        <is>
          <t>Admin User Medidata</t>
        </is>
      </c>
      <c r="C126" s="3" t="inlineStr">
        <is>
          <t>Site Management</t>
        </is>
      </c>
      <c r="D126" s="3" t="inlineStr">
        <is>
          <t>Site Management</t>
        </is>
      </c>
      <c r="E126" s="3" t="inlineStr">
        <is>
          <t>Monitoring Visit Follow-up Letter</t>
        </is>
      </c>
      <c r="F126" s="3" t="inlineStr">
        <is>
          <t/>
        </is>
      </c>
      <c r="G126" s="2" t="str">
        <f>HYPERLINK("https://vtmf.veevavault.com/ui/#doc_info/29263981/1/0", "VTMF-23521246")</f>
        <v>VTMF-23521246</v>
      </c>
      <c r="H126" s="3" t="inlineStr">
        <is>
          <t/>
        </is>
      </c>
      <c r="I126" s="3" t="inlineStr">
        <is>
          <t>System</t>
        </is>
      </c>
      <c r="J126" s="3" t="inlineStr">
        <is>
          <t>Admin User Medidata</t>
        </is>
      </c>
      <c r="K126" s="4" t="n">
        <v>45812.489699074074</v>
      </c>
      <c r="L126" s="5" t="n">
        <v>45812.0</v>
      </c>
      <c r="M126" s="3" t="inlineStr">
        <is>
          <t>Approved</t>
        </is>
      </c>
      <c r="N126" s="3" t="inlineStr">
        <is>
          <t>Available for Distribution, CLIX Filing, Not associated to a milestone</t>
        </is>
      </c>
      <c r="O126" s="3" t="inlineStr">
        <is>
          <t>Czech Republic</t>
        </is>
      </c>
      <c r="P126" s="3" t="inlineStr">
        <is>
          <t>Z92-CZ10003</t>
        </is>
      </c>
      <c r="Q126" s="3" t="inlineStr">
        <is>
          <t>77242113UCO2001</t>
        </is>
      </c>
    </row>
    <row r="127">
      <c r="A127" s="2" t="str">
        <f>HYPERLINK("https://vtmf.veevavault.com/ui/#doc_info/30661433/1/0", "77242113UCO2001-CZE-Z92-CZ10003-Monitoring Visit Follow-up Letter-SMVR_FL-17 Dec 2025 (v1.0)")</f>
        <v>77242113UCO2001-CZE-Z92-CZ10003-Monitoring Visit Follow-up Letter-SMVR_FL-17 Dec 2025 (v1.0)</v>
      </c>
      <c r="B127" s="3" t="inlineStr">
        <is>
          <t>Admin User Medidata</t>
        </is>
      </c>
      <c r="C127" s="3" t="inlineStr">
        <is>
          <t>Site Management</t>
        </is>
      </c>
      <c r="D127" s="3" t="inlineStr">
        <is>
          <t>Site Management</t>
        </is>
      </c>
      <c r="E127" s="3" t="inlineStr">
        <is>
          <t>Monitoring Visit Follow-up Letter</t>
        </is>
      </c>
      <c r="F127" s="3" t="inlineStr">
        <is>
          <t/>
        </is>
      </c>
      <c r="G127" s="2" t="str">
        <f>HYPERLINK("https://vtmf.veevavault.com/ui/#doc_info/30661433/1/0", "VTMF-24707054")</f>
        <v>VTMF-24707054</v>
      </c>
      <c r="H127" s="3" t="inlineStr">
        <is>
          <t/>
        </is>
      </c>
      <c r="I127" s="3" t="inlineStr">
        <is>
          <t>System</t>
        </is>
      </c>
      <c r="J127" s="3" t="inlineStr">
        <is>
          <t>Admin User Medidata</t>
        </is>
      </c>
      <c r="K127" s="4" t="n">
        <v>46013.64675925926</v>
      </c>
      <c r="L127" s="5" t="n">
        <v>46013.0</v>
      </c>
      <c r="M127" s="3" t="inlineStr">
        <is>
          <t>Approved</t>
        </is>
      </c>
      <c r="N127" s="3" t="inlineStr">
        <is>
          <t>Available for Distribution, CLIX Filing, Not associated to a milestone</t>
        </is>
      </c>
      <c r="O127" s="3" t="inlineStr">
        <is>
          <t>Czech Republic</t>
        </is>
      </c>
      <c r="P127" s="3" t="inlineStr">
        <is>
          <t>Z92-CZ10003</t>
        </is>
      </c>
      <c r="Q127" s="3" t="inlineStr">
        <is>
          <t>77242113UCO2001</t>
        </is>
      </c>
    </row>
    <row r="128">
      <c r="A128" s="2" t="str">
        <f>HYPERLINK("https://vtmf.veevavault.com/ui/#doc_info/26832911/1/0", "77242113UCO2001-CZE-Z92-CZ10003-Monitoring Visit Follow-up Letter-SMVR_FL-18 Jul 2024 (v1.0)")</f>
        <v>77242113UCO2001-CZE-Z92-CZ10003-Monitoring Visit Follow-up Letter-SMVR_FL-18 Jul 2024 (v1.0)</v>
      </c>
      <c r="B128" s="3" t="inlineStr">
        <is>
          <t>Admin User Medidata</t>
        </is>
      </c>
      <c r="C128" s="3" t="inlineStr">
        <is>
          <t>Site Management</t>
        </is>
      </c>
      <c r="D128" s="3" t="inlineStr">
        <is>
          <t>Site Management</t>
        </is>
      </c>
      <c r="E128" s="3" t="inlineStr">
        <is>
          <t>Monitoring Visit Follow-up Letter</t>
        </is>
      </c>
      <c r="F128" s="3" t="inlineStr">
        <is>
          <t/>
        </is>
      </c>
      <c r="G128" s="2" t="str">
        <f>HYPERLINK("https://vtmf.veevavault.com/ui/#doc_info/26832911/1/0", "VTMF-21505774")</f>
        <v>VTMF-21505774</v>
      </c>
      <c r="H128" s="3" t="inlineStr">
        <is>
          <t/>
        </is>
      </c>
      <c r="I128" s="3" t="inlineStr">
        <is>
          <t>System</t>
        </is>
      </c>
      <c r="J128" s="3" t="inlineStr">
        <is>
          <t>Admin User Medidata</t>
        </is>
      </c>
      <c r="K128" s="4" t="n">
        <v>45509.90696759259</v>
      </c>
      <c r="L128" s="5" t="n">
        <v>45509.0</v>
      </c>
      <c r="M128" s="3" t="inlineStr">
        <is>
          <t>Approved</t>
        </is>
      </c>
      <c r="N128" s="3" t="inlineStr">
        <is>
          <t>Available for Distribution, CLIX Filing, Site Close</t>
        </is>
      </c>
      <c r="O128" s="3" t="inlineStr">
        <is>
          <t>Czech Republic</t>
        </is>
      </c>
      <c r="P128" s="3" t="inlineStr">
        <is>
          <t>Z92-CZ10003</t>
        </is>
      </c>
      <c r="Q128" s="3" t="inlineStr">
        <is>
          <t>77242113UCO2001</t>
        </is>
      </c>
    </row>
    <row r="129">
      <c r="A129" s="2" t="str">
        <f>HYPERLINK("https://vtmf.veevavault.com/ui/#doc_info/27450476/1/0", "77242113UCO2001-CZE-Z92-CZ10003-Monitoring Visit Follow-up Letter-SMVR_FL-18 Oct 2024 (v1.0)")</f>
        <v>77242113UCO2001-CZE-Z92-CZ10003-Monitoring Visit Follow-up Letter-SMVR_FL-18 Oct 2024 (v1.0)</v>
      </c>
      <c r="B129" s="3" t="inlineStr">
        <is>
          <t>Admin User Medidata</t>
        </is>
      </c>
      <c r="C129" s="3" t="inlineStr">
        <is>
          <t>Site Management</t>
        </is>
      </c>
      <c r="D129" s="3" t="inlineStr">
        <is>
          <t>Site Management</t>
        </is>
      </c>
      <c r="E129" s="3" t="inlineStr">
        <is>
          <t>Monitoring Visit Follow-up Letter</t>
        </is>
      </c>
      <c r="F129" s="3" t="inlineStr">
        <is>
          <t/>
        </is>
      </c>
      <c r="G129" s="2" t="str">
        <f>HYPERLINK("https://vtmf.veevavault.com/ui/#doc_info/27450476/1/0", "VTMF-22014772")</f>
        <v>VTMF-22014772</v>
      </c>
      <c r="H129" s="3" t="inlineStr">
        <is>
          <t/>
        </is>
      </c>
      <c r="I129" s="3" t="inlineStr">
        <is>
          <t>System</t>
        </is>
      </c>
      <c r="J129" s="3" t="inlineStr">
        <is>
          <t>Admin User Medidata</t>
        </is>
      </c>
      <c r="K129" s="4" t="n">
        <v>45604.561747685184</v>
      </c>
      <c r="L129" s="5" t="n">
        <v>45604.0</v>
      </c>
      <c r="M129" s="3" t="inlineStr">
        <is>
          <t>Approved</t>
        </is>
      </c>
      <c r="N129" s="3" t="inlineStr">
        <is>
          <t>Available for Distribution, CLIX Filing, Not associated to a milestone</t>
        </is>
      </c>
      <c r="O129" s="3" t="inlineStr">
        <is>
          <t>Czech Republic</t>
        </is>
      </c>
      <c r="P129" s="3" t="inlineStr">
        <is>
          <t>Z92-CZ10003</t>
        </is>
      </c>
      <c r="Q129" s="3" t="inlineStr">
        <is>
          <t>77242113UCO2001</t>
        </is>
      </c>
    </row>
    <row r="130">
      <c r="A130" s="2" t="str">
        <f>HYPERLINK("https://vtmf.veevavault.com/ui/#doc_info/29850161/1/0", "77242113UCO2001-CZE-Z92-CZ10003-Monitoring Visit Follow-up Letter-SMVR_FL-20 Aug 2025 (v1.0)")</f>
        <v>77242113UCO2001-CZE-Z92-CZ10003-Monitoring Visit Follow-up Letter-SMVR_FL-20 Aug 2025 (v1.0)</v>
      </c>
      <c r="B130" s="3" t="inlineStr">
        <is>
          <t>Admin User Medidata</t>
        </is>
      </c>
      <c r="C130" s="3" t="inlineStr">
        <is>
          <t>Site Management</t>
        </is>
      </c>
      <c r="D130" s="3" t="inlineStr">
        <is>
          <t>Site Management</t>
        </is>
      </c>
      <c r="E130" s="3" t="inlineStr">
        <is>
          <t>Monitoring Visit Follow-up Letter</t>
        </is>
      </c>
      <c r="F130" s="3" t="inlineStr">
        <is>
          <t/>
        </is>
      </c>
      <c r="G130" s="2" t="str">
        <f>HYPERLINK("https://vtmf.veevavault.com/ui/#doc_info/29850161/1/0", "VTMF-24024680")</f>
        <v>VTMF-24024680</v>
      </c>
      <c r="H130" s="3" t="inlineStr">
        <is>
          <t/>
        </is>
      </c>
      <c r="I130" s="3" t="inlineStr">
        <is>
          <t>System</t>
        </is>
      </c>
      <c r="J130" s="3" t="inlineStr">
        <is>
          <t>Admin User Medidata</t>
        </is>
      </c>
      <c r="K130" s="4" t="n">
        <v>45897.80782407407</v>
      </c>
      <c r="L130" s="5" t="n">
        <v>45897.0</v>
      </c>
      <c r="M130" s="3" t="inlineStr">
        <is>
          <t>Approved</t>
        </is>
      </c>
      <c r="N130" s="3" t="inlineStr">
        <is>
          <t>Available for Distribution, CLIX Filing, Not associated to a milestone</t>
        </is>
      </c>
      <c r="O130" s="3" t="inlineStr">
        <is>
          <t>Czech Republic</t>
        </is>
      </c>
      <c r="P130" s="3" t="inlineStr">
        <is>
          <t>Z92-CZ10003</t>
        </is>
      </c>
      <c r="Q130" s="3" t="inlineStr">
        <is>
          <t>77242113UCO2001</t>
        </is>
      </c>
    </row>
    <row r="131">
      <c r="A131" s="2" t="str">
        <f>HYPERLINK("https://vtmf.veevavault.com/ui/#doc_info/27232683/1/0", "77242113UCO2001-CZE-Z92-CZ10003-Monitoring Visit Follow-up Letter-SMVR_FL-20 Sep 2024 (v1.0)")</f>
        <v>77242113UCO2001-CZE-Z92-CZ10003-Monitoring Visit Follow-up Letter-SMVR_FL-20 Sep 2024 (v1.0)</v>
      </c>
      <c r="B131" s="3" t="inlineStr">
        <is>
          <t>Admin User Medidata</t>
        </is>
      </c>
      <c r="C131" s="3" t="inlineStr">
        <is>
          <t>Site Management</t>
        </is>
      </c>
      <c r="D131" s="3" t="inlineStr">
        <is>
          <t>Site Management</t>
        </is>
      </c>
      <c r="E131" s="3" t="inlineStr">
        <is>
          <t>Monitoring Visit Follow-up Letter</t>
        </is>
      </c>
      <c r="F131" s="3" t="inlineStr">
        <is>
          <t/>
        </is>
      </c>
      <c r="G131" s="2" t="str">
        <f>HYPERLINK("https://vtmf.veevavault.com/ui/#doc_info/27232683/1/0", "VTMF-21838756")</f>
        <v>VTMF-21838756</v>
      </c>
      <c r="H131" s="3" t="inlineStr">
        <is>
          <t/>
        </is>
      </c>
      <c r="I131" s="3" t="inlineStr">
        <is>
          <t>System</t>
        </is>
      </c>
      <c r="J131" s="3" t="inlineStr">
        <is>
          <t>Admin User Medidata</t>
        </is>
      </c>
      <c r="K131" s="4" t="n">
        <v>45575.642962962964</v>
      </c>
      <c r="L131" s="5" t="n">
        <v>45575.0</v>
      </c>
      <c r="M131" s="3" t="inlineStr">
        <is>
          <t>Approved</t>
        </is>
      </c>
      <c r="N131" s="3" t="inlineStr">
        <is>
          <t>Available for Distribution, CLIX Filing, Site Close</t>
        </is>
      </c>
      <c r="O131" s="3" t="inlineStr">
        <is>
          <t>Czech Republic</t>
        </is>
      </c>
      <c r="P131" s="3" t="inlineStr">
        <is>
          <t>Z92-CZ10003</t>
        </is>
      </c>
      <c r="Q131" s="3" t="inlineStr">
        <is>
          <t>77242113UCO2001</t>
        </is>
      </c>
    </row>
    <row r="132">
      <c r="A132" s="2" t="str">
        <f>HYPERLINK("https://vtmf.veevavault.com/ui/#doc_info/26717706/1/0", "77242113UCO2001-CZE-Z92-CZ10003-Monitoring Visit Follow-up Letter-SMVR_FL-26 Jun 2024 (v1.0)")</f>
        <v>77242113UCO2001-CZE-Z92-CZ10003-Monitoring Visit Follow-up Letter-SMVR_FL-26 Jun 2024 (v1.0)</v>
      </c>
      <c r="B132" s="3" t="inlineStr">
        <is>
          <t>Admin User Medidata</t>
        </is>
      </c>
      <c r="C132" s="3" t="inlineStr">
        <is>
          <t>Site Management</t>
        </is>
      </c>
      <c r="D132" s="3" t="inlineStr">
        <is>
          <t>Site Management</t>
        </is>
      </c>
      <c r="E132" s="3" t="inlineStr">
        <is>
          <t>Monitoring Visit Follow-up Letter</t>
        </is>
      </c>
      <c r="F132" s="3" t="inlineStr">
        <is>
          <t/>
        </is>
      </c>
      <c r="G132" s="2" t="str">
        <f>HYPERLINK("https://vtmf.veevavault.com/ui/#doc_info/26717706/1/0", "VTMF-21407971")</f>
        <v>VTMF-21407971</v>
      </c>
      <c r="H132" s="3" t="inlineStr">
        <is>
          <t/>
        </is>
      </c>
      <c r="I132" s="3" t="inlineStr">
        <is>
          <t>System</t>
        </is>
      </c>
      <c r="J132" s="3" t="inlineStr">
        <is>
          <t>Admin User Medidata</t>
        </is>
      </c>
      <c r="K132" s="4" t="n">
        <v>45489.76405092593</v>
      </c>
      <c r="L132" s="5" t="n">
        <v>45489.0</v>
      </c>
      <c r="M132" s="3" t="inlineStr">
        <is>
          <t>Approved</t>
        </is>
      </c>
      <c r="N132" s="3" t="inlineStr">
        <is>
          <t>Available for Distribution, CLIX Filing, Site Close</t>
        </is>
      </c>
      <c r="O132" s="3" t="inlineStr">
        <is>
          <t>Czech Republic</t>
        </is>
      </c>
      <c r="P132" s="3" t="inlineStr">
        <is>
          <t>Z92-CZ10003</t>
        </is>
      </c>
      <c r="Q132" s="3" t="inlineStr">
        <is>
          <t>77242113UCO2001</t>
        </is>
      </c>
    </row>
    <row r="133">
      <c r="A133" s="2" t="str">
        <f>HYPERLINK("https://vtmf.veevavault.com/ui/#doc_info/27881761/1/0", "77242113UCO2001-CZE-Z92-CZ10003-Monitoring Visit Follow-up Letter-SMVR_FL-28 Nov 2024 (v1.0)")</f>
        <v>77242113UCO2001-CZE-Z92-CZ10003-Monitoring Visit Follow-up Letter-SMVR_FL-28 Nov 2024 (v1.0)</v>
      </c>
      <c r="B133" s="3" t="inlineStr">
        <is>
          <t>Admin User Medidata</t>
        </is>
      </c>
      <c r="C133" s="3" t="inlineStr">
        <is>
          <t>Site Management</t>
        </is>
      </c>
      <c r="D133" s="3" t="inlineStr">
        <is>
          <t>Site Management</t>
        </is>
      </c>
      <c r="E133" s="3" t="inlineStr">
        <is>
          <t>Monitoring Visit Follow-up Letter</t>
        </is>
      </c>
      <c r="F133" s="3" t="inlineStr">
        <is>
          <t/>
        </is>
      </c>
      <c r="G133" s="2" t="str">
        <f>HYPERLINK("https://vtmf.veevavault.com/ui/#doc_info/27881761/1/0", "VTMF-22357358")</f>
        <v>VTMF-22357358</v>
      </c>
      <c r="H133" s="3" t="inlineStr">
        <is>
          <t/>
        </is>
      </c>
      <c r="I133" s="3" t="inlineStr">
        <is>
          <t>System</t>
        </is>
      </c>
      <c r="J133" s="3" t="inlineStr">
        <is>
          <t>Admin User Medidata</t>
        </is>
      </c>
      <c r="K133" s="4" t="n">
        <v>45639.77894675926</v>
      </c>
      <c r="L133" s="5" t="n">
        <v>45639.0</v>
      </c>
      <c r="M133" s="3" t="inlineStr">
        <is>
          <t>Approved</t>
        </is>
      </c>
      <c r="N133" s="3" t="inlineStr">
        <is>
          <t>Available for Distribution, CLIX Filing, Not associated to a milestone</t>
        </is>
      </c>
      <c r="O133" s="3" t="inlineStr">
        <is>
          <t>Czech Republic</t>
        </is>
      </c>
      <c r="P133" s="3" t="inlineStr">
        <is>
          <t>Z92-CZ10003</t>
        </is>
      </c>
      <c r="Q133" s="3" t="inlineStr">
        <is>
          <t>77242113UCO2001</t>
        </is>
      </c>
    </row>
    <row r="134">
      <c r="A134" s="2" t="str">
        <f>HYPERLINK("https://vtmf.veevavault.com/ui/#doc_info/28333677/1/0", "77242113UCO2001-CZE-Z92-CZ10003-Monitoring Visit Follow-up Letter-SMVR_FL-29 Jan 2025 (v1.0)")</f>
        <v>77242113UCO2001-CZE-Z92-CZ10003-Monitoring Visit Follow-up Letter-SMVR_FL-29 Jan 2025 (v1.0)</v>
      </c>
      <c r="B134" s="3" t="inlineStr">
        <is>
          <t>Admin User Medidata</t>
        </is>
      </c>
      <c r="C134" s="3" t="inlineStr">
        <is>
          <t>Site Management</t>
        </is>
      </c>
      <c r="D134" s="3" t="inlineStr">
        <is>
          <t>Site Management</t>
        </is>
      </c>
      <c r="E134" s="3" t="inlineStr">
        <is>
          <t>Monitoring Visit Follow-up Letter</t>
        </is>
      </c>
      <c r="F134" s="3" t="inlineStr">
        <is>
          <t/>
        </is>
      </c>
      <c r="G134" s="2" t="str">
        <f>HYPERLINK("https://vtmf.veevavault.com/ui/#doc_info/28333677/1/0", "VTMF-22731739")</f>
        <v>VTMF-22731739</v>
      </c>
      <c r="H134" s="3" t="inlineStr">
        <is>
          <t/>
        </is>
      </c>
      <c r="I134" s="3" t="inlineStr">
        <is>
          <t>System</t>
        </is>
      </c>
      <c r="J134" s="3" t="inlineStr">
        <is>
          <t>Admin User Medidata</t>
        </is>
      </c>
      <c r="K134" s="4" t="n">
        <v>45707.85326388889</v>
      </c>
      <c r="L134" s="5" t="n">
        <v>45707.0</v>
      </c>
      <c r="M134" s="3" t="inlineStr">
        <is>
          <t>Approved</t>
        </is>
      </c>
      <c r="N134" s="3" t="inlineStr">
        <is>
          <t>Available for Distribution, CLIX Filing, Not associated to a milestone</t>
        </is>
      </c>
      <c r="O134" s="3" t="inlineStr">
        <is>
          <t>Czech Republic</t>
        </is>
      </c>
      <c r="P134" s="3" t="inlineStr">
        <is>
          <t>Z92-CZ10003</t>
        </is>
      </c>
      <c r="Q134" s="3" t="inlineStr">
        <is>
          <t>77242113UCO2001</t>
        </is>
      </c>
    </row>
    <row r="135">
      <c r="A135" s="2" t="str">
        <f>HYPERLINK("https://vtmf.veevavault.com/ui/#doc_info/24158330/1/0", "77242113UCO2001-CZE-Z92-CZ10003-Monitoring Visit Follow-up Letter-SQVR_FL-10 May 2023 (v1.0)")</f>
        <v>77242113UCO2001-CZE-Z92-CZ10003-Monitoring Visit Follow-up Letter-SQVR_FL-10 May 2023 (v1.0)</v>
      </c>
      <c r="B135" s="3" t="inlineStr">
        <is>
          <t>Admin User Medidata</t>
        </is>
      </c>
      <c r="C135" s="3" t="inlineStr">
        <is>
          <t>Site Management</t>
        </is>
      </c>
      <c r="D135" s="3" t="inlineStr">
        <is>
          <t>Site Management</t>
        </is>
      </c>
      <c r="E135" s="3" t="inlineStr">
        <is>
          <t>Monitoring Visit Follow-up Letter</t>
        </is>
      </c>
      <c r="F135" s="3" t="inlineStr">
        <is>
          <t/>
        </is>
      </c>
      <c r="G135" s="2" t="str">
        <f>HYPERLINK("https://vtmf.veevavault.com/ui/#doc_info/24158330/1/0", "VTMF-19168958")</f>
        <v>VTMF-19168958</v>
      </c>
      <c r="H135" s="3" t="inlineStr">
        <is>
          <t/>
        </is>
      </c>
      <c r="I135" s="3" t="inlineStr">
        <is>
          <t>System</t>
        </is>
      </c>
      <c r="J135" s="3" t="inlineStr">
        <is>
          <t>Admin User Medidata</t>
        </is>
      </c>
      <c r="K135" s="4" t="n">
        <v>45075.66769675926</v>
      </c>
      <c r="L135" s="5" t="n">
        <v>45075.0</v>
      </c>
      <c r="M135" s="3" t="inlineStr">
        <is>
          <t>Approved</t>
        </is>
      </c>
      <c r="N135" s="3" t="inlineStr">
        <is>
          <t>Available for Distribution, CLIX Filing, Site Close</t>
        </is>
      </c>
      <c r="O135" s="3" t="inlineStr">
        <is>
          <t>Czech Republic</t>
        </is>
      </c>
      <c r="P135" s="3" t="inlineStr">
        <is>
          <t>Z92-CZ10003</t>
        </is>
      </c>
      <c r="Q135" s="3" t="inlineStr">
        <is>
          <t>77242113UCO2001</t>
        </is>
      </c>
    </row>
    <row r="136">
      <c r="A136" s="2" t="str">
        <f>HYPERLINK("https://vtmf.veevavault.com/ui/#doc_info/26328654/1/0", "77242113UCO2001-CZE-Z92-CZ10003-Monitoring Visit Report-03 May 2024 (v1.0)")</f>
        <v>77242113UCO2001-CZE-Z92-CZ10003-Monitoring Visit Report-03 May 2024 (v1.0)</v>
      </c>
      <c r="B136" s="3" t="inlineStr">
        <is>
          <t>Admin User Medidata</t>
        </is>
      </c>
      <c r="C136" s="3" t="inlineStr">
        <is>
          <t>Site Management</t>
        </is>
      </c>
      <c r="D136" s="3" t="inlineStr">
        <is>
          <t>Site Management</t>
        </is>
      </c>
      <c r="E136" s="3" t="inlineStr">
        <is>
          <t>Monitoring Visit Report</t>
        </is>
      </c>
      <c r="F136" s="3" t="inlineStr">
        <is>
          <t/>
        </is>
      </c>
      <c r="G136" s="2" t="str">
        <f>HYPERLINK("https://vtmf.veevavault.com/ui/#doc_info/26328654/1/0", "VTMF-21066911")</f>
        <v>VTMF-21066911</v>
      </c>
      <c r="H136" s="3" t="inlineStr">
        <is>
          <t/>
        </is>
      </c>
      <c r="I136" s="3" t="inlineStr">
        <is>
          <t>System</t>
        </is>
      </c>
      <c r="J136" s="3" t="inlineStr">
        <is>
          <t>Admin User Medidata</t>
        </is>
      </c>
      <c r="K136" s="4" t="n">
        <v>45427.433229166665</v>
      </c>
      <c r="L136" s="5" t="n">
        <v>45427.0</v>
      </c>
      <c r="M136" s="3" t="inlineStr">
        <is>
          <t>Approved</t>
        </is>
      </c>
      <c r="N136" s="3" t="inlineStr">
        <is>
          <t>Site Close</t>
        </is>
      </c>
      <c r="O136" s="3" t="inlineStr">
        <is>
          <t>Czech Republic</t>
        </is>
      </c>
      <c r="P136" s="3" t="inlineStr">
        <is>
          <t>Z92-CZ10003</t>
        </is>
      </c>
      <c r="Q136" s="3" t="inlineStr">
        <is>
          <t>77242113UCO2001</t>
        </is>
      </c>
    </row>
    <row r="137">
      <c r="A137" s="2" t="str">
        <f>HYPERLINK("https://vtmf.veevavault.com/ui/#doc_info/25518832/1/0", "77242113UCO2001-CZE-Z92-CZ10003-Monitoring Visit Report-10 Jan 2024 (v1.0)")</f>
        <v>77242113UCO2001-CZE-Z92-CZ10003-Monitoring Visit Report-10 Jan 2024 (v1.0)</v>
      </c>
      <c r="B137" s="3" t="inlineStr">
        <is>
          <t>Admin User Medidata</t>
        </is>
      </c>
      <c r="C137" s="3" t="inlineStr">
        <is>
          <t>Site Management</t>
        </is>
      </c>
      <c r="D137" s="3" t="inlineStr">
        <is>
          <t>Site Management</t>
        </is>
      </c>
      <c r="E137" s="3" t="inlineStr">
        <is>
          <t>Monitoring Visit Report</t>
        </is>
      </c>
      <c r="F137" s="3" t="inlineStr">
        <is>
          <t/>
        </is>
      </c>
      <c r="G137" s="2" t="str">
        <f>HYPERLINK("https://vtmf.veevavault.com/ui/#doc_info/25518832/1/0", "VTMF-20355866")</f>
        <v>VTMF-20355866</v>
      </c>
      <c r="H137" s="3" t="inlineStr">
        <is>
          <t/>
        </is>
      </c>
      <c r="I137" s="3" t="inlineStr">
        <is>
          <t>System</t>
        </is>
      </c>
      <c r="J137" s="3" t="inlineStr">
        <is>
          <t>Admin User Medidata</t>
        </is>
      </c>
      <c r="K137" s="4" t="n">
        <v>45308.44559027778</v>
      </c>
      <c r="L137" s="5" t="n">
        <v>45308.0</v>
      </c>
      <c r="M137" s="3" t="inlineStr">
        <is>
          <t>Approved</t>
        </is>
      </c>
      <c r="N137" s="3" t="inlineStr">
        <is>
          <t>Site Close</t>
        </is>
      </c>
      <c r="O137" s="3" t="inlineStr">
        <is>
          <t>Czech Republic</t>
        </is>
      </c>
      <c r="P137" s="3" t="inlineStr">
        <is>
          <t>Z92-CZ10003</t>
        </is>
      </c>
      <c r="Q137" s="3" t="inlineStr">
        <is>
          <t>77242113UCO2001</t>
        </is>
      </c>
    </row>
    <row r="138">
      <c r="A138" s="2" t="str">
        <f>HYPERLINK("https://vtmf.veevavault.com/ui/#doc_info/29254491/1/0", "77242113UCO2001-CZE-Z92-CZ10003-Monitoring Visit Report-14 May 2025 (v1.0)")</f>
        <v>77242113UCO2001-CZE-Z92-CZ10003-Monitoring Visit Report-14 May 2025 (v1.0)</v>
      </c>
      <c r="B138" s="3" t="inlineStr">
        <is>
          <t>Admin User Medidata</t>
        </is>
      </c>
      <c r="C138" s="3" t="inlineStr">
        <is>
          <t>Site Management</t>
        </is>
      </c>
      <c r="D138" s="3" t="inlineStr">
        <is>
          <t>Site Management</t>
        </is>
      </c>
      <c r="E138" s="3" t="inlineStr">
        <is>
          <t>Monitoring Visit Report</t>
        </is>
      </c>
      <c r="F138" s="3" t="inlineStr">
        <is>
          <t/>
        </is>
      </c>
      <c r="G138" s="2" t="str">
        <f>HYPERLINK("https://vtmf.veevavault.com/ui/#doc_info/29254491/1/0", "VTMF-23514518")</f>
        <v>VTMF-23514518</v>
      </c>
      <c r="H138" s="3" t="inlineStr">
        <is>
          <t/>
        </is>
      </c>
      <c r="I138" s="3" t="inlineStr">
        <is>
          <t>System</t>
        </is>
      </c>
      <c r="J138" s="3" t="inlineStr">
        <is>
          <t>Admin User Medidata</t>
        </is>
      </c>
      <c r="K138" s="4" t="n">
        <v>45811.68714120371</v>
      </c>
      <c r="L138" s="5" t="n">
        <v>45811.0</v>
      </c>
      <c r="M138" s="3" t="inlineStr">
        <is>
          <t>Approved</t>
        </is>
      </c>
      <c r="N138" s="3" t="inlineStr">
        <is>
          <t>Site Close</t>
        </is>
      </c>
      <c r="O138" s="3" t="inlineStr">
        <is>
          <t>Czech Republic</t>
        </is>
      </c>
      <c r="P138" s="3" t="inlineStr">
        <is>
          <t>Z92-CZ10003</t>
        </is>
      </c>
      <c r="Q138" s="3" t="inlineStr">
        <is>
          <t>77242113UCO2001</t>
        </is>
      </c>
    </row>
    <row r="139">
      <c r="A139" s="2" t="str">
        <f>HYPERLINK("https://vtmf.veevavault.com/ui/#doc_info/30658818/1/0", "77242113UCO2001-CZE-Z92-CZ10003-Monitoring Visit Report-17 Dec 2025 (v1.0)")</f>
        <v>77242113UCO2001-CZE-Z92-CZ10003-Monitoring Visit Report-17 Dec 2025 (v1.0)</v>
      </c>
      <c r="B139" s="3" t="inlineStr">
        <is>
          <t>Admin User Medidata</t>
        </is>
      </c>
      <c r="C139" s="3" t="inlineStr">
        <is>
          <t>Site Management</t>
        </is>
      </c>
      <c r="D139" s="3" t="inlineStr">
        <is>
          <t>Site Management</t>
        </is>
      </c>
      <c r="E139" s="3" t="inlineStr">
        <is>
          <t>Monitoring Visit Report</t>
        </is>
      </c>
      <c r="F139" s="3" t="inlineStr">
        <is>
          <t/>
        </is>
      </c>
      <c r="G139" s="2" t="str">
        <f>HYPERLINK("https://vtmf.veevavault.com/ui/#doc_info/30658818/1/0", "VTMF-24705054")</f>
        <v>VTMF-24705054</v>
      </c>
      <c r="H139" s="3" t="inlineStr">
        <is>
          <t/>
        </is>
      </c>
      <c r="I139" s="3" t="inlineStr">
        <is>
          <t>System</t>
        </is>
      </c>
      <c r="J139" s="3" t="inlineStr">
        <is>
          <t>Admin User Medidata</t>
        </is>
      </c>
      <c r="K139" s="4" t="n">
        <v>46013.3915162037</v>
      </c>
      <c r="L139" s="5" t="n">
        <v>46013.0</v>
      </c>
      <c r="M139" s="3" t="inlineStr">
        <is>
          <t>Approved</t>
        </is>
      </c>
      <c r="N139" s="3" t="inlineStr">
        <is>
          <t>Site Close</t>
        </is>
      </c>
      <c r="O139" s="3" t="inlineStr">
        <is>
          <t>Czech Republic</t>
        </is>
      </c>
      <c r="P139" s="3" t="inlineStr">
        <is>
          <t>Z92-CZ10003</t>
        </is>
      </c>
      <c r="Q139" s="3" t="inlineStr">
        <is>
          <t>77242113UCO2001</t>
        </is>
      </c>
    </row>
    <row r="140">
      <c r="A140" s="2" t="str">
        <f>HYPERLINK("https://vtmf.veevavault.com/ui/#doc_info/26784427/1/0", "77242113UCO2001-CZE-Z92-CZ10003-Monitoring Visit Report-18 Jul 2024 (v1.0)")</f>
        <v>77242113UCO2001-CZE-Z92-CZ10003-Monitoring Visit Report-18 Jul 2024 (v1.0)</v>
      </c>
      <c r="B140" s="3" t="inlineStr">
        <is>
          <t>Admin User Medidata</t>
        </is>
      </c>
      <c r="C140" s="3" t="inlineStr">
        <is>
          <t>Site Management</t>
        </is>
      </c>
      <c r="D140" s="3" t="inlineStr">
        <is>
          <t>Site Management</t>
        </is>
      </c>
      <c r="E140" s="3" t="inlineStr">
        <is>
          <t>Monitoring Visit Report</t>
        </is>
      </c>
      <c r="F140" s="3" t="inlineStr">
        <is>
          <t/>
        </is>
      </c>
      <c r="G140" s="2" t="str">
        <f>HYPERLINK("https://vtmf.veevavault.com/ui/#doc_info/26784427/1/0", "VTMF-21465736")</f>
        <v>VTMF-21465736</v>
      </c>
      <c r="H140" s="3" t="inlineStr">
        <is>
          <t/>
        </is>
      </c>
      <c r="I140" s="3" t="inlineStr">
        <is>
          <t>System</t>
        </is>
      </c>
      <c r="J140" s="3" t="inlineStr">
        <is>
          <t>Admin User Medidata</t>
        </is>
      </c>
      <c r="K140" s="4" t="n">
        <v>45502.390856481485</v>
      </c>
      <c r="L140" s="5" t="n">
        <v>45502.0</v>
      </c>
      <c r="M140" s="3" t="inlineStr">
        <is>
          <t>Approved</t>
        </is>
      </c>
      <c r="N140" s="3" t="inlineStr">
        <is>
          <t>Site Close</t>
        </is>
      </c>
      <c r="O140" s="3" t="inlineStr">
        <is>
          <t>Czech Republic</t>
        </is>
      </c>
      <c r="P140" s="3" t="inlineStr">
        <is>
          <t>Z92-CZ10003</t>
        </is>
      </c>
      <c r="Q140" s="3" t="inlineStr">
        <is>
          <t>77242113UCO2001</t>
        </is>
      </c>
    </row>
    <row r="141">
      <c r="A141" s="2" t="str">
        <f>HYPERLINK("https://vtmf.veevavault.com/ui/#doc_info/27374312/1/0", "77242113UCO2001-CZE-Z92-CZ10003-Monitoring Visit Report-18 Oct 2024 (v1.0)")</f>
        <v>77242113UCO2001-CZE-Z92-CZ10003-Monitoring Visit Report-18 Oct 2024 (v1.0)</v>
      </c>
      <c r="B141" s="3" t="inlineStr">
        <is>
          <t>Admin User Medidata</t>
        </is>
      </c>
      <c r="C141" s="3" t="inlineStr">
        <is>
          <t>Site Management</t>
        </is>
      </c>
      <c r="D141" s="3" t="inlineStr">
        <is>
          <t>Site Management</t>
        </is>
      </c>
      <c r="E141" s="3" t="inlineStr">
        <is>
          <t>Monitoring Visit Report</t>
        </is>
      </c>
      <c r="F141" s="3" t="inlineStr">
        <is>
          <t/>
        </is>
      </c>
      <c r="G141" s="2" t="str">
        <f>HYPERLINK("https://vtmf.veevavault.com/ui/#doc_info/27374312/1/0", "VTMF-21959108")</f>
        <v>VTMF-21959108</v>
      </c>
      <c r="H141" s="3" t="inlineStr">
        <is>
          <t/>
        </is>
      </c>
      <c r="I141" s="3" t="inlineStr">
        <is>
          <t>System</t>
        </is>
      </c>
      <c r="J141" s="3" t="inlineStr">
        <is>
          <t>Admin User Medidata</t>
        </is>
      </c>
      <c r="K141" s="4" t="n">
        <v>45596.47592592592</v>
      </c>
      <c r="L141" s="5" t="n">
        <v>45596.0</v>
      </c>
      <c r="M141" s="3" t="inlineStr">
        <is>
          <t>Approved</t>
        </is>
      </c>
      <c r="N141" s="3" t="inlineStr">
        <is>
          <t>Site Close</t>
        </is>
      </c>
      <c r="O141" s="3" t="inlineStr">
        <is>
          <t>Czech Republic</t>
        </is>
      </c>
      <c r="P141" s="3" t="inlineStr">
        <is>
          <t>Z92-CZ10003</t>
        </is>
      </c>
      <c r="Q141" s="3" t="inlineStr">
        <is>
          <t>77242113UCO2001</t>
        </is>
      </c>
    </row>
    <row r="142">
      <c r="A142" s="2" t="str">
        <f>HYPERLINK("https://vtmf.veevavault.com/ui/#doc_info/29864782/1/0", "77242113UCO2001-CZE-Z92-CZ10003-Monitoring Visit Report-20 Aug 2025 (v1.0)")</f>
        <v>77242113UCO2001-CZE-Z92-CZ10003-Monitoring Visit Report-20 Aug 2025 (v1.0)</v>
      </c>
      <c r="B142" s="3" t="inlineStr">
        <is>
          <t>Admin User Medidata</t>
        </is>
      </c>
      <c r="C142" s="3" t="inlineStr">
        <is>
          <t>Site Management</t>
        </is>
      </c>
      <c r="D142" s="3" t="inlineStr">
        <is>
          <t>Site Management</t>
        </is>
      </c>
      <c r="E142" s="3" t="inlineStr">
        <is>
          <t>Monitoring Visit Report</t>
        </is>
      </c>
      <c r="F142" s="3" t="inlineStr">
        <is>
          <t/>
        </is>
      </c>
      <c r="G142" s="2" t="str">
        <f>HYPERLINK("https://vtmf.veevavault.com/ui/#doc_info/29864782/1/0", "VTMF-24037444")</f>
        <v>VTMF-24037444</v>
      </c>
      <c r="H142" s="3" t="inlineStr">
        <is>
          <t/>
        </is>
      </c>
      <c r="I142" s="3" t="inlineStr">
        <is>
          <t>System</t>
        </is>
      </c>
      <c r="J142" s="3" t="inlineStr">
        <is>
          <t>Admin User Medidata</t>
        </is>
      </c>
      <c r="K142" s="4" t="n">
        <v>45900.805555555555</v>
      </c>
      <c r="L142" s="5" t="n">
        <v>45900.0</v>
      </c>
      <c r="M142" s="3" t="inlineStr">
        <is>
          <t>Approved</t>
        </is>
      </c>
      <c r="N142" s="3" t="inlineStr">
        <is>
          <t>Site Close</t>
        </is>
      </c>
      <c r="O142" s="3" t="inlineStr">
        <is>
          <t>Czech Republic</t>
        </is>
      </c>
      <c r="P142" s="3" t="inlineStr">
        <is>
          <t>Z92-CZ10003</t>
        </is>
      </c>
      <c r="Q142" s="3" t="inlineStr">
        <is>
          <t>77242113UCO2001</t>
        </is>
      </c>
    </row>
    <row r="143">
      <c r="A143" s="2" t="str">
        <f>HYPERLINK("https://vtmf.veevavault.com/ui/#doc_info/27214582/1/0", "77242113UCO2001-CZE-Z92-CZ10003-Monitoring Visit Report-20 Sep 2024 (v1.0)")</f>
        <v>77242113UCO2001-CZE-Z92-CZ10003-Monitoring Visit Report-20 Sep 2024 (v1.0)</v>
      </c>
      <c r="B143" s="3" t="inlineStr">
        <is>
          <t>Admin User Medidata</t>
        </is>
      </c>
      <c r="C143" s="3" t="inlineStr">
        <is>
          <t>Site Management</t>
        </is>
      </c>
      <c r="D143" s="3" t="inlineStr">
        <is>
          <t>Site Management</t>
        </is>
      </c>
      <c r="E143" s="3" t="inlineStr">
        <is>
          <t>Monitoring Visit Report</t>
        </is>
      </c>
      <c r="F143" s="3" t="inlineStr">
        <is>
          <t/>
        </is>
      </c>
      <c r="G143" s="2" t="str">
        <f>HYPERLINK("https://vtmf.veevavault.com/ui/#doc_info/27214582/1/0", "VTMF-21823467")</f>
        <v>VTMF-21823467</v>
      </c>
      <c r="H143" s="3" t="inlineStr">
        <is>
          <t/>
        </is>
      </c>
      <c r="I143" s="3" t="inlineStr">
        <is>
          <t>System</t>
        </is>
      </c>
      <c r="J143" s="3" t="inlineStr">
        <is>
          <t>Admin User Medidata</t>
        </is>
      </c>
      <c r="K143" s="4" t="n">
        <v>45573.434212962966</v>
      </c>
      <c r="L143" s="5" t="n">
        <v>45573.0</v>
      </c>
      <c r="M143" s="3" t="inlineStr">
        <is>
          <t>Approved</t>
        </is>
      </c>
      <c r="N143" s="3" t="inlineStr">
        <is>
          <t>Site Close</t>
        </is>
      </c>
      <c r="O143" s="3" t="inlineStr">
        <is>
          <t>Czech Republic</t>
        </is>
      </c>
      <c r="P143" s="3" t="inlineStr">
        <is>
          <t>Z92-CZ10003</t>
        </is>
      </c>
      <c r="Q143" s="3" t="inlineStr">
        <is>
          <t>77242113UCO2001</t>
        </is>
      </c>
    </row>
    <row r="144">
      <c r="A144" s="2" t="str">
        <f>HYPERLINK("https://vtmf.veevavault.com/ui/#doc_info/26722000/1/0", "77242113UCO2001-CZE-Z92-CZ10003-Monitoring Visit Report-26 Jun 2024 (v1.0)")</f>
        <v>77242113UCO2001-CZE-Z92-CZ10003-Monitoring Visit Report-26 Jun 2024 (v1.0)</v>
      </c>
      <c r="B144" s="3" t="inlineStr">
        <is>
          <t>Admin User Medidata</t>
        </is>
      </c>
      <c r="C144" s="3" t="inlineStr">
        <is>
          <t>Site Management</t>
        </is>
      </c>
      <c r="D144" s="3" t="inlineStr">
        <is>
          <t>Site Management</t>
        </is>
      </c>
      <c r="E144" s="3" t="inlineStr">
        <is>
          <t>Monitoring Visit Report</t>
        </is>
      </c>
      <c r="F144" s="3" t="inlineStr">
        <is>
          <t/>
        </is>
      </c>
      <c r="G144" s="2" t="str">
        <f>HYPERLINK("https://vtmf.veevavault.com/ui/#doc_info/26722000/1/0", "VTMF-21411915")</f>
        <v>VTMF-21411915</v>
      </c>
      <c r="H144" s="3" t="inlineStr">
        <is>
          <t/>
        </is>
      </c>
      <c r="I144" s="3" t="inlineStr">
        <is>
          <t>System</t>
        </is>
      </c>
      <c r="J144" s="3" t="inlineStr">
        <is>
          <t>Admin User Medidata</t>
        </is>
      </c>
      <c r="K144" s="4" t="n">
        <v>45490.38681712963</v>
      </c>
      <c r="L144" s="5" t="n">
        <v>45490.0</v>
      </c>
      <c r="M144" s="3" t="inlineStr">
        <is>
          <t>Approved</t>
        </is>
      </c>
      <c r="N144" s="3" t="inlineStr">
        <is>
          <t>Site Close</t>
        </is>
      </c>
      <c r="O144" s="3" t="inlineStr">
        <is>
          <t>Czech Republic</t>
        </is>
      </c>
      <c r="P144" s="3" t="inlineStr">
        <is>
          <t>Z92-CZ10003</t>
        </is>
      </c>
      <c r="Q144" s="3" t="inlineStr">
        <is>
          <t>77242113UCO2001</t>
        </is>
      </c>
    </row>
    <row r="145">
      <c r="A145" s="2" t="str">
        <f>HYPERLINK("https://vtmf.veevavault.com/ui/#doc_info/27942993/1/0", "77242113UCO2001-CZE-Z92-CZ10003-Monitoring Visit Report-28 Nov 2024 (v1.0)")</f>
        <v>77242113UCO2001-CZE-Z92-CZ10003-Monitoring Visit Report-28 Nov 2024 (v1.0)</v>
      </c>
      <c r="B145" s="3" t="inlineStr">
        <is>
          <t>Admin User Medidata</t>
        </is>
      </c>
      <c r="C145" s="3" t="inlineStr">
        <is>
          <t>Site Management</t>
        </is>
      </c>
      <c r="D145" s="3" t="inlineStr">
        <is>
          <t>Site Management</t>
        </is>
      </c>
      <c r="E145" s="3" t="inlineStr">
        <is>
          <t>Monitoring Visit Report</t>
        </is>
      </c>
      <c r="F145" s="3" t="inlineStr">
        <is>
          <t/>
        </is>
      </c>
      <c r="G145" s="2" t="str">
        <f>HYPERLINK("https://vtmf.veevavault.com/ui/#doc_info/27942993/1/0", "VTMF-22403785")</f>
        <v>VTMF-22403785</v>
      </c>
      <c r="H145" s="3" t="inlineStr">
        <is>
          <t/>
        </is>
      </c>
      <c r="I145" s="3" t="inlineStr">
        <is>
          <t>System</t>
        </is>
      </c>
      <c r="J145" s="3" t="inlineStr">
        <is>
          <t>Admin User Medidata</t>
        </is>
      </c>
      <c r="K145" s="4" t="n">
        <v>45645.4793287037</v>
      </c>
      <c r="L145" s="5" t="n">
        <v>45645.0</v>
      </c>
      <c r="M145" s="3" t="inlineStr">
        <is>
          <t>Approved</t>
        </is>
      </c>
      <c r="N145" s="3" t="inlineStr">
        <is>
          <t>Site Close</t>
        </is>
      </c>
      <c r="O145" s="3" t="inlineStr">
        <is>
          <t>Czech Republic</t>
        </is>
      </c>
      <c r="P145" s="3" t="inlineStr">
        <is>
          <t>Z92-CZ10003</t>
        </is>
      </c>
      <c r="Q145" s="3" t="inlineStr">
        <is>
          <t>77242113UCO2001</t>
        </is>
      </c>
    </row>
    <row r="146">
      <c r="A146" s="2" t="str">
        <f>HYPERLINK("https://vtmf.veevavault.com/ui/#doc_info/28239504/1/0", "77242113UCO2001-CZE-Z92-CZ10003-Monitoring Visit Report-29 Jan 2025 (v1.0)")</f>
        <v>77242113UCO2001-CZE-Z92-CZ10003-Monitoring Visit Report-29 Jan 2025 (v1.0)</v>
      </c>
      <c r="B146" s="3" t="inlineStr">
        <is>
          <t>Admin User Medidata</t>
        </is>
      </c>
      <c r="C146" s="3" t="inlineStr">
        <is>
          <t>Site Management</t>
        </is>
      </c>
      <c r="D146" s="3" t="inlineStr">
        <is>
          <t>Site Management</t>
        </is>
      </c>
      <c r="E146" s="3" t="inlineStr">
        <is>
          <t>Monitoring Visit Report</t>
        </is>
      </c>
      <c r="F146" s="3" t="inlineStr">
        <is>
          <t/>
        </is>
      </c>
      <c r="G146" s="2" t="str">
        <f>HYPERLINK("https://vtmf.veevavault.com/ui/#doc_info/28239504/1/0", "VTMF-22650072")</f>
        <v>VTMF-22650072</v>
      </c>
      <c r="H146" s="3" t="inlineStr">
        <is>
          <t/>
        </is>
      </c>
      <c r="I146" s="3" t="inlineStr">
        <is>
          <t>System</t>
        </is>
      </c>
      <c r="J146" s="3" t="inlineStr">
        <is>
          <t>Admin User Medidata</t>
        </is>
      </c>
      <c r="K146" s="4" t="n">
        <v>45694.393530092595</v>
      </c>
      <c r="L146" s="5" t="n">
        <v>45694.0</v>
      </c>
      <c r="M146" s="3" t="inlineStr">
        <is>
          <t>Approved</t>
        </is>
      </c>
      <c r="N146" s="3" t="inlineStr">
        <is>
          <t>Site Close</t>
        </is>
      </c>
      <c r="O146" s="3" t="inlineStr">
        <is>
          <t>Czech Republic</t>
        </is>
      </c>
      <c r="P146" s="3" t="inlineStr">
        <is>
          <t>Z92-CZ10003</t>
        </is>
      </c>
      <c r="Q146" s="3" t="inlineStr">
        <is>
          <t>77242113UCO2001</t>
        </is>
      </c>
    </row>
    <row r="147">
      <c r="A147" s="2" t="str">
        <f>HYPERLINK("https://vtmf.veevavault.com/ui/#doc_info/30716402/1/0", "77242113UCO2001-CZE-Z92-CZ10003-Non-IP Return Documentation-17 Dec 2025 (v1.0)")</f>
        <v>77242113UCO2001-CZE-Z92-CZ10003-Non-IP Return Documentation-17 Dec 2025 (v1.0)</v>
      </c>
      <c r="B147" s="3" t="inlineStr">
        <is>
          <t>Jitka Kone</t>
        </is>
      </c>
      <c r="C147" s="3" t="inlineStr">
        <is>
          <t>IP and Trial Supplies</t>
        </is>
      </c>
      <c r="D147" s="3" t="inlineStr">
        <is>
          <t>Non-IP Documentation</t>
        </is>
      </c>
      <c r="E147" s="3" t="inlineStr">
        <is>
          <t>Non-IP Return Documentation</t>
        </is>
      </c>
      <c r="F147" s="3" t="inlineStr">
        <is>
          <t>Handover protocol_meal vouchers 2025 12 pcs</t>
        </is>
      </c>
      <c r="G147" s="2" t="str">
        <f>HYPERLINK("https://vtmf.veevavault.com/ui/#doc_info/30716402/1/0", "VTMF-24750793")</f>
        <v>VTMF-24750793</v>
      </c>
      <c r="H147" s="3" t="inlineStr">
        <is>
          <t/>
        </is>
      </c>
      <c r="I147" s="3" t="inlineStr">
        <is>
          <t>System</t>
        </is>
      </c>
      <c r="J147" s="3" t="inlineStr">
        <is>
          <t>Jitka Kone</t>
        </is>
      </c>
      <c r="K147" s="4" t="n">
        <v>46027.62972222222</v>
      </c>
      <c r="L147" s="5" t="n">
        <v>46027.0</v>
      </c>
      <c r="M147" s="3" t="inlineStr">
        <is>
          <t>Approved</t>
        </is>
      </c>
      <c r="N147" s="3" t="inlineStr">
        <is>
          <t>CLIX Filing, Country Close, Study Close</t>
        </is>
      </c>
      <c r="O147" s="3" t="inlineStr">
        <is>
          <t>Czech Republic</t>
        </is>
      </c>
      <c r="P147" s="3" t="inlineStr">
        <is>
          <t>Z92-CZ10003</t>
        </is>
      </c>
      <c r="Q147" s="3" t="inlineStr">
        <is>
          <t>77242113UCO2001</t>
        </is>
      </c>
    </row>
    <row r="148">
      <c r="A148" s="2" t="str">
        <f>HYPERLINK("https://vtmf.veevavault.com/ui/#doc_info/26863401/1/0", "77242113UCO2001-CZE-Z92-CZ10003-Non-IP Return Documentation-17 Jul 2024 (v1.0)")</f>
        <v>77242113UCO2001-CZE-Z92-CZ10003-Non-IP Return Documentation-17 Jul 2024 (v1.0)</v>
      </c>
      <c r="B148" s="3" t="inlineStr">
        <is>
          <t>Jitka Kone</t>
        </is>
      </c>
      <c r="C148" s="3" t="inlineStr">
        <is>
          <t>IP and Trial Supplies</t>
        </is>
      </c>
      <c r="D148" s="3" t="inlineStr">
        <is>
          <t>Non-IP Documentation</t>
        </is>
      </c>
      <c r="E148" s="3" t="inlineStr">
        <is>
          <t>Non-IP Return Documentation</t>
        </is>
      </c>
      <c r="F148" s="3" t="inlineStr">
        <is>
          <t>Handover protocol from site to SM_handheld A694482</t>
        </is>
      </c>
      <c r="G148" s="2" t="str">
        <f>HYPERLINK("https://vtmf.veevavault.com/ui/#doc_info/26863401/1/0", "VTMF-21531999")</f>
        <v>VTMF-21531999</v>
      </c>
      <c r="H148" s="3" t="inlineStr">
        <is>
          <t/>
        </is>
      </c>
      <c r="I148" s="3" t="inlineStr">
        <is>
          <t>Anthony Suarez (veeva.com)</t>
        </is>
      </c>
      <c r="J148" s="3" t="inlineStr">
        <is>
          <t>Jitka Kone</t>
        </is>
      </c>
      <c r="K148" s="4" t="n">
        <v>45513.653125</v>
      </c>
      <c r="L148" s="5" t="n">
        <v>45513.0</v>
      </c>
      <c r="M148" s="3" t="inlineStr">
        <is>
          <t>Approved</t>
        </is>
      </c>
      <c r="N148" s="3" t="inlineStr">
        <is>
          <t>Available for Distribution, CLIX Filing, Site Close</t>
        </is>
      </c>
      <c r="O148" s="3" t="inlineStr">
        <is>
          <t>Czech Republic</t>
        </is>
      </c>
      <c r="P148" s="3" t="inlineStr">
        <is>
          <t>Z92-CZ10003</t>
        </is>
      </c>
      <c r="Q148" s="3" t="inlineStr">
        <is>
          <t>77242113UCO2001</t>
        </is>
      </c>
    </row>
    <row r="149">
      <c r="A149" s="2" t="str">
        <f>HYPERLINK("https://vtmf.veevavault.com/ui/#doc_info/30801922/1/0", "77242113UCO2001-CZE-Z92-CZ10003-Non-IP Return Documentation-19 Jan 2026 (v1.0)")</f>
        <v>77242113UCO2001-CZE-Z92-CZ10003-Non-IP Return Documentation-19 Jan 2026 (v1.0)</v>
      </c>
      <c r="B149" s="3" t="inlineStr">
        <is>
          <t>Jitka Kone</t>
        </is>
      </c>
      <c r="C149" s="3" t="inlineStr">
        <is>
          <t>IP and Trial Supplies</t>
        </is>
      </c>
      <c r="D149" s="3" t="inlineStr">
        <is>
          <t>Non-IP Documentation</t>
        </is>
      </c>
      <c r="E149" s="3" t="inlineStr">
        <is>
          <t>Non-IP Return Documentation</t>
        </is>
      </c>
      <c r="F149" s="3" t="inlineStr">
        <is>
          <t>Handover protocol_Tablet A640020</t>
        </is>
      </c>
      <c r="G149" s="2" t="str">
        <f>HYPERLINK("https://vtmf.veevavault.com/ui/#doc_info/30801922/1/0", "VTMF-24821654")</f>
        <v>VTMF-24821654</v>
      </c>
      <c r="H149" s="3" t="inlineStr">
        <is>
          <t/>
        </is>
      </c>
      <c r="I149" s="3" t="inlineStr">
        <is>
          <t>System</t>
        </is>
      </c>
      <c r="J149" s="3" t="inlineStr">
        <is>
          <t>Jitka Kone</t>
        </is>
      </c>
      <c r="K149" s="4" t="n">
        <v>46041.436203703706</v>
      </c>
      <c r="L149" s="5" t="n">
        <v>46041.0</v>
      </c>
      <c r="M149" s="3" t="inlineStr">
        <is>
          <t>Approved</t>
        </is>
      </c>
      <c r="N149" s="3" t="inlineStr">
        <is>
          <t>CLIX Filing, Country Close, Study Close</t>
        </is>
      </c>
      <c r="O149" s="3" t="inlineStr">
        <is>
          <t>Czech Republic</t>
        </is>
      </c>
      <c r="P149" s="3" t="inlineStr">
        <is>
          <t>Z92-CZ10003</t>
        </is>
      </c>
      <c r="Q149" s="3" t="inlineStr">
        <is>
          <t>77242113UCO2001</t>
        </is>
      </c>
    </row>
    <row r="150">
      <c r="A150" s="2" t="str">
        <f>HYPERLINK("https://vtmf.veevavault.com/ui/#doc_info/29839650/1/0", "77242113UCO2001-CZE-Z92-CZ10003-Non-IP Return Documentation-20 Aug 2025 (v1.0)")</f>
        <v>77242113UCO2001-CZE-Z92-CZ10003-Non-IP Return Documentation-20 Aug 2025 (v1.0)</v>
      </c>
      <c r="B150" s="3" t="inlineStr">
        <is>
          <t>Jitka Kone</t>
        </is>
      </c>
      <c r="C150" s="3" t="inlineStr">
        <is>
          <t>IP and Trial Supplies</t>
        </is>
      </c>
      <c r="D150" s="3" t="inlineStr">
        <is>
          <t>Non-IP Documentation</t>
        </is>
      </c>
      <c r="E150" s="3" t="inlineStr">
        <is>
          <t>Non-IP Return Documentation</t>
        </is>
      </c>
      <c r="F150" s="3" t="inlineStr">
        <is>
          <t>Return of non IP_Datalogger KLT-24K-7735</t>
        </is>
      </c>
      <c r="G150" s="2" t="str">
        <f>HYPERLINK("https://vtmf.veevavault.com/ui/#doc_info/29839650/1/0", "VTMF-24015640")</f>
        <v>VTMF-24015640</v>
      </c>
      <c r="H150" s="3" t="inlineStr">
        <is>
          <t/>
        </is>
      </c>
      <c r="I150" s="3" t="inlineStr">
        <is>
          <t>System</t>
        </is>
      </c>
      <c r="J150" s="3" t="inlineStr">
        <is>
          <t>Jitka Kone</t>
        </is>
      </c>
      <c r="K150" s="4" t="n">
        <v>45896.64671296296</v>
      </c>
      <c r="L150" s="5" t="n">
        <v>45896.0</v>
      </c>
      <c r="M150" s="3" t="inlineStr">
        <is>
          <t>Approved</t>
        </is>
      </c>
      <c r="N150" s="3" t="inlineStr">
        <is>
          <t>CLIX Filing, Country Close, Study Close</t>
        </is>
      </c>
      <c r="O150" s="3" t="inlineStr">
        <is>
          <t>Czech Republic</t>
        </is>
      </c>
      <c r="P150" s="3" t="inlineStr">
        <is>
          <t>Z92-CZ10003</t>
        </is>
      </c>
      <c r="Q150" s="3" t="inlineStr">
        <is>
          <t>77242113UCO2001</t>
        </is>
      </c>
    </row>
    <row r="151">
      <c r="A151" s="2" t="str">
        <f>HYPERLINK("https://vtmf.veevavault.com/ui/#doc_info/29846616/1/0", "77242113UCO2001-CZE-Z92-CZ10003-Non-IP Return Documentation-20 Aug 2025 (v1.0)")</f>
        <v>77242113UCO2001-CZE-Z92-CZ10003-Non-IP Return Documentation-20 Aug 2025 (v1.0)</v>
      </c>
      <c r="B151" s="3" t="inlineStr">
        <is>
          <t>Jitka Kone</t>
        </is>
      </c>
      <c r="C151" s="3" t="inlineStr">
        <is>
          <t>IP and Trial Supplies</t>
        </is>
      </c>
      <c r="D151" s="3" t="inlineStr">
        <is>
          <t>Non-IP Documentation</t>
        </is>
      </c>
      <c r="E151" s="3" t="inlineStr">
        <is>
          <t>Non-IP Return Documentation</t>
        </is>
      </c>
      <c r="F151" s="3" t="inlineStr">
        <is>
          <t>Handover protocol_scale return</t>
        </is>
      </c>
      <c r="G151" s="2" t="str">
        <f>HYPERLINK("https://vtmf.veevavault.com/ui/#doc_info/29846616/1/0", "VTMF-24021616")</f>
        <v>VTMF-24021616</v>
      </c>
      <c r="H151" s="3" t="inlineStr">
        <is>
          <t/>
        </is>
      </c>
      <c r="I151" s="3" t="inlineStr">
        <is>
          <t>System</t>
        </is>
      </c>
      <c r="J151" s="3" t="inlineStr">
        <is>
          <t>Jitka Kone</t>
        </is>
      </c>
      <c r="K151" s="4" t="n">
        <v>45897.47252314815</v>
      </c>
      <c r="L151" s="5" t="n">
        <v>45897.0</v>
      </c>
      <c r="M151" s="3" t="inlineStr">
        <is>
          <t>Approved</t>
        </is>
      </c>
      <c r="N151" s="3" t="inlineStr">
        <is>
          <t>CLIX Filing, Country Close, Study Close</t>
        </is>
      </c>
      <c r="O151" s="3" t="inlineStr">
        <is>
          <t>Czech Republic</t>
        </is>
      </c>
      <c r="P151" s="3" t="inlineStr">
        <is>
          <t>Z92-CZ10003</t>
        </is>
      </c>
      <c r="Q151" s="3" t="inlineStr">
        <is>
          <t>77242113UCO2001</t>
        </is>
      </c>
    </row>
    <row r="152">
      <c r="A152" s="2" t="str">
        <f>HYPERLINK("https://vtmf.veevavault.com/ui/#doc_info/27771282/1/0", "77242113UCO2001-CZE-Z92-CZ10003-Non-IP Return Documentation-28 Nov 2024 (v1.0)")</f>
        <v>77242113UCO2001-CZE-Z92-CZ10003-Non-IP Return Documentation-28 Nov 2024 (v1.0)</v>
      </c>
      <c r="B152" s="3" t="inlineStr">
        <is>
          <t>Lenka Placha</t>
        </is>
      </c>
      <c r="C152" s="3" t="inlineStr">
        <is>
          <t>IP and Trial Supplies</t>
        </is>
      </c>
      <c r="D152" s="3" t="inlineStr">
        <is>
          <t>Non-IP Documentation</t>
        </is>
      </c>
      <c r="E152" s="3" t="inlineStr">
        <is>
          <t>Non-IP Return Documentation</t>
        </is>
      </c>
      <c r="F152" s="3" t="inlineStr">
        <is>
          <t>handheld return protocol_site Z92-CZ10003_28Nov24</t>
        </is>
      </c>
      <c r="G152" s="2" t="str">
        <f>HYPERLINK("https://vtmf.veevavault.com/ui/#doc_info/27771282/1/0", "VTMF-22268503")</f>
        <v>VTMF-22268503</v>
      </c>
      <c r="H152" s="3" t="inlineStr">
        <is>
          <t/>
        </is>
      </c>
      <c r="I152" s="3" t="inlineStr">
        <is>
          <t>System</t>
        </is>
      </c>
      <c r="J152" s="3" t="inlineStr">
        <is>
          <t>Lenka Placha</t>
        </is>
      </c>
      <c r="K152" s="4" t="n">
        <v>45625.52287037037</v>
      </c>
      <c r="L152" s="5" t="n">
        <v>45625.0</v>
      </c>
      <c r="M152" s="3" t="inlineStr">
        <is>
          <t>Approved</t>
        </is>
      </c>
      <c r="N152" s="3" t="inlineStr">
        <is>
          <t>CLIX Filing, Country Close, Study Close</t>
        </is>
      </c>
      <c r="O152" s="3" t="inlineStr">
        <is>
          <t>Czech Republic</t>
        </is>
      </c>
      <c r="P152" s="3" t="inlineStr">
        <is>
          <t>Z92-CZ10003</t>
        </is>
      </c>
      <c r="Q152" s="3" t="inlineStr">
        <is>
          <t>77242113UCO2001</t>
        </is>
      </c>
    </row>
    <row r="153">
      <c r="A153" s="2" t="str">
        <f>HYPERLINK("https://vtmf.veevavault.com/ui/#doc_info/25891193/1/0", "77242113UCO2001-CZE-Z92-CZ10003-Non-IP Shipment Documentation-01 Mar 2024 (v1.0)")</f>
        <v>77242113UCO2001-CZE-Z92-CZ10003-Non-IP Shipment Documentation-01 Mar 2024 (v1.0)</v>
      </c>
      <c r="B153" s="3" t="inlineStr">
        <is>
          <t>Marketa Hanzalova</t>
        </is>
      </c>
      <c r="C153" s="3" t="inlineStr">
        <is>
          <t>IP and Trial Supplies</t>
        </is>
      </c>
      <c r="D153" s="3" t="inlineStr">
        <is>
          <t>Non-IP Documentation</t>
        </is>
      </c>
      <c r="E153" s="3" t="inlineStr">
        <is>
          <t>Non-IP Shipment Documentation</t>
        </is>
      </c>
      <c r="F153" s="3" t="inlineStr">
        <is>
          <t>NIPSF_miniPA2_ICFs_manuals_IncExc_24Jan2024</t>
        </is>
      </c>
      <c r="G153" s="2" t="str">
        <f>HYPERLINK("https://vtmf.veevavault.com/ui/#doc_info/25891193/1/0", "VTMF-20683450")</f>
        <v>VTMF-20683450</v>
      </c>
      <c r="H153" s="3" t="inlineStr">
        <is>
          <t/>
        </is>
      </c>
      <c r="I153" s="3" t="inlineStr">
        <is>
          <t>Anthony Suarez (veeva.com)</t>
        </is>
      </c>
      <c r="J153" s="3" t="inlineStr">
        <is>
          <t>Marketa Hanzalova</t>
        </is>
      </c>
      <c r="K153" s="4" t="n">
        <v>45362.472905092596</v>
      </c>
      <c r="L153" s="5" t="n">
        <v>45362.0</v>
      </c>
      <c r="M153" s="3" t="inlineStr">
        <is>
          <t>Approved</t>
        </is>
      </c>
      <c r="N153" s="3" t="inlineStr">
        <is>
          <t>Available for Distribution, CLIX Filing, Site Close</t>
        </is>
      </c>
      <c r="O153" s="3" t="inlineStr">
        <is>
          <t>Czech Republic</t>
        </is>
      </c>
      <c r="P153" s="3" t="inlineStr">
        <is>
          <t>Z92-CZ10003</t>
        </is>
      </c>
      <c r="Q153" s="3" t="inlineStr">
        <is>
          <t>77242113UCO2001</t>
        </is>
      </c>
    </row>
    <row r="154">
      <c r="A154" s="2" t="str">
        <f>HYPERLINK("https://vtmf.veevavault.com/ui/#doc_info/25882358/1/0", "77242113UCO2001-CZE-Z92-CZ10003-Non-IP Shipment Documentation-05 Mar 2024 (v1.0)")</f>
        <v>77242113UCO2001-CZE-Z92-CZ10003-Non-IP Shipment Documentation-05 Mar 2024 (v1.0)</v>
      </c>
      <c r="B154" s="3" t="inlineStr">
        <is>
          <t>Jitka Kone</t>
        </is>
      </c>
      <c r="C154" s="3" t="inlineStr">
        <is>
          <t>IP and Trial Supplies</t>
        </is>
      </c>
      <c r="D154" s="3" t="inlineStr">
        <is>
          <t>Non-IP Documentation</t>
        </is>
      </c>
      <c r="E154" s="3" t="inlineStr">
        <is>
          <t>Non-IP Shipment Documentation</t>
        </is>
      </c>
      <c r="F154" s="3" t="inlineStr">
        <is>
          <t>NIPSF_Pregnancy Tests_04-MAR-2024</t>
        </is>
      </c>
      <c r="G154" s="2" t="str">
        <f>HYPERLINK("https://vtmf.veevavault.com/ui/#doc_info/25882358/1/0", "VTMF-20675606")</f>
        <v>VTMF-20675606</v>
      </c>
      <c r="H154" s="3" t="inlineStr">
        <is>
          <t/>
        </is>
      </c>
      <c r="I154" s="3" t="inlineStr">
        <is>
          <t>Anthony Suarez (veeva.com)</t>
        </is>
      </c>
      <c r="J154" s="3" t="inlineStr">
        <is>
          <t>Jitka Kone</t>
        </is>
      </c>
      <c r="K154" s="4" t="n">
        <v>45359.64393518519</v>
      </c>
      <c r="L154" s="5" t="n">
        <v>45359.0</v>
      </c>
      <c r="M154" s="3" t="inlineStr">
        <is>
          <t>Approved</t>
        </is>
      </c>
      <c r="N154" s="3" t="inlineStr">
        <is>
          <t>Available for Distribution, CLIX Filing, Site Close</t>
        </is>
      </c>
      <c r="O154" s="3" t="inlineStr">
        <is>
          <t>Czech Republic</t>
        </is>
      </c>
      <c r="P154" s="3" t="inlineStr">
        <is>
          <t>Z92-CZ10003</t>
        </is>
      </c>
      <c r="Q154" s="3" t="inlineStr">
        <is>
          <t>77242113UCO2001</t>
        </is>
      </c>
    </row>
    <row r="155">
      <c r="A155" s="2" t="str">
        <f>HYPERLINK("https://vtmf.veevavault.com/ui/#doc_info/25891287/1/0", "77242113UCO2001-CZE-Z92-CZ10003-Non-IP Shipment Documentation-05 Mar 2024 (v1.0)")</f>
        <v>77242113UCO2001-CZE-Z92-CZ10003-Non-IP Shipment Documentation-05 Mar 2024 (v1.0)</v>
      </c>
      <c r="B155" s="3" t="inlineStr">
        <is>
          <t>Marketa Hanzalova</t>
        </is>
      </c>
      <c r="C155" s="3" t="inlineStr">
        <is>
          <t>IP and Trial Supplies</t>
        </is>
      </c>
      <c r="D155" s="3" t="inlineStr">
        <is>
          <t>Non-IP Documentation</t>
        </is>
      </c>
      <c r="E155" s="3" t="inlineStr">
        <is>
          <t>Non-IP Shipment Documentation</t>
        </is>
      </c>
      <c r="F155" s="3" t="inlineStr">
        <is>
          <t>Handover protocol_meal vouchers 100 pcs
04-MAR-2024</t>
        </is>
      </c>
      <c r="G155" s="2" t="str">
        <f>HYPERLINK("https://vtmf.veevavault.com/ui/#doc_info/25891287/1/0", "VTMF-20683509")</f>
        <v>VTMF-20683509</v>
      </c>
      <c r="H155" s="3" t="inlineStr">
        <is>
          <t/>
        </is>
      </c>
      <c r="I155" s="3" t="inlineStr">
        <is>
          <t>Anthony Suarez (veeva.com)</t>
        </is>
      </c>
      <c r="J155" s="3" t="inlineStr">
        <is>
          <t>Marketa Hanzalova</t>
        </is>
      </c>
      <c r="K155" s="4" t="n">
        <v>45362.480092592596</v>
      </c>
      <c r="L155" s="5" t="n">
        <v>45362.0</v>
      </c>
      <c r="M155" s="3" t="inlineStr">
        <is>
          <t>Approved</t>
        </is>
      </c>
      <c r="N155" s="3" t="inlineStr">
        <is>
          <t>Available for Distribution, CLIX Filing, Site Close</t>
        </is>
      </c>
      <c r="O155" s="3" t="inlineStr">
        <is>
          <t>Czech Republic</t>
        </is>
      </c>
      <c r="P155" s="3" t="inlineStr">
        <is>
          <t>Z92-CZ10003</t>
        </is>
      </c>
      <c r="Q155" s="3" t="inlineStr">
        <is>
          <t>77242113UCO2001</t>
        </is>
      </c>
    </row>
    <row r="156">
      <c r="A156" s="2" t="str">
        <f>HYPERLINK("https://vtmf.veevavault.com/ui/#doc_info/31637475/1/0", "77242113UCO2001-CZE-Z92-CZ10003-Non-IP Shipment Documentation-05 May 2026 (v1.0)")</f>
        <v>77242113UCO2001-CZE-Z92-CZ10003-Non-IP Shipment Documentation-05 May 2026 (v1.0)</v>
      </c>
      <c r="B156" s="3" t="inlineStr">
        <is>
          <t>Jitka Kone</t>
        </is>
      </c>
      <c r="C156" s="3" t="inlineStr">
        <is>
          <t>IP and Trial Supplies</t>
        </is>
      </c>
      <c r="D156" s="3" t="inlineStr">
        <is>
          <t>Non-IP Documentation</t>
        </is>
      </c>
      <c r="E156" s="3" t="inlineStr">
        <is>
          <t>Non-IP Shipment Documentation</t>
        </is>
      </c>
      <c r="F156" s="3" t="inlineStr">
        <is>
          <t>NIPSF_USB final archiving + Final Progress Report_27-APR-2026</t>
        </is>
      </c>
      <c r="G156" s="2" t="str">
        <f>HYPERLINK("https://vtmf.veevavault.com/ui/#doc_info/31637475/1/0", "VTMF-25533449")</f>
        <v>VTMF-25533449</v>
      </c>
      <c r="H156" s="3" t="inlineStr">
        <is>
          <t/>
        </is>
      </c>
      <c r="I156" s="3" t="inlineStr">
        <is>
          <t>System</t>
        </is>
      </c>
      <c r="J156" s="3" t="inlineStr">
        <is>
          <t>Jitka Kone</t>
        </is>
      </c>
      <c r="K156" s="4" t="n">
        <v>46154.64171296296</v>
      </c>
      <c r="L156" s="5" t="n">
        <v>46154.0</v>
      </c>
      <c r="M156" s="3" t="inlineStr">
        <is>
          <t>Approved</t>
        </is>
      </c>
      <c r="N156" s="3" t="inlineStr">
        <is>
          <t>CLIX Filing, Country Start, Site Start</t>
        </is>
      </c>
      <c r="O156" s="3" t="inlineStr">
        <is>
          <t>Czech Republic</t>
        </is>
      </c>
      <c r="P156" s="3" t="inlineStr">
        <is>
          <t>Z92-CZ10003</t>
        </is>
      </c>
      <c r="Q156" s="3" t="inlineStr">
        <is>
          <t>77242113UCO2001</t>
        </is>
      </c>
    </row>
    <row r="157">
      <c r="A157" s="2" t="str">
        <f>HYPERLINK("https://vtmf.veevavault.com/ui/#doc_info/25799274/1/0", "77242113UCO2001-CZE-Z92-CZ10003-Non-IP Shipment Documentation-07 Feb 2024 (v1.0)")</f>
        <v>77242113UCO2001-CZE-Z92-CZ10003-Non-IP Shipment Documentation-07 Feb 2024 (v1.0)</v>
      </c>
      <c r="B157" s="3" t="inlineStr">
        <is>
          <t>Jitka Kone</t>
        </is>
      </c>
      <c r="C157" s="3" t="inlineStr">
        <is>
          <t>IP and Trial Supplies</t>
        </is>
      </c>
      <c r="D157" s="3" t="inlineStr">
        <is>
          <t>Non-IP Documentation</t>
        </is>
      </c>
      <c r="E157" s="3" t="inlineStr">
        <is>
          <t>Non-IP Shipment Documentation</t>
        </is>
      </c>
      <c r="F157" s="3" t="inlineStr">
        <is>
          <t>NIPSF_Handheld eCOA Clario ERT R592871_07-FEB-2024</t>
        </is>
      </c>
      <c r="G157" s="2" t="str">
        <f>HYPERLINK("https://vtmf.veevavault.com/ui/#doc_info/25799274/1/0", "VTMF-20601872")</f>
        <v>VTMF-20601872</v>
      </c>
      <c r="H157" s="3" t="inlineStr">
        <is>
          <t/>
        </is>
      </c>
      <c r="I157" s="3" t="inlineStr">
        <is>
          <t>Anthony Suarez (veeva.com)</t>
        </is>
      </c>
      <c r="J157" s="3" t="inlineStr">
        <is>
          <t>Jitka Kone</t>
        </is>
      </c>
      <c r="K157" s="4" t="n">
        <v>45349.574594907404</v>
      </c>
      <c r="L157" s="5" t="n">
        <v>45349.0</v>
      </c>
      <c r="M157" s="3" t="inlineStr">
        <is>
          <t>Approved</t>
        </is>
      </c>
      <c r="N157" s="3" t="inlineStr">
        <is>
          <t>Available for Distribution, CLIX Filing, Site Close</t>
        </is>
      </c>
      <c r="O157" s="3" t="inlineStr">
        <is>
          <t>Czech Republic</t>
        </is>
      </c>
      <c r="P157" s="3" t="inlineStr">
        <is>
          <t>Z92-CZ10003</t>
        </is>
      </c>
      <c r="Q157" s="3" t="inlineStr">
        <is>
          <t>77242113UCO2001</t>
        </is>
      </c>
    </row>
    <row r="158">
      <c r="A158" s="2" t="str">
        <f>HYPERLINK("https://vtmf.veevavault.com/ui/#doc_info/28861444/1/0", "77242113UCO2001-CZE-Z92-CZ10003-Non-IP Shipment Documentation-07 Feb 2025 (v1.0)")</f>
        <v>77242113UCO2001-CZE-Z92-CZ10003-Non-IP Shipment Documentation-07 Feb 2025 (v1.0)</v>
      </c>
      <c r="B158" s="3" t="inlineStr">
        <is>
          <t>Jitka Kone</t>
        </is>
      </c>
      <c r="C158" s="3" t="inlineStr">
        <is>
          <t>IP and Trial Supplies</t>
        </is>
      </c>
      <c r="D158" s="3" t="inlineStr">
        <is>
          <t>Non-IP Documentation</t>
        </is>
      </c>
      <c r="E158" s="3" t="inlineStr">
        <is>
          <t>Non-IP Shipment Documentation</t>
        </is>
      </c>
      <c r="F158" s="3" t="inlineStr">
        <is>
          <t>NIPSF pharmacy_ IB Ed. 6 + PCI 7.1_03-FEB-2025</t>
        </is>
      </c>
      <c r="G158" s="2" t="str">
        <f>HYPERLINK("https://vtmf.veevavault.com/ui/#doc_info/28861444/1/0", "VTMF-23190899")</f>
        <v>VTMF-23190899</v>
      </c>
      <c r="H158" s="3" t="inlineStr">
        <is>
          <t/>
        </is>
      </c>
      <c r="I158" s="3" t="inlineStr">
        <is>
          <t>Jitka Kone</t>
        </is>
      </c>
      <c r="J158" s="3" t="inlineStr">
        <is>
          <t>Jitka Kone</t>
        </is>
      </c>
      <c r="K158" s="4" t="n">
        <v>45758.641597222224</v>
      </c>
      <c r="L158" s="5" t="n">
        <v>45758.0</v>
      </c>
      <c r="M158" s="3" t="inlineStr">
        <is>
          <t>Approved</t>
        </is>
      </c>
      <c r="N158" s="3" t="inlineStr">
        <is>
          <t>CLIX Filing, Country Start, Site Start</t>
        </is>
      </c>
      <c r="O158" s="3" t="inlineStr">
        <is>
          <t>Czech Republic</t>
        </is>
      </c>
      <c r="P158" s="3" t="inlineStr">
        <is>
          <t>Z92-CZ10003</t>
        </is>
      </c>
      <c r="Q158" s="3" t="inlineStr">
        <is>
          <t>77242113UCO2001</t>
        </is>
      </c>
    </row>
    <row r="159">
      <c r="A159" s="2" t="str">
        <f>HYPERLINK("https://vtmf.veevavault.com/ui/#doc_info/25513731/1/0", "77242113UCO2001-CZE-Z92-CZ10003-Non-IP Shipment Documentation-10 Jan 2024 (v1.0)")</f>
        <v>77242113UCO2001-CZE-Z92-CZ10003-Non-IP Shipment Documentation-10 Jan 2024 (v1.0)</v>
      </c>
      <c r="B159" s="3" t="inlineStr">
        <is>
          <t>Lenka Placha</t>
        </is>
      </c>
      <c r="C159" s="3" t="inlineStr">
        <is>
          <t>IP and Trial Supplies</t>
        </is>
      </c>
      <c r="D159" s="3" t="inlineStr">
        <is>
          <t>Non-IP Documentation</t>
        </is>
      </c>
      <c r="E159" s="3" t="inlineStr">
        <is>
          <t>Non-IP Shipment Documentation</t>
        </is>
      </c>
      <c r="F159" s="3" t="inlineStr">
        <is>
          <t>protocol- deep-freezing freezer takeover Janssen from Metroservis_10Jan24</t>
        </is>
      </c>
      <c r="G159" s="2" t="str">
        <f>HYPERLINK("https://vtmf.veevavault.com/ui/#doc_info/25513731/1/0", "VTMF-20351197")</f>
        <v>VTMF-20351197</v>
      </c>
      <c r="H159" s="3" t="inlineStr">
        <is>
          <t/>
        </is>
      </c>
      <c r="I159" s="3" t="inlineStr">
        <is>
          <t>Anthony Suarez (veeva.com)</t>
        </is>
      </c>
      <c r="J159" s="3" t="inlineStr">
        <is>
          <t>Lenka Placha</t>
        </is>
      </c>
      <c r="K159" s="4" t="n">
        <v>45307.727175925924</v>
      </c>
      <c r="L159" s="5" t="n">
        <v>45307.0</v>
      </c>
      <c r="M159" s="3" t="inlineStr">
        <is>
          <t>Approved</t>
        </is>
      </c>
      <c r="N159" s="3" t="inlineStr">
        <is>
          <t>Available for Distribution, CLIX Filing, Site Close</t>
        </is>
      </c>
      <c r="O159" s="3" t="inlineStr">
        <is>
          <t>Czech Republic</t>
        </is>
      </c>
      <c r="P159" s="3" t="inlineStr">
        <is>
          <t>Z92-CZ10003</t>
        </is>
      </c>
      <c r="Q159" s="3" t="inlineStr">
        <is>
          <t>77242113UCO2001</t>
        </is>
      </c>
    </row>
    <row r="160">
      <c r="A160" s="2" t="str">
        <f>HYPERLINK("https://vtmf.veevavault.com/ui/#doc_info/25513732/1/0", "77242113UCO2001-CZE-Z92-CZ10003-Non-IP Shipment Documentation-10 Jan 2024 (v1.0)")</f>
        <v>77242113UCO2001-CZE-Z92-CZ10003-Non-IP Shipment Documentation-10 Jan 2024 (v1.0)</v>
      </c>
      <c r="B160" s="3" t="inlineStr">
        <is>
          <t>Lenka Placha</t>
        </is>
      </c>
      <c r="C160" s="3" t="inlineStr">
        <is>
          <t>IP and Trial Supplies</t>
        </is>
      </c>
      <c r="D160" s="3" t="inlineStr">
        <is>
          <t>Non-IP Documentation</t>
        </is>
      </c>
      <c r="E160" s="3" t="inlineStr">
        <is>
          <t>Non-IP Shipment Documentation</t>
        </is>
      </c>
      <c r="F160" s="3" t="inlineStr">
        <is>
          <t>loan protocol- deep-freezing freezer takeover PI Dr.Siroky Jr. from Janssen 10Jan24</t>
        </is>
      </c>
      <c r="G160" s="2" t="str">
        <f>HYPERLINK("https://vtmf.veevavault.com/ui/#doc_info/25513732/1/0", "VTMF-20351198")</f>
        <v>VTMF-20351198</v>
      </c>
      <c r="H160" s="3" t="inlineStr">
        <is>
          <t/>
        </is>
      </c>
      <c r="I160" s="3" t="inlineStr">
        <is>
          <t>Anthony Suarez (veeva.com)</t>
        </is>
      </c>
      <c r="J160" s="3" t="inlineStr">
        <is>
          <t>Lenka Placha</t>
        </is>
      </c>
      <c r="K160" s="4" t="n">
        <v>45307.727175925924</v>
      </c>
      <c r="L160" s="5" t="n">
        <v>45307.0</v>
      </c>
      <c r="M160" s="3" t="inlineStr">
        <is>
          <t>Approved</t>
        </is>
      </c>
      <c r="N160" s="3" t="inlineStr">
        <is>
          <t>Available for Distribution, CLIX Filing, Site Close</t>
        </is>
      </c>
      <c r="O160" s="3" t="inlineStr">
        <is>
          <t>Czech Republic</t>
        </is>
      </c>
      <c r="P160" s="3" t="inlineStr">
        <is>
          <t>Z92-CZ10003</t>
        </is>
      </c>
      <c r="Q160" s="3" t="inlineStr">
        <is>
          <t>77242113UCO2001</t>
        </is>
      </c>
    </row>
    <row r="161">
      <c r="A161" s="2" t="str">
        <f>HYPERLINK("https://vtmf.veevavault.com/ui/#doc_info/25799840/1/0", "77242113UCO2001-CZE-Z92-CZ10003-Non-IP Shipment Documentation-10 Jan 2024 (v1.0)")</f>
        <v>77242113UCO2001-CZE-Z92-CZ10003-Non-IP Shipment Documentation-10 Jan 2024 (v1.0)</v>
      </c>
      <c r="B161" s="3" t="inlineStr">
        <is>
          <t>Jitka Kone</t>
        </is>
      </c>
      <c r="C161" s="3" t="inlineStr">
        <is>
          <t>IP and Trial Supplies</t>
        </is>
      </c>
      <c r="D161" s="3" t="inlineStr">
        <is>
          <t>Non-IP Documentation</t>
        </is>
      </c>
      <c r="E161" s="3" t="inlineStr">
        <is>
          <t>Non-IP Shipment Documentation</t>
        </is>
      </c>
      <c r="F161" s="3" t="inlineStr">
        <is>
          <t>Handover protocol_meal vouchers 200 pcs
08-JAN-2024</t>
        </is>
      </c>
      <c r="G161" s="2" t="str">
        <f>HYPERLINK("https://vtmf.veevavault.com/ui/#doc_info/25799840/1/0", "VTMF-20602341")</f>
        <v>VTMF-20602341</v>
      </c>
      <c r="H161" s="3" t="inlineStr">
        <is>
          <t/>
        </is>
      </c>
      <c r="I161" s="3" t="inlineStr">
        <is>
          <t>Anthony Suarez (veeva.com)</t>
        </is>
      </c>
      <c r="J161" s="3" t="inlineStr">
        <is>
          <t>Jitka Kone</t>
        </is>
      </c>
      <c r="K161" s="4" t="n">
        <v>45349.623460648145</v>
      </c>
      <c r="L161" s="5" t="n">
        <v>45349.0</v>
      </c>
      <c r="M161" s="3" t="inlineStr">
        <is>
          <t>Approved</t>
        </is>
      </c>
      <c r="N161" s="3" t="inlineStr">
        <is>
          <t>Available for Distribution, CLIX Filing, Site Close</t>
        </is>
      </c>
      <c r="O161" s="3" t="inlineStr">
        <is>
          <t>Czech Republic</t>
        </is>
      </c>
      <c r="P161" s="3" t="inlineStr">
        <is>
          <t>Z92-CZ10003</t>
        </is>
      </c>
      <c r="Q161" s="3" t="inlineStr">
        <is>
          <t>77242113UCO2001</t>
        </is>
      </c>
    </row>
    <row r="162">
      <c r="A162" s="2" t="str">
        <f>HYPERLINK("https://vtmf.veevavault.com/ui/#doc_info/25800121/1/0", "77242113UCO2001-CZE-Z92-CZ10003-Non-IP Shipment Documentation-10 Jan 2024 (v1.0)")</f>
        <v>77242113UCO2001-CZE-Z92-CZ10003-Non-IP Shipment Documentation-10 Jan 2024 (v1.0)</v>
      </c>
      <c r="B162" s="3" t="inlineStr">
        <is>
          <t>Jitka Kone</t>
        </is>
      </c>
      <c r="C162" s="3" t="inlineStr">
        <is>
          <t>IP and Trial Supplies</t>
        </is>
      </c>
      <c r="D162" s="3" t="inlineStr">
        <is>
          <t>Non-IP Documentation</t>
        </is>
      </c>
      <c r="E162" s="3" t="inlineStr">
        <is>
          <t>Non-IP Shipment Documentation</t>
        </is>
      </c>
      <c r="F162" s="3" t="inlineStr">
        <is>
          <t>NIPSF_Pr.Am.2 + Subject Binders
09-JAN-2024</t>
        </is>
      </c>
      <c r="G162" s="2" t="str">
        <f>HYPERLINK("https://vtmf.veevavault.com/ui/#doc_info/25800121/1/0", "VTMF-20602593")</f>
        <v>VTMF-20602593</v>
      </c>
      <c r="H162" s="3" t="inlineStr">
        <is>
          <t/>
        </is>
      </c>
      <c r="I162" s="3" t="inlineStr">
        <is>
          <t>Anthony Suarez (veeva.com)</t>
        </is>
      </c>
      <c r="J162" s="3" t="inlineStr">
        <is>
          <t>Jitka Kone</t>
        </is>
      </c>
      <c r="K162" s="4" t="n">
        <v>45349.64368055556</v>
      </c>
      <c r="L162" s="5" t="n">
        <v>45349.0</v>
      </c>
      <c r="M162" s="3" t="inlineStr">
        <is>
          <t>Approved</t>
        </is>
      </c>
      <c r="N162" s="3" t="inlineStr">
        <is>
          <t>Available for Distribution, CLIX Filing, Site Close</t>
        </is>
      </c>
      <c r="O162" s="3" t="inlineStr">
        <is>
          <t>Czech Republic</t>
        </is>
      </c>
      <c r="P162" s="3" t="inlineStr">
        <is>
          <t>Z92-CZ10003</t>
        </is>
      </c>
      <c r="Q162" s="3" t="inlineStr">
        <is>
          <t>77242113UCO2001</t>
        </is>
      </c>
    </row>
    <row r="163">
      <c r="A163" s="2" t="str">
        <f>HYPERLINK("https://vtmf.veevavault.com/ui/#doc_info/29762995/1/0", "77242113UCO2001-CZE-Z92-CZ10003-Non-IP Shipment Documentation-11 Aug 2025 (v1.0)")</f>
        <v>77242113UCO2001-CZE-Z92-CZ10003-Non-IP Shipment Documentation-11 Aug 2025 (v1.0)</v>
      </c>
      <c r="B163" s="3" t="inlineStr">
        <is>
          <t>Jitka Kone</t>
        </is>
      </c>
      <c r="C163" s="3" t="inlineStr">
        <is>
          <t>IP and Trial Supplies</t>
        </is>
      </c>
      <c r="D163" s="3" t="inlineStr">
        <is>
          <t>Non-IP Documentation</t>
        </is>
      </c>
      <c r="E163" s="3" t="inlineStr">
        <is>
          <t>Non-IP Shipment Documentation</t>
        </is>
      </c>
      <c r="F163" s="3" t="inlineStr">
        <is>
          <t>NIPSF_Ad. 1 to IB Ed. 6_07-AUG-2024</t>
        </is>
      </c>
      <c r="G163" s="2" t="str">
        <f>HYPERLINK("https://vtmf.veevavault.com/ui/#doc_info/29762995/1/0", "VTMF-23949833")</f>
        <v>VTMF-23949833</v>
      </c>
      <c r="H163" s="3" t="inlineStr">
        <is>
          <t/>
        </is>
      </c>
      <c r="I163" s="3" t="inlineStr">
        <is>
          <t>System</t>
        </is>
      </c>
      <c r="J163" s="3" t="inlineStr">
        <is>
          <t>Jitka Kone</t>
        </is>
      </c>
      <c r="K163" s="4" t="n">
        <v>45883.38622685185</v>
      </c>
      <c r="L163" s="5" t="n">
        <v>45883.0</v>
      </c>
      <c r="M163" s="3" t="inlineStr">
        <is>
          <t>Approved</t>
        </is>
      </c>
      <c r="N163" s="3" t="inlineStr">
        <is>
          <t>CLIX Filing, Country Start, Site Start</t>
        </is>
      </c>
      <c r="O163" s="3" t="inlineStr">
        <is>
          <t>Czech Republic</t>
        </is>
      </c>
      <c r="P163" s="3" t="inlineStr">
        <is>
          <t>Z92-CZ10003</t>
        </is>
      </c>
      <c r="Q163" s="3" t="inlineStr">
        <is>
          <t>77242113UCO2001</t>
        </is>
      </c>
    </row>
    <row r="164">
      <c r="A164" s="2" t="str">
        <f>HYPERLINK("https://vtmf.veevavault.com/ui/#doc_info/31328056/1/0", "77242113UCO2001-CZE-Z92-CZ10003-Non-IP Shipment Documentation-12 Mar 2026 (v1.0)")</f>
        <v>77242113UCO2001-CZE-Z92-CZ10003-Non-IP Shipment Documentation-12 Mar 2026 (v1.0)</v>
      </c>
      <c r="B164" s="3" t="inlineStr">
        <is>
          <t>Bela Lukavcová</t>
        </is>
      </c>
      <c r="C164" s="3" t="inlineStr">
        <is>
          <t>IP and Trial Supplies</t>
        </is>
      </c>
      <c r="D164" s="3" t="inlineStr">
        <is>
          <t>Non-IP Documentation</t>
        </is>
      </c>
      <c r="E164" s="3" t="inlineStr">
        <is>
          <t>Non-IP Shipment Documentation</t>
        </is>
      </c>
      <c r="F164" s="3" t="inlineStr">
        <is>
          <t>NIPSF_USB_12Mar2026</t>
        </is>
      </c>
      <c r="G164" s="2" t="str">
        <f>HYPERLINK("https://vtmf.veevavault.com/ui/#doc_info/31328056/1/0", "VTMF-25264731")</f>
        <v>VTMF-25264731</v>
      </c>
      <c r="H164" s="3" t="inlineStr">
        <is>
          <t/>
        </is>
      </c>
      <c r="I164" s="3" t="inlineStr">
        <is>
          <t>System</t>
        </is>
      </c>
      <c r="J164" s="3" t="inlineStr">
        <is>
          <t>Bela Lukavcová</t>
        </is>
      </c>
      <c r="K164" s="4" t="n">
        <v>46114.43349537037</v>
      </c>
      <c r="L164" s="5" t="n">
        <v>46114.0</v>
      </c>
      <c r="M164" s="3" t="inlineStr">
        <is>
          <t>Approved</t>
        </is>
      </c>
      <c r="N164" s="3" t="inlineStr">
        <is>
          <t>CLIX Filing, Country Start, Site Start</t>
        </is>
      </c>
      <c r="O164" s="3" t="inlineStr">
        <is>
          <t>Czech Republic</t>
        </is>
      </c>
      <c r="P164" s="3" t="inlineStr">
        <is>
          <t>Z92-CZ10003</t>
        </is>
      </c>
      <c r="Q164" s="3" t="inlineStr">
        <is>
          <t>77242113UCO2001</t>
        </is>
      </c>
    </row>
    <row r="165">
      <c r="A165" s="2" t="str">
        <f>HYPERLINK("https://vtmf.veevavault.com/ui/#doc_info/25389515/1/0", "77242113UCO2001-CZE-Z92-CZ10003-Non-IP Shipment Documentation-13 Dec 2023 (v1.0)")</f>
        <v>77242113UCO2001-CZE-Z92-CZ10003-Non-IP Shipment Documentation-13 Dec 2023 (v1.0)</v>
      </c>
      <c r="B165" s="3" t="inlineStr">
        <is>
          <t>Jitka Kone</t>
        </is>
      </c>
      <c r="C165" s="3" t="inlineStr">
        <is>
          <t>IP and Trial Supplies</t>
        </is>
      </c>
      <c r="D165" s="3" t="inlineStr">
        <is>
          <t>Non-IP Documentation</t>
        </is>
      </c>
      <c r="E165" s="3" t="inlineStr">
        <is>
          <t>Non-IP Shipment Documentation</t>
        </is>
      </c>
      <c r="F165" s="3" t="inlineStr">
        <is>
          <t>Handover Protocol_Meal vouchers 50 pcs 2024_13-DEC-2023</t>
        </is>
      </c>
      <c r="G165" s="2" t="str">
        <f>HYPERLINK("https://vtmf.veevavault.com/ui/#doc_info/25389515/1/0", "VTMF-20242582")</f>
        <v>VTMF-20242582</v>
      </c>
      <c r="H165" s="3" t="inlineStr">
        <is>
          <t/>
        </is>
      </c>
      <c r="I165" s="3" t="inlineStr">
        <is>
          <t>Anthony Suarez (veeva.com)</t>
        </is>
      </c>
      <c r="J165" s="3" t="inlineStr">
        <is>
          <t>Jitka Kone</t>
        </is>
      </c>
      <c r="K165" s="4" t="n">
        <v>45281.51972222222</v>
      </c>
      <c r="L165" s="5" t="n">
        <v>45281.0</v>
      </c>
      <c r="M165" s="3" t="inlineStr">
        <is>
          <t>Approved</t>
        </is>
      </c>
      <c r="N165" s="3" t="inlineStr">
        <is>
          <t>Available for Distribution, CLIX Filing, Site Close</t>
        </is>
      </c>
      <c r="O165" s="3" t="inlineStr">
        <is>
          <t>Czech Republic</t>
        </is>
      </c>
      <c r="P165" s="3" t="inlineStr">
        <is>
          <t>Z92-CZ10003</t>
        </is>
      </c>
      <c r="Q165" s="3" t="inlineStr">
        <is>
          <t>77242113UCO2001</t>
        </is>
      </c>
    </row>
    <row r="166">
      <c r="A166" s="2" t="str">
        <f>HYPERLINK("https://vtmf.veevavault.com/ui/#doc_info/25446263/1/0", "77242113UCO2001-CZE-Z92-CZ10003-Non-IP Shipment Documentation-13 Dec 2023 (v1.0)")</f>
        <v>77242113UCO2001-CZE-Z92-CZ10003-Non-IP Shipment Documentation-13 Dec 2023 (v1.0)</v>
      </c>
      <c r="B166" s="3" t="inlineStr">
        <is>
          <t>Jitka Kone</t>
        </is>
      </c>
      <c r="C166" s="3" t="inlineStr">
        <is>
          <t>IP and Trial Supplies</t>
        </is>
      </c>
      <c r="D166" s="3" t="inlineStr">
        <is>
          <t>Non-IP Documentation</t>
        </is>
      </c>
      <c r="E166" s="3" t="inlineStr">
        <is>
          <t>Non-IP Shipment Documentation</t>
        </is>
      </c>
      <c r="F166" s="3" t="inlineStr">
        <is>
          <t>NIPSF Pharmacy_Pharmacy Binder + Pr.Am.1_12-DEC-2023</t>
        </is>
      </c>
      <c r="G166" s="2" t="str">
        <f>HYPERLINK("https://vtmf.veevavault.com/ui/#doc_info/25446263/1/0", "VTMF-20293148")</f>
        <v>VTMF-20293148</v>
      </c>
      <c r="H166" s="3" t="inlineStr">
        <is>
          <t/>
        </is>
      </c>
      <c r="I166" s="3" t="inlineStr">
        <is>
          <t>Anthony Suarez (veeva.com)</t>
        </is>
      </c>
      <c r="J166" s="3" t="inlineStr">
        <is>
          <t>Jitka Kone</t>
        </is>
      </c>
      <c r="K166" s="4" t="n">
        <v>45295.61033564815</v>
      </c>
      <c r="L166" s="5" t="n">
        <v>45295.0</v>
      </c>
      <c r="M166" s="3" t="inlineStr">
        <is>
          <t>Approved</t>
        </is>
      </c>
      <c r="N166" s="3" t="inlineStr">
        <is>
          <t>Available for Distribution, CLIX Filing, Site Close</t>
        </is>
      </c>
      <c r="O166" s="3" t="inlineStr">
        <is>
          <t>Czech Republic</t>
        </is>
      </c>
      <c r="P166" s="3" t="inlineStr">
        <is>
          <t>Z92-CZ10003</t>
        </is>
      </c>
      <c r="Q166" s="3" t="inlineStr">
        <is>
          <t>77242113UCO2001</t>
        </is>
      </c>
    </row>
    <row r="167">
      <c r="A167" s="2" t="str">
        <f>HYPERLINK("https://vtmf.veevavault.com/ui/#doc_info/25446535/1/0", "77242113UCO2001-CZE-Z92-CZ10003-Non-IP Shipment Documentation-13 Dec 2023 (v1.0)")</f>
        <v>77242113UCO2001-CZE-Z92-CZ10003-Non-IP Shipment Documentation-13 Dec 2023 (v1.0)</v>
      </c>
      <c r="B167" s="3" t="inlineStr">
        <is>
          <t>Jitka Kone</t>
        </is>
      </c>
      <c r="C167" s="3" t="inlineStr">
        <is>
          <t>IP and Trial Supplies</t>
        </is>
      </c>
      <c r="D167" s="3" t="inlineStr">
        <is>
          <t>Non-IP Documentation</t>
        </is>
      </c>
      <c r="E167" s="3" t="inlineStr">
        <is>
          <t>Non-IP Shipment Documentation</t>
        </is>
      </c>
      <c r="F167" s="3" t="inlineStr">
        <is>
          <t>NIPSF site initial_Pr.Am.1 + ISF Binders + ICFs_12-DEC-2023</t>
        </is>
      </c>
      <c r="G167" s="2" t="str">
        <f>HYPERLINK("https://vtmf.veevavault.com/ui/#doc_info/25446535/1/0", "VTMF-20293377")</f>
        <v>VTMF-20293377</v>
      </c>
      <c r="H167" s="3" t="inlineStr">
        <is>
          <t/>
        </is>
      </c>
      <c r="I167" s="3" t="inlineStr">
        <is>
          <t>Anthony Suarez (veeva.com)</t>
        </is>
      </c>
      <c r="J167" s="3" t="inlineStr">
        <is>
          <t>Jitka Kone</t>
        </is>
      </c>
      <c r="K167" s="4" t="n">
        <v>45295.640706018516</v>
      </c>
      <c r="L167" s="5" t="n">
        <v>45295.0</v>
      </c>
      <c r="M167" s="3" t="inlineStr">
        <is>
          <t>Approved</t>
        </is>
      </c>
      <c r="N167" s="3" t="inlineStr">
        <is>
          <t>Available for Distribution, CLIX Filing, Site Close</t>
        </is>
      </c>
      <c r="O167" s="3" t="inlineStr">
        <is>
          <t>Czech Republic</t>
        </is>
      </c>
      <c r="P167" s="3" t="inlineStr">
        <is>
          <t>Z92-CZ10003</t>
        </is>
      </c>
      <c r="Q167" s="3" t="inlineStr">
        <is>
          <t>77242113UCO2001</t>
        </is>
      </c>
    </row>
    <row r="168">
      <c r="A168" s="2" t="str">
        <f>HYPERLINK("https://vtmf.veevavault.com/ui/#doc_info/25799798/1/0", "77242113UCO2001-CZE-Z92-CZ10003-Non-IP Shipment Documentation-13 Dec 2023 (v1.0)")</f>
        <v>77242113UCO2001-CZE-Z92-CZ10003-Non-IP Shipment Documentation-13 Dec 2023 (v1.0)</v>
      </c>
      <c r="B168" s="3" t="inlineStr">
        <is>
          <t>Jitka Kone</t>
        </is>
      </c>
      <c r="C168" s="3" t="inlineStr">
        <is>
          <t>IP and Trial Supplies</t>
        </is>
      </c>
      <c r="D168" s="3" t="inlineStr">
        <is>
          <t>Non-IP Documentation</t>
        </is>
      </c>
      <c r="E168" s="3" t="inlineStr">
        <is>
          <t>Non-IP Shipment Documentation</t>
        </is>
      </c>
      <c r="F168" s="3" t="inlineStr">
        <is>
          <t>NIPSF Guides + Patient Fact Sheet 
12-DEC-2023</t>
        </is>
      </c>
      <c r="G168" s="2" t="str">
        <f>HYPERLINK("https://vtmf.veevavault.com/ui/#doc_info/25799798/1/0", "VTMF-20602301")</f>
        <v>VTMF-20602301</v>
      </c>
      <c r="H168" s="3" t="inlineStr">
        <is>
          <t/>
        </is>
      </c>
      <c r="I168" s="3" t="inlineStr">
        <is>
          <t>Anthony Suarez (veeva.com)</t>
        </is>
      </c>
      <c r="J168" s="3" t="inlineStr">
        <is>
          <t>Jitka Kone</t>
        </is>
      </c>
      <c r="K168" s="4" t="n">
        <v>45349.61958333333</v>
      </c>
      <c r="L168" s="5" t="n">
        <v>45349.0</v>
      </c>
      <c r="M168" s="3" t="inlineStr">
        <is>
          <t>Approved</t>
        </is>
      </c>
      <c r="N168" s="3" t="inlineStr">
        <is>
          <t>Available for Distribution, CLIX Filing, Site Close</t>
        </is>
      </c>
      <c r="O168" s="3" t="inlineStr">
        <is>
          <t>Czech Republic</t>
        </is>
      </c>
      <c r="P168" s="3" t="inlineStr">
        <is>
          <t>Z92-CZ10003</t>
        </is>
      </c>
      <c r="Q168" s="3" t="inlineStr">
        <is>
          <t>77242113UCO2001</t>
        </is>
      </c>
    </row>
    <row r="169">
      <c r="A169" s="2" t="str">
        <f>HYPERLINK("https://vtmf.veevavault.com/ui/#doc_info/29187528/1/0", "77242113UCO2001-CZE-Z92-CZ10003-Non-IP Shipment Documentation-14 May 2025 (v1.0)")</f>
        <v>77242113UCO2001-CZE-Z92-CZ10003-Non-IP Shipment Documentation-14 May 2025 (v1.0)</v>
      </c>
      <c r="B169" s="3" t="inlineStr">
        <is>
          <t>Jitka Kone</t>
        </is>
      </c>
      <c r="C169" s="3" t="inlineStr">
        <is>
          <t>IP and Trial Supplies</t>
        </is>
      </c>
      <c r="D169" s="3" t="inlineStr">
        <is>
          <t>Non-IP Documentation</t>
        </is>
      </c>
      <c r="E169" s="3" t="inlineStr">
        <is>
          <t>Non-IP Shipment Documentation</t>
        </is>
      </c>
      <c r="F169" s="3" t="inlineStr">
        <is>
          <t>Handover protocol_meal vouchers 50 pcs_02-MAY-2025</t>
        </is>
      </c>
      <c r="G169" s="2" t="str">
        <f>HYPERLINK("https://vtmf.veevavault.com/ui/#doc_info/29187528/1/0", "VTMF-23459134")</f>
        <v>VTMF-23459134</v>
      </c>
      <c r="H169" s="3" t="inlineStr">
        <is>
          <t/>
        </is>
      </c>
      <c r="I169" s="3" t="inlineStr">
        <is>
          <t>System</t>
        </is>
      </c>
      <c r="J169" s="3" t="inlineStr">
        <is>
          <t>Jitka Kone</t>
        </is>
      </c>
      <c r="K169" s="4" t="n">
        <v>45800.46204861111</v>
      </c>
      <c r="L169" s="5" t="n">
        <v>45800.0</v>
      </c>
      <c r="M169" s="3" t="inlineStr">
        <is>
          <t>Approved</t>
        </is>
      </c>
      <c r="N169" s="3" t="inlineStr">
        <is>
          <t>CLIX Filing, Country Start, Site Start</t>
        </is>
      </c>
      <c r="O169" s="3" t="inlineStr">
        <is>
          <t>Czech Republic</t>
        </is>
      </c>
      <c r="P169" s="3" t="inlineStr">
        <is>
          <t>Z92-CZ10003</t>
        </is>
      </c>
      <c r="Q169" s="3" t="inlineStr">
        <is>
          <t>77242113UCO2001</t>
        </is>
      </c>
    </row>
    <row r="170">
      <c r="A170" s="2" t="str">
        <f>HYPERLINK("https://vtmf.veevavault.com/ui/#doc_info/28100703/1/0", "77242113UCO2001-CZE-Z92-CZ10003-Non-IP Shipment Documentation-15 Jan 2025 (v1.0)")</f>
        <v>77242113UCO2001-CZE-Z92-CZ10003-Non-IP Shipment Documentation-15 Jan 2025 (v1.0)</v>
      </c>
      <c r="B170" s="3" t="inlineStr">
        <is>
          <t>Jitka Kone</t>
        </is>
      </c>
      <c r="C170" s="3" t="inlineStr">
        <is>
          <t>IP and Trial Supplies</t>
        </is>
      </c>
      <c r="D170" s="3" t="inlineStr">
        <is>
          <t>Non-IP Documentation</t>
        </is>
      </c>
      <c r="E170" s="3" t="inlineStr">
        <is>
          <t>Non-IP Shipment Documentation</t>
        </is>
      </c>
      <c r="F170" s="3" t="inlineStr">
        <is>
          <t>Handover protocol_Meal vouchers 150 pcs_13-JAN-2025</t>
        </is>
      </c>
      <c r="G170" s="2" t="str">
        <f>HYPERLINK("https://vtmf.veevavault.com/ui/#doc_info/28100703/1/0", "VTMF-22536235")</f>
        <v>VTMF-22536235</v>
      </c>
      <c r="H170" s="3" t="inlineStr">
        <is>
          <t/>
        </is>
      </c>
      <c r="I170" s="3" t="inlineStr">
        <is>
          <t>System</t>
        </is>
      </c>
      <c r="J170" s="3" t="inlineStr">
        <is>
          <t>Jitka Kone</t>
        </is>
      </c>
      <c r="K170" s="4" t="n">
        <v>45674.50939814815</v>
      </c>
      <c r="L170" s="5" t="n">
        <v>45674.0</v>
      </c>
      <c r="M170" s="3" t="inlineStr">
        <is>
          <t>Approved</t>
        </is>
      </c>
      <c r="N170" s="3" t="inlineStr">
        <is>
          <t>CLIX Filing, Country Start, Site Start</t>
        </is>
      </c>
      <c r="O170" s="3" t="inlineStr">
        <is>
          <t>Czech Republic</t>
        </is>
      </c>
      <c r="P170" s="3" t="inlineStr">
        <is>
          <t>Z92-CZ10003</t>
        </is>
      </c>
      <c r="Q170" s="3" t="inlineStr">
        <is>
          <t>77242113UCO2001</t>
        </is>
      </c>
    </row>
    <row r="171">
      <c r="A171" s="2" t="str">
        <f>HYPERLINK("https://vtmf.veevavault.com/ui/#doc_info/26769818/1/0", "77242113UCO2001-CZE-Z92-CZ10003-Non-IP Shipment Documentation-17 Jul 2024 (v1.0)")</f>
        <v>77242113UCO2001-CZE-Z92-CZ10003-Non-IP Shipment Documentation-17 Jul 2024 (v1.0)</v>
      </c>
      <c r="B171" s="3" t="inlineStr">
        <is>
          <t>Jitka Kone</t>
        </is>
      </c>
      <c r="C171" s="3" t="inlineStr">
        <is>
          <t>IP and Trial Supplies</t>
        </is>
      </c>
      <c r="D171" s="3" t="inlineStr">
        <is>
          <t>Non-IP Documentation</t>
        </is>
      </c>
      <c r="E171" s="3" t="inlineStr">
        <is>
          <t>Non-IP Shipment Documentation</t>
        </is>
      </c>
      <c r="F171" s="3" t="inlineStr">
        <is>
          <t>NIPSF pharmacy_Pr. Am.3 +  PCI 3.1,4.1,5.1_26-JUN-2024</t>
        </is>
      </c>
      <c r="G171" s="2" t="str">
        <f>HYPERLINK("https://vtmf.veevavault.com/ui/#doc_info/26769818/1/0", "VTMF-21452922")</f>
        <v>VTMF-21452922</v>
      </c>
      <c r="H171" s="3" t="inlineStr">
        <is>
          <t/>
        </is>
      </c>
      <c r="I171" s="3" t="inlineStr">
        <is>
          <t>Anthony Suarez (veeva.com)</t>
        </is>
      </c>
      <c r="J171" s="3" t="inlineStr">
        <is>
          <t>Jitka Kone</t>
        </is>
      </c>
      <c r="K171" s="4" t="n">
        <v>45498.577060185184</v>
      </c>
      <c r="L171" s="5" t="n">
        <v>45498.0</v>
      </c>
      <c r="M171" s="3" t="inlineStr">
        <is>
          <t>Approved</t>
        </is>
      </c>
      <c r="N171" s="3" t="inlineStr">
        <is>
          <t>Available for Distribution, CLIX Filing, Site Close</t>
        </is>
      </c>
      <c r="O171" s="3" t="inlineStr">
        <is>
          <t>Czech Republic</t>
        </is>
      </c>
      <c r="P171" s="3" t="inlineStr">
        <is>
          <t>Z92-CZ10003</t>
        </is>
      </c>
      <c r="Q171" s="3" t="inlineStr">
        <is>
          <t>77242113UCO2001</t>
        </is>
      </c>
    </row>
    <row r="172">
      <c r="A172" s="2" t="str">
        <f>HYPERLINK("https://vtmf.veevavault.com/ui/#doc_info/27289906/1/0", "77242113UCO2001-CZE-Z92-CZ10003-Non-IP Shipment Documentation-17 Oct 2024 (v1.0)")</f>
        <v>77242113UCO2001-CZE-Z92-CZ10003-Non-IP Shipment Documentation-17 Oct 2024 (v1.0)</v>
      </c>
      <c r="B172" s="3" t="inlineStr">
        <is>
          <t>Jitka Kone</t>
        </is>
      </c>
      <c r="C172" s="3" t="inlineStr">
        <is>
          <t>IP and Trial Supplies</t>
        </is>
      </c>
      <c r="D172" s="3" t="inlineStr">
        <is>
          <t>Non-IP Documentation</t>
        </is>
      </c>
      <c r="E172" s="3" t="inlineStr">
        <is>
          <t>Non-IP Shipment Documentation</t>
        </is>
      </c>
      <c r="F172" s="3" t="inlineStr">
        <is>
          <t>Handover protocol_100 pcs meal vouchers 2025_17-OCT-2024</t>
        </is>
      </c>
      <c r="G172" s="2" t="str">
        <f>HYPERLINK("https://vtmf.veevavault.com/ui/#doc_info/27289906/1/0", "VTMF-21888142")</f>
        <v>VTMF-21888142</v>
      </c>
      <c r="H172" s="3" t="inlineStr">
        <is>
          <t/>
        </is>
      </c>
      <c r="I172" s="3" t="inlineStr">
        <is>
          <t>System</t>
        </is>
      </c>
      <c r="J172" s="3" t="inlineStr">
        <is>
          <t>Jitka Kone</t>
        </is>
      </c>
      <c r="K172" s="4" t="n">
        <v>45583.550729166665</v>
      </c>
      <c r="L172" s="5" t="n">
        <v>45583.0</v>
      </c>
      <c r="M172" s="3" t="inlineStr">
        <is>
          <t>Approved</t>
        </is>
      </c>
      <c r="N172" s="3" t="inlineStr">
        <is>
          <t>CLIX Filing, Country Start, Site Start</t>
        </is>
      </c>
      <c r="O172" s="3" t="inlineStr">
        <is>
          <t>Czech Republic</t>
        </is>
      </c>
      <c r="P172" s="3" t="inlineStr">
        <is>
          <t>Z92-CZ10003</t>
        </is>
      </c>
      <c r="Q172" s="3" t="inlineStr">
        <is>
          <t>77242113UCO2001</t>
        </is>
      </c>
    </row>
    <row r="173">
      <c r="A173" s="2" t="str">
        <f>HYPERLINK("https://vtmf.veevavault.com/ui/#doc_info/27306598/1/0", "77242113UCO2001-CZE-Z92-CZ10003-Non-IP Shipment Documentation-17 Oct 2024 (v1.0)")</f>
        <v>77242113UCO2001-CZE-Z92-CZ10003-Non-IP Shipment Documentation-17 Oct 2024 (v1.0)</v>
      </c>
      <c r="B173" s="3" t="inlineStr">
        <is>
          <t>Jitka Kone</t>
        </is>
      </c>
      <c r="C173" s="3" t="inlineStr">
        <is>
          <t>IP and Trial Supplies</t>
        </is>
      </c>
      <c r="D173" s="3" t="inlineStr">
        <is>
          <t>Non-IP Documentation</t>
        </is>
      </c>
      <c r="E173" s="3" t="inlineStr">
        <is>
          <t>Non-IP Shipment Documentation</t>
        </is>
      </c>
      <c r="F173" s="3" t="inlineStr">
        <is>
          <t>Handover protocol_Datalogger KLT-24K-7735_20-SEP-2024</t>
        </is>
      </c>
      <c r="G173" s="2" t="str">
        <f>HYPERLINK("https://vtmf.veevavault.com/ui/#doc_info/27306598/1/0", "VTMF-21904176")</f>
        <v>VTMF-21904176</v>
      </c>
      <c r="H173" s="3" t="inlineStr">
        <is>
          <t/>
        </is>
      </c>
      <c r="I173" s="3" t="inlineStr">
        <is>
          <t>System</t>
        </is>
      </c>
      <c r="J173" s="3" t="inlineStr">
        <is>
          <t>Jitka Kone</t>
        </is>
      </c>
      <c r="K173" s="4" t="n">
        <v>45587.36017361111</v>
      </c>
      <c r="L173" s="5" t="n">
        <v>45587.0</v>
      </c>
      <c r="M173" s="3" t="inlineStr">
        <is>
          <t>Approved</t>
        </is>
      </c>
      <c r="N173" s="3" t="inlineStr">
        <is>
          <t>CLIX Filing, Country Start, Site Start</t>
        </is>
      </c>
      <c r="O173" s="3" t="inlineStr">
        <is>
          <t>Czech Republic</t>
        </is>
      </c>
      <c r="P173" s="3" t="inlineStr">
        <is>
          <t>Z92-CZ10003</t>
        </is>
      </c>
      <c r="Q173" s="3" t="inlineStr">
        <is>
          <t>77242113UCO2001</t>
        </is>
      </c>
    </row>
    <row r="174">
      <c r="A174" s="2" t="str">
        <f>HYPERLINK("https://vtmf.veevavault.com/ui/#doc_info/27307977/1/0", "77242113UCO2001-CZE-Z92-CZ10003-Non-IP Shipment Documentation-17 Oct 2024 (v1.0)")</f>
        <v>77242113UCO2001-CZE-Z92-CZ10003-Non-IP Shipment Documentation-17 Oct 2024 (v1.0)</v>
      </c>
      <c r="B174" s="3" t="inlineStr">
        <is>
          <t>Jitka Kone</t>
        </is>
      </c>
      <c r="C174" s="3" t="inlineStr">
        <is>
          <t>IP and Trial Supplies</t>
        </is>
      </c>
      <c r="D174" s="3" t="inlineStr">
        <is>
          <t>Non-IP Documentation</t>
        </is>
      </c>
      <c r="E174" s="3" t="inlineStr">
        <is>
          <t>Non-IP Shipment Documentation</t>
        </is>
      </c>
      <c r="F174" s="3" t="inlineStr">
        <is>
          <t>NIPSF_Synopsis Pr.Am.3_17-OCT-2024</t>
        </is>
      </c>
      <c r="G174" s="2" t="str">
        <f>HYPERLINK("https://vtmf.veevavault.com/ui/#doc_info/27307977/1/0", "VTMF-21904264")</f>
        <v>VTMF-21904264</v>
      </c>
      <c r="H174" s="3" t="inlineStr">
        <is>
          <t/>
        </is>
      </c>
      <c r="I174" s="3" t="inlineStr">
        <is>
          <t>System</t>
        </is>
      </c>
      <c r="J174" s="3" t="inlineStr">
        <is>
          <t>Jitka Kone</t>
        </is>
      </c>
      <c r="K174" s="4" t="n">
        <v>45587.37075231481</v>
      </c>
      <c r="L174" s="5" t="n">
        <v>45587.0</v>
      </c>
      <c r="M174" s="3" t="inlineStr">
        <is>
          <t>Approved</t>
        </is>
      </c>
      <c r="N174" s="3" t="inlineStr">
        <is>
          <t>CLIX Filing, Country Start, Site Start</t>
        </is>
      </c>
      <c r="O174" s="3" t="inlineStr">
        <is>
          <t>Czech Republic</t>
        </is>
      </c>
      <c r="P174" s="3" t="inlineStr">
        <is>
          <t>Z92-CZ10003</t>
        </is>
      </c>
      <c r="Q174" s="3" t="inlineStr">
        <is>
          <t>77242113UCO2001</t>
        </is>
      </c>
    </row>
    <row r="175">
      <c r="A175" s="2" t="str">
        <f>HYPERLINK("https://vtmf.veevavault.com/ui/#doc_info/29838752/1/0", "77242113UCO2001-CZE-Z92-CZ10003-Non-IP Shipment Documentation-18 Aug 2025 (v1.0)")</f>
        <v>77242113UCO2001-CZE-Z92-CZ10003-Non-IP Shipment Documentation-18 Aug 2025 (v1.0)</v>
      </c>
      <c r="B175" s="3" t="inlineStr">
        <is>
          <t>Jitka Kone</t>
        </is>
      </c>
      <c r="C175" s="3" t="inlineStr">
        <is>
          <t>IP and Trial Supplies</t>
        </is>
      </c>
      <c r="D175" s="3" t="inlineStr">
        <is>
          <t>Non-IP Documentation</t>
        </is>
      </c>
      <c r="E175" s="3" t="inlineStr">
        <is>
          <t>Non-IP Shipment Documentation</t>
        </is>
      </c>
      <c r="F175" s="3" t="inlineStr">
        <is>
          <t>NIPSF_Datalogger KLT-25K-9000_18-AUG-2025</t>
        </is>
      </c>
      <c r="G175" s="2" t="str">
        <f>HYPERLINK("https://vtmf.veevavault.com/ui/#doc_info/29838752/1/0", "VTMF-24014919")</f>
        <v>VTMF-24014919</v>
      </c>
      <c r="H175" s="3" t="inlineStr">
        <is>
          <t/>
        </is>
      </c>
      <c r="I175" s="3" t="inlineStr">
        <is>
          <t>System</t>
        </is>
      </c>
      <c r="J175" s="3" t="inlineStr">
        <is>
          <t>Jitka Kone</t>
        </is>
      </c>
      <c r="K175" s="4" t="n">
        <v>45896.57592592593</v>
      </c>
      <c r="L175" s="5" t="n">
        <v>45896.0</v>
      </c>
      <c r="M175" s="3" t="inlineStr">
        <is>
          <t>Approved</t>
        </is>
      </c>
      <c r="N175" s="3" t="inlineStr">
        <is>
          <t>CLIX Filing, Country Start, Site Start</t>
        </is>
      </c>
      <c r="O175" s="3" t="inlineStr">
        <is>
          <t>Czech Republic</t>
        </is>
      </c>
      <c r="P175" s="3" t="inlineStr">
        <is>
          <t>Z92-CZ10003</t>
        </is>
      </c>
      <c r="Q175" s="3" t="inlineStr">
        <is>
          <t>77242113UCO2001</t>
        </is>
      </c>
    </row>
    <row r="176">
      <c r="A176" s="2" t="str">
        <f>HYPERLINK("https://vtmf.veevavault.com/ui/#doc_info/26935198/1/0", "77242113UCO2001-CZE-Z92-CZ10003-Non-IP Shipment Documentation-22 Aug 2024 (v1.0)")</f>
        <v>77242113UCO2001-CZE-Z92-CZ10003-Non-IP Shipment Documentation-22 Aug 2024 (v1.0)</v>
      </c>
      <c r="B176" s="3" t="inlineStr">
        <is>
          <t>Jitka Kone</t>
        </is>
      </c>
      <c r="C176" s="3" t="inlineStr">
        <is>
          <t>IP and Trial Supplies</t>
        </is>
      </c>
      <c r="D176" s="3" t="inlineStr">
        <is>
          <t>Non-IP Documentation</t>
        </is>
      </c>
      <c r="E176" s="3" t="inlineStr">
        <is>
          <t>Non-IP Shipment Documentation</t>
        </is>
      </c>
      <c r="F176" s="3" t="inlineStr">
        <is>
          <t>Handover protocol_meal vouchers 100 pcs_19-AUG-2024</t>
        </is>
      </c>
      <c r="G176" s="2" t="str">
        <f>HYPERLINK("https://vtmf.veevavault.com/ui/#doc_info/26935198/1/0", "VTMF-21591876")</f>
        <v>VTMF-21591876</v>
      </c>
      <c r="H176" s="3" t="inlineStr">
        <is>
          <t/>
        </is>
      </c>
      <c r="I176" s="3" t="inlineStr">
        <is>
          <t>Anthony Suarez (veeva.com)</t>
        </is>
      </c>
      <c r="J176" s="3" t="inlineStr">
        <is>
          <t>Jitka Kone</t>
        </is>
      </c>
      <c r="K176" s="4" t="n">
        <v>45526.59341435185</v>
      </c>
      <c r="L176" s="5" t="n">
        <v>45526.0</v>
      </c>
      <c r="M176" s="3" t="inlineStr">
        <is>
          <t>Approved</t>
        </is>
      </c>
      <c r="N176" s="3" t="inlineStr">
        <is>
          <t>Available for Distribution, CLIX Filing, Site Close</t>
        </is>
      </c>
      <c r="O176" s="3" t="inlineStr">
        <is>
          <t>Czech Republic</t>
        </is>
      </c>
      <c r="P176" s="3" t="inlineStr">
        <is>
          <t>Z92-CZ10003</t>
        </is>
      </c>
      <c r="Q176" s="3" t="inlineStr">
        <is>
          <t>77242113UCO2001</t>
        </is>
      </c>
    </row>
    <row r="177">
      <c r="A177" s="2" t="str">
        <f>HYPERLINK("https://vtmf.veevavault.com/ui/#doc_info/26047462/1/0", "77242113UCO2001-CZE-Z92-CZ10003-Non-IP Shipment Documentation-22 Mar 2024 (v1.0)")</f>
        <v>77242113UCO2001-CZE-Z92-CZ10003-Non-IP Shipment Documentation-22 Mar 2024 (v1.0)</v>
      </c>
      <c r="B177" s="3" t="inlineStr">
        <is>
          <t>Jitka Kone</t>
        </is>
      </c>
      <c r="C177" s="3" t="inlineStr">
        <is>
          <t>IP and Trial Supplies</t>
        </is>
      </c>
      <c r="D177" s="3" t="inlineStr">
        <is>
          <t>Non-IP Documentation</t>
        </is>
      </c>
      <c r="E177" s="3" t="inlineStr">
        <is>
          <t>Non-IP Shipment Documentation</t>
        </is>
      </c>
      <c r="F177" s="3" t="inlineStr">
        <is>
          <t>Handover Protocol_Scale_13-MAR-2024</t>
        </is>
      </c>
      <c r="G177" s="2" t="str">
        <f>HYPERLINK("https://vtmf.veevavault.com/ui/#doc_info/26047462/1/0", "VTMF-20821891")</f>
        <v>VTMF-20821891</v>
      </c>
      <c r="H177" s="3" t="inlineStr">
        <is>
          <t/>
        </is>
      </c>
      <c r="I177" s="3" t="inlineStr">
        <is>
          <t>Anthony Suarez (veeva.com)</t>
        </is>
      </c>
      <c r="J177" s="3" t="inlineStr">
        <is>
          <t>Jitka Kone</t>
        </is>
      </c>
      <c r="K177" s="4" t="n">
        <v>45384.605358796296</v>
      </c>
      <c r="L177" s="5" t="n">
        <v>45384.0</v>
      </c>
      <c r="M177" s="3" t="inlineStr">
        <is>
          <t>Approved</t>
        </is>
      </c>
      <c r="N177" s="3" t="inlineStr">
        <is>
          <t>Available for Distribution, CLIX Filing, Site Close</t>
        </is>
      </c>
      <c r="O177" s="3" t="inlineStr">
        <is>
          <t>Czech Republic</t>
        </is>
      </c>
      <c r="P177" s="3" t="inlineStr">
        <is>
          <t>Z92-CZ10003</t>
        </is>
      </c>
      <c r="Q177" s="3" t="inlineStr">
        <is>
          <t>77242113UCO2001</t>
        </is>
      </c>
    </row>
    <row r="178">
      <c r="A178" s="2" t="str">
        <f>HYPERLINK("https://vtmf.veevavault.com/ui/#doc_info/26769448/1/0", "77242113UCO2001-CZE-Z92-CZ10003-Non-IP Shipment Documentation-22 May 2024 (v1.0)")</f>
        <v>77242113UCO2001-CZE-Z92-CZ10003-Non-IP Shipment Documentation-22 May 2024 (v1.0)</v>
      </c>
      <c r="B178" s="3" t="inlineStr">
        <is>
          <t>Jitka Kone</t>
        </is>
      </c>
      <c r="C178" s="3" t="inlineStr">
        <is>
          <t>IP and Trial Supplies</t>
        </is>
      </c>
      <c r="D178" s="3" t="inlineStr">
        <is>
          <t>Non-IP Documentation</t>
        </is>
      </c>
      <c r="E178" s="3" t="inlineStr">
        <is>
          <t>Non-IP Shipment Documentation</t>
        </is>
      </c>
      <c r="F178" s="3" t="inlineStr">
        <is>
          <t>NIPSF_ISF binder IV + subject binder_20-MAY-2024</t>
        </is>
      </c>
      <c r="G178" s="2" t="str">
        <f>HYPERLINK("https://vtmf.veevavault.com/ui/#doc_info/26769448/1/0", "VTMF-21452762")</f>
        <v>VTMF-21452762</v>
      </c>
      <c r="H178" s="3" t="inlineStr">
        <is>
          <t/>
        </is>
      </c>
      <c r="I178" s="3" t="inlineStr">
        <is>
          <t>Anthony Suarez (veeva.com)</t>
        </is>
      </c>
      <c r="J178" s="3" t="inlineStr">
        <is>
          <t>Jitka Kone</t>
        </is>
      </c>
      <c r="K178" s="4" t="n">
        <v>45498.5575</v>
      </c>
      <c r="L178" s="5" t="n">
        <v>45498.0</v>
      </c>
      <c r="M178" s="3" t="inlineStr">
        <is>
          <t>Approved</t>
        </is>
      </c>
      <c r="N178" s="3" t="inlineStr">
        <is>
          <t>Available for Distribution, CLIX Filing, Site Close</t>
        </is>
      </c>
      <c r="O178" s="3" t="inlineStr">
        <is>
          <t>Czech Republic</t>
        </is>
      </c>
      <c r="P178" s="3" t="inlineStr">
        <is>
          <t>Z92-CZ10003</t>
        </is>
      </c>
      <c r="Q178" s="3" t="inlineStr">
        <is>
          <t>77242113UCO2001</t>
        </is>
      </c>
    </row>
    <row r="179">
      <c r="A179" s="2" t="str">
        <f>HYPERLINK("https://vtmf.veevavault.com/ui/#doc_info/26770217/1/0", "77242113UCO2001-CZE-Z92-CZ10003-Non-IP Shipment Documentation-22 May 2024 (v1.0)")</f>
        <v>77242113UCO2001-CZE-Z92-CZ10003-Non-IP Shipment Documentation-22 May 2024 (v1.0)</v>
      </c>
      <c r="B179" s="3" t="inlineStr">
        <is>
          <t>Jitka Kone</t>
        </is>
      </c>
      <c r="C179" s="3" t="inlineStr">
        <is>
          <t>IP and Trial Supplies</t>
        </is>
      </c>
      <c r="D179" s="3" t="inlineStr">
        <is>
          <t>Non-IP Documentation</t>
        </is>
      </c>
      <c r="E179" s="3" t="inlineStr">
        <is>
          <t>Non-IP Shipment Documentation</t>
        </is>
      </c>
      <c r="F179" s="3" t="inlineStr">
        <is>
          <t>NIPSF_Handheld_20-MAY-2024</t>
        </is>
      </c>
      <c r="G179" s="2" t="str">
        <f>HYPERLINK("https://vtmf.veevavault.com/ui/#doc_info/26770217/1/0", "VTMF-21453277")</f>
        <v>VTMF-21453277</v>
      </c>
      <c r="H179" s="3" t="inlineStr">
        <is>
          <t/>
        </is>
      </c>
      <c r="I179" s="3" t="inlineStr">
        <is>
          <t>Anthony Suarez (veeva.com)</t>
        </is>
      </c>
      <c r="J179" s="3" t="inlineStr">
        <is>
          <t>Jitka Kone</t>
        </is>
      </c>
      <c r="K179" s="4" t="n">
        <v>45498.60625</v>
      </c>
      <c r="L179" s="5" t="n">
        <v>45498.0</v>
      </c>
      <c r="M179" s="3" t="inlineStr">
        <is>
          <t>Approved</t>
        </is>
      </c>
      <c r="N179" s="3" t="inlineStr">
        <is>
          <t>Available for Distribution, CLIX Filing, Site Close</t>
        </is>
      </c>
      <c r="O179" s="3" t="inlineStr">
        <is>
          <t>Czech Republic</t>
        </is>
      </c>
      <c r="P179" s="3" t="inlineStr">
        <is>
          <t>Z92-CZ10003</t>
        </is>
      </c>
      <c r="Q179" s="3" t="inlineStr">
        <is>
          <t>77242113UCO2001</t>
        </is>
      </c>
    </row>
    <row r="180">
      <c r="A180" s="2" t="str">
        <f>HYPERLINK("https://vtmf.veevavault.com/ui/#doc_info/26381323/1/0", "77242113UCO2001-CZE-Z92-CZ10003-Non-IP Shipment Documentation-23 May 2024 (v1.0)")</f>
        <v>77242113UCO2001-CZE-Z92-CZ10003-Non-IP Shipment Documentation-23 May 2024 (v1.0)</v>
      </c>
      <c r="B180" s="3" t="inlineStr">
        <is>
          <t>Jitka Kone</t>
        </is>
      </c>
      <c r="C180" s="3" t="inlineStr">
        <is>
          <t>IP and Trial Supplies</t>
        </is>
      </c>
      <c r="D180" s="3" t="inlineStr">
        <is>
          <t>Non-IP Documentation</t>
        </is>
      </c>
      <c r="E180" s="3" t="inlineStr">
        <is>
          <t>Non-IP Shipment Documentation</t>
        </is>
      </c>
      <c r="F180" s="3" t="inlineStr">
        <is>
          <t>Handover protocol_meal vouchers 150 pcs
20-MAY-2024</t>
        </is>
      </c>
      <c r="G180" s="2" t="str">
        <f>HYPERLINK("https://vtmf.veevavault.com/ui/#doc_info/26381323/1/0", "VTMF-21112754")</f>
        <v>VTMF-21112754</v>
      </c>
      <c r="H180" s="3" t="inlineStr">
        <is>
          <t/>
        </is>
      </c>
      <c r="I180" s="3" t="inlineStr">
        <is>
          <t>Anthony Suarez (veeva.com)</t>
        </is>
      </c>
      <c r="J180" s="3" t="inlineStr">
        <is>
          <t>Jitka Kone</t>
        </is>
      </c>
      <c r="K180" s="4" t="n">
        <v>45435.48986111111</v>
      </c>
      <c r="L180" s="5" t="n">
        <v>45435.0</v>
      </c>
      <c r="M180" s="3" t="inlineStr">
        <is>
          <t>Approved</t>
        </is>
      </c>
      <c r="N180" s="3" t="inlineStr">
        <is>
          <t>Available for Distribution, CLIX Filing, Site Close</t>
        </is>
      </c>
      <c r="O180" s="3" t="inlineStr">
        <is>
          <t>Czech Republic</t>
        </is>
      </c>
      <c r="P180" s="3" t="inlineStr">
        <is>
          <t>Z92-CZ10003</t>
        </is>
      </c>
      <c r="Q180" s="3" t="inlineStr">
        <is>
          <t>77242113UCO2001</t>
        </is>
      </c>
    </row>
    <row r="181">
      <c r="A181" s="2" t="str">
        <f>HYPERLINK("https://vtmf.veevavault.com/ui/#doc_info/26689947/1/0", "77242113UCO2001-CZE-Z92-CZ10003-Non-IP Shipment Documentation-25 Apr 2024 (v1.0)")</f>
        <v>77242113UCO2001-CZE-Z92-CZ10003-Non-IP Shipment Documentation-25 Apr 2024 (v1.0)</v>
      </c>
      <c r="B181" s="3" t="inlineStr">
        <is>
          <t>Jitka Kone</t>
        </is>
      </c>
      <c r="C181" s="3" t="inlineStr">
        <is>
          <t>IP and Trial Supplies</t>
        </is>
      </c>
      <c r="D181" s="3" t="inlineStr">
        <is>
          <t>Non-IP Documentation</t>
        </is>
      </c>
      <c r="E181" s="3" t="inlineStr">
        <is>
          <t>Non-IP Shipment Documentation</t>
        </is>
      </c>
      <c r="F181" s="3" t="inlineStr">
        <is>
          <t>NIPSF_ICFs + Mayo + Subject Binder_24-APR-2024</t>
        </is>
      </c>
      <c r="G181" s="2" t="str">
        <f>HYPERLINK("https://vtmf.veevavault.com/ui/#doc_info/26689947/1/0", "VTMF-21383729")</f>
        <v>VTMF-21383729</v>
      </c>
      <c r="H181" s="3" t="inlineStr">
        <is>
          <t/>
        </is>
      </c>
      <c r="I181" s="3" t="inlineStr">
        <is>
          <t>Anthony Suarez (veeva.com)</t>
        </is>
      </c>
      <c r="J181" s="3" t="inlineStr">
        <is>
          <t>Jitka Kone</t>
        </is>
      </c>
      <c r="K181" s="4" t="n">
        <v>45484.56151620371</v>
      </c>
      <c r="L181" s="5" t="n">
        <v>45484.0</v>
      </c>
      <c r="M181" s="3" t="inlineStr">
        <is>
          <t>Approved</t>
        </is>
      </c>
      <c r="N181" s="3" t="inlineStr">
        <is>
          <t>Available for Distribution, CLIX Filing, Site Close</t>
        </is>
      </c>
      <c r="O181" s="3" t="inlineStr">
        <is>
          <t>Czech Republic</t>
        </is>
      </c>
      <c r="P181" s="3" t="inlineStr">
        <is>
          <t>Z92-CZ10003</t>
        </is>
      </c>
      <c r="Q181" s="3" t="inlineStr">
        <is>
          <t>77242113UCO2001</t>
        </is>
      </c>
    </row>
    <row r="182">
      <c r="A182" s="2" t="str">
        <f>HYPERLINK("https://vtmf.veevavault.com/ui/#doc_info/26213121/1/0", "77242113UCO2001-CZE-Z92-CZ10003-Non-IP Shipment Documentation-26 Apr 2024 (v1.0)")</f>
        <v>77242113UCO2001-CZE-Z92-CZ10003-Non-IP Shipment Documentation-26 Apr 2024 (v1.0)</v>
      </c>
      <c r="B182" s="3" t="inlineStr">
        <is>
          <t>Jitka Kone</t>
        </is>
      </c>
      <c r="C182" s="3" t="inlineStr">
        <is>
          <t>IP and Trial Supplies</t>
        </is>
      </c>
      <c r="D182" s="3" t="inlineStr">
        <is>
          <t>Non-IP Documentation</t>
        </is>
      </c>
      <c r="E182" s="3" t="inlineStr">
        <is>
          <t>Non-IP Shipment Documentation</t>
        </is>
      </c>
      <c r="F182" s="3" t="inlineStr">
        <is>
          <t>NIPSF_Meal vouchers 150 pcs
24-APR-2024</t>
        </is>
      </c>
      <c r="G182" s="2" t="str">
        <f>HYPERLINK("https://vtmf.veevavault.com/ui/#doc_info/26213121/1/0", "VTMF-20966291")</f>
        <v>VTMF-20966291</v>
      </c>
      <c r="H182" s="3" t="inlineStr">
        <is>
          <t/>
        </is>
      </c>
      <c r="I182" s="3" t="inlineStr">
        <is>
          <t>Anthony Suarez (veeva.com)</t>
        </is>
      </c>
      <c r="J182" s="3" t="inlineStr">
        <is>
          <t>Jitka Kone</t>
        </is>
      </c>
      <c r="K182" s="4" t="n">
        <v>45408.44719907407</v>
      </c>
      <c r="L182" s="5" t="n">
        <v>45408.0</v>
      </c>
      <c r="M182" s="3" t="inlineStr">
        <is>
          <t>Approved</t>
        </is>
      </c>
      <c r="N182" s="3" t="inlineStr">
        <is>
          <t>Available for Distribution, CLIX Filing, Site Close</t>
        </is>
      </c>
      <c r="O182" s="3" t="inlineStr">
        <is>
          <t>Czech Republic</t>
        </is>
      </c>
      <c r="P182" s="3" t="inlineStr">
        <is>
          <t>Z92-CZ10003</t>
        </is>
      </c>
      <c r="Q182" s="3" t="inlineStr">
        <is>
          <t>77242113UCO2001</t>
        </is>
      </c>
    </row>
    <row r="183">
      <c r="A183" s="2" t="str">
        <f>HYPERLINK("https://vtmf.veevavault.com/ui/#doc_info/26689724/1/0", "77242113UCO2001-CZE-Z92-CZ10003-Non-IP Shipment Documentation-26 Jun 2024 (v1.0)")</f>
        <v>77242113UCO2001-CZE-Z92-CZ10003-Non-IP Shipment Documentation-26 Jun 2024 (v1.0)</v>
      </c>
      <c r="B183" s="3" t="inlineStr">
        <is>
          <t>Jitka Kone</t>
        </is>
      </c>
      <c r="C183" s="3" t="inlineStr">
        <is>
          <t>IP and Trial Supplies</t>
        </is>
      </c>
      <c r="D183" s="3" t="inlineStr">
        <is>
          <t>Non-IP Documentation</t>
        </is>
      </c>
      <c r="E183" s="3" t="inlineStr">
        <is>
          <t>Non-IP Shipment Documentation</t>
        </is>
      </c>
      <c r="F183" s="3" t="inlineStr">
        <is>
          <t>NIPSF_Site Oper. Guide + PCI 3.1,4.1,5.1_26-JUN-2024</t>
        </is>
      </c>
      <c r="G183" s="2" t="str">
        <f>HYPERLINK("https://vtmf.veevavault.com/ui/#doc_info/26689724/1/0", "VTMF-21383511")</f>
        <v>VTMF-21383511</v>
      </c>
      <c r="H183" s="3" t="inlineStr">
        <is>
          <t/>
        </is>
      </c>
      <c r="I183" s="3" t="inlineStr">
        <is>
          <t>Anthony Suarez (veeva.com)</t>
        </is>
      </c>
      <c r="J183" s="3" t="inlineStr">
        <is>
          <t>Jitka Kone</t>
        </is>
      </c>
      <c r="K183" s="4" t="n">
        <v>45484.525243055556</v>
      </c>
      <c r="L183" s="5" t="n">
        <v>45484.0</v>
      </c>
      <c r="M183" s="3" t="inlineStr">
        <is>
          <t>Approved</t>
        </is>
      </c>
      <c r="N183" s="3" t="inlineStr">
        <is>
          <t>Available for Distribution, CLIX Filing, Site Close</t>
        </is>
      </c>
      <c r="O183" s="3" t="inlineStr">
        <is>
          <t>Czech Republic</t>
        </is>
      </c>
      <c r="P183" s="3" t="inlineStr">
        <is>
          <t>Z92-CZ10003</t>
        </is>
      </c>
      <c r="Q183" s="3" t="inlineStr">
        <is>
          <t>77242113UCO2001</t>
        </is>
      </c>
    </row>
    <row r="184">
      <c r="A184" s="2" t="str">
        <f>HYPERLINK("https://vtmf.veevavault.com/ui/#doc_info/26690360/1/0", "77242113UCO2001-CZE-Z92-CZ10003-Non-IP Shipment Documentation-26 Jun 2024 (v1.0)")</f>
        <v>77242113UCO2001-CZE-Z92-CZ10003-Non-IP Shipment Documentation-26 Jun 2024 (v1.0)</v>
      </c>
      <c r="B184" s="3" t="inlineStr">
        <is>
          <t>Jitka Kone</t>
        </is>
      </c>
      <c r="C184" s="3" t="inlineStr">
        <is>
          <t>IP and Trial Supplies</t>
        </is>
      </c>
      <c r="D184" s="3" t="inlineStr">
        <is>
          <t>Non-IP Documentation</t>
        </is>
      </c>
      <c r="E184" s="3" t="inlineStr">
        <is>
          <t>Non-IP Shipment Documentation</t>
        </is>
      </c>
      <c r="F184" s="3" t="inlineStr">
        <is>
          <t>Handover protocol_meal vouchers 50 pcs_26-JUN-2024</t>
        </is>
      </c>
      <c r="G184" s="2" t="str">
        <f>HYPERLINK("https://vtmf.veevavault.com/ui/#doc_info/26690360/1/0", "VTMF-21383957")</f>
        <v>VTMF-21383957</v>
      </c>
      <c r="H184" s="3" t="inlineStr">
        <is>
          <t/>
        </is>
      </c>
      <c r="I184" s="3" t="inlineStr">
        <is>
          <t>Anthony Suarez (veeva.com)</t>
        </is>
      </c>
      <c r="J184" s="3" t="inlineStr">
        <is>
          <t>Jitka Kone</t>
        </is>
      </c>
      <c r="K184" s="4" t="n">
        <v>45484.598703703705</v>
      </c>
      <c r="L184" s="5" t="n">
        <v>45484.0</v>
      </c>
      <c r="M184" s="3" t="inlineStr">
        <is>
          <t>Approved</t>
        </is>
      </c>
      <c r="N184" s="3" t="inlineStr">
        <is>
          <t>Available for Distribution, CLIX Filing, Site Close</t>
        </is>
      </c>
      <c r="O184" s="3" t="inlineStr">
        <is>
          <t>Czech Republic</t>
        </is>
      </c>
      <c r="P184" s="3" t="inlineStr">
        <is>
          <t>Z92-CZ10003</t>
        </is>
      </c>
      <c r="Q184" s="3" t="inlineStr">
        <is>
          <t>77242113UCO2001</t>
        </is>
      </c>
    </row>
    <row r="185">
      <c r="A185" s="2" t="str">
        <f>HYPERLINK("https://vtmf.veevavault.com/ui/#doc_info/26265313/1/0", "77242113UCO2001-CZE-Z92-CZ10003-Non-IP Shipment Documentation-30 Jan 2024 (v1.0)")</f>
        <v>77242113UCO2001-CZE-Z92-CZ10003-Non-IP Shipment Documentation-30 Jan 2024 (v1.0)</v>
      </c>
      <c r="B185" s="3" t="inlineStr">
        <is>
          <t>Jitka Kone</t>
        </is>
      </c>
      <c r="C185" s="3" t="inlineStr">
        <is>
          <t>IP and Trial Supplies</t>
        </is>
      </c>
      <c r="D185" s="3" t="inlineStr">
        <is>
          <t>Non-IP Documentation</t>
        </is>
      </c>
      <c r="E185" s="3" t="inlineStr">
        <is>
          <t>Non-IP Shipment Documentation</t>
        </is>
      </c>
      <c r="F185" s="3" t="inlineStr">
        <is>
          <t>NIPSF pharmacy_Site Investigational  Product Procedures Manual_24-JAN-2024</t>
        </is>
      </c>
      <c r="G185" s="2" t="str">
        <f>HYPERLINK("https://vtmf.veevavault.com/ui/#doc_info/26265313/1/0", "VTMF-21011183")</f>
        <v>VTMF-21011183</v>
      </c>
      <c r="H185" s="3" t="inlineStr">
        <is>
          <t/>
        </is>
      </c>
      <c r="I185" s="3" t="inlineStr">
        <is>
          <t>Anthony Suarez (veeva.com)</t>
        </is>
      </c>
      <c r="J185" s="3" t="inlineStr">
        <is>
          <t>Jitka Kone</t>
        </is>
      </c>
      <c r="K185" s="4" t="n">
        <v>45418.602743055555</v>
      </c>
      <c r="L185" s="5" t="n">
        <v>45418.0</v>
      </c>
      <c r="M185" s="3" t="inlineStr">
        <is>
          <t>Approved</t>
        </is>
      </c>
      <c r="N185" s="3" t="inlineStr">
        <is>
          <t>Available for Distribution, CLIX Filing, Site Close</t>
        </is>
      </c>
      <c r="O185" s="3" t="inlineStr">
        <is>
          <t>Czech Republic</t>
        </is>
      </c>
      <c r="P185" s="3" t="inlineStr">
        <is>
          <t>Z92-CZ10003</t>
        </is>
      </c>
      <c r="Q185" s="3" t="inlineStr">
        <is>
          <t>77242113UCO2001</t>
        </is>
      </c>
    </row>
    <row r="186">
      <c r="A186" s="2" t="str">
        <f>HYPERLINK("https://vtmf.veevavault.com/ui/#doc_info/26444792/1/0", "77242113UCO2001-CZE-Z92-CZ10003-Non-IP Shipment Documentation-30 May 2024 (v1.0)")</f>
        <v>77242113UCO2001-CZE-Z92-CZ10003-Non-IP Shipment Documentation-30 May 2024 (v1.0)</v>
      </c>
      <c r="B186" s="3" t="inlineStr">
        <is>
          <t>Jitka Kone</t>
        </is>
      </c>
      <c r="C186" s="3" t="inlineStr">
        <is>
          <t>IP and Trial Supplies</t>
        </is>
      </c>
      <c r="D186" s="3" t="inlineStr">
        <is>
          <t>Non-IP Documentation</t>
        </is>
      </c>
      <c r="E186" s="3" t="inlineStr">
        <is>
          <t>Non-IP Shipment Documentation</t>
        </is>
      </c>
      <c r="F186" s="3" t="inlineStr">
        <is>
          <t>NIPSF_Handheld_22-MAY-2024</t>
        </is>
      </c>
      <c r="G186" s="2" t="str">
        <f>HYPERLINK("https://vtmf.veevavault.com/ui/#doc_info/26444792/1/0", "VTMF-21168834")</f>
        <v>VTMF-21168834</v>
      </c>
      <c r="H186" s="3" t="inlineStr">
        <is>
          <t/>
        </is>
      </c>
      <c r="I186" s="3" t="inlineStr">
        <is>
          <t>Anthony Suarez (veeva.com)</t>
        </is>
      </c>
      <c r="J186" s="3" t="inlineStr">
        <is>
          <t>Jitka Kone</t>
        </is>
      </c>
      <c r="K186" s="4" t="n">
        <v>45446.5737037037</v>
      </c>
      <c r="L186" s="5" t="n">
        <v>45446.0</v>
      </c>
      <c r="M186" s="3" t="inlineStr">
        <is>
          <t>Approved</t>
        </is>
      </c>
      <c r="N186" s="3" t="inlineStr">
        <is>
          <t>Available for Distribution, CLIX Filing, Site Close</t>
        </is>
      </c>
      <c r="O186" s="3" t="inlineStr">
        <is>
          <t>Czech Republic</t>
        </is>
      </c>
      <c r="P186" s="3" t="inlineStr">
        <is>
          <t>Z92-CZ10003</t>
        </is>
      </c>
      <c r="Q186" s="3" t="inlineStr">
        <is>
          <t>77242113UCO2001</t>
        </is>
      </c>
    </row>
    <row r="187">
      <c r="A187" s="2" t="str">
        <f>HYPERLINK("https://vtmf.veevavault.com/ui/#doc_info/26445085/1/0", "77242113UCO2001-CZE-Z92-CZ10003-Non-IP Shipment Documentation-30 May 2024 (v1.0)")</f>
        <v>77242113UCO2001-CZE-Z92-CZ10003-Non-IP Shipment Documentation-30 May 2024 (v1.0)</v>
      </c>
      <c r="B187" s="3" t="inlineStr">
        <is>
          <t>Jitka Kone</t>
        </is>
      </c>
      <c r="C187" s="3" t="inlineStr">
        <is>
          <t>IP and Trial Supplies</t>
        </is>
      </c>
      <c r="D187" s="3" t="inlineStr">
        <is>
          <t>Non-IP Documentation</t>
        </is>
      </c>
      <c r="E187" s="3" t="inlineStr">
        <is>
          <t>Non-IP Shipment Documentation</t>
        </is>
      </c>
      <c r="F187" s="3" t="inlineStr">
        <is>
          <t>NIPSF_ICF + App. cards + Insurance + synopsis 27-MAY-2024</t>
        </is>
      </c>
      <c r="G187" s="2" t="str">
        <f>HYPERLINK("https://vtmf.veevavault.com/ui/#doc_info/26445085/1/0", "VTMF-21169040")</f>
        <v>VTMF-21169040</v>
      </c>
      <c r="H187" s="3" t="inlineStr">
        <is>
          <t/>
        </is>
      </c>
      <c r="I187" s="3" t="inlineStr">
        <is>
          <t>Anthony Suarez (veeva.com)</t>
        </is>
      </c>
      <c r="J187" s="3" t="inlineStr">
        <is>
          <t>Jitka Kone</t>
        </is>
      </c>
      <c r="K187" s="4" t="n">
        <v>45446.59957175926</v>
      </c>
      <c r="L187" s="5" t="n">
        <v>45446.0</v>
      </c>
      <c r="M187" s="3" t="inlineStr">
        <is>
          <t>Approved</t>
        </is>
      </c>
      <c r="N187" s="3" t="inlineStr">
        <is>
          <t>Available for Distribution, CLIX Filing, Site Close</t>
        </is>
      </c>
      <c r="O187" s="3" t="inlineStr">
        <is>
          <t>Czech Republic</t>
        </is>
      </c>
      <c r="P187" s="3" t="inlineStr">
        <is>
          <t>Z92-CZ10003</t>
        </is>
      </c>
      <c r="Q187" s="3" t="inlineStr">
        <is>
          <t>77242113UCO2001</t>
        </is>
      </c>
    </row>
    <row r="188">
      <c r="A188" s="2" t="str">
        <f>HYPERLINK("https://vtmf.veevavault.com/ui/#doc_info/25939425/2/0", "77242113UCO2001-CZE-Z92-CZ10003-Other Curriculum Vitae-03 Oct 2025 (v2.0)")</f>
        <v>77242113UCO2001-CZE-Z92-CZ10003-Other Curriculum Vitae-03 Oct 2025 (v2.0)</v>
      </c>
      <c r="B188" s="3" t="inlineStr">
        <is>
          <t>Lenka Placha</t>
        </is>
      </c>
      <c r="C188" s="3" t="inlineStr">
        <is>
          <t>Site Management</t>
        </is>
      </c>
      <c r="D188" s="3" t="inlineStr">
        <is>
          <t>Site Set-up Documentation</t>
        </is>
      </c>
      <c r="E188" s="3" t="inlineStr">
        <is>
          <t>Other Curriculum Vitae</t>
        </is>
      </c>
      <c r="F188" s="3" t="inlineStr">
        <is>
          <t>CV_pharmacist_EN_Kucerova Monika_revised_03OCT2025</t>
        </is>
      </c>
      <c r="G188" s="2" t="str">
        <f>HYPERLINK("https://vtmf.veevavault.com/ui/#doc_info/25939425/2/0", "VTMF-20726457")</f>
        <v>VTMF-20726457</v>
      </c>
      <c r="H188" s="3" t="inlineStr">
        <is>
          <t/>
        </is>
      </c>
      <c r="I188" s="3" t="inlineStr">
        <is>
          <t>System</t>
        </is>
      </c>
      <c r="J188" s="3" t="inlineStr">
        <is>
          <t>Agnesa Ruiz Kajtarova</t>
        </is>
      </c>
      <c r="K188" s="4" t="n">
        <v>45943.63594907407</v>
      </c>
      <c r="L188" s="5" t="n">
        <v>45943.0</v>
      </c>
      <c r="M188" s="3" t="inlineStr">
        <is>
          <t>Approved</t>
        </is>
      </c>
      <c r="N188" s="3" t="inlineStr">
        <is>
          <t>Available for Distribution, CLIX Filing, Site Close</t>
        </is>
      </c>
      <c r="O188" s="3" t="inlineStr">
        <is>
          <t>Czech Republic</t>
        </is>
      </c>
      <c r="P188" s="3" t="inlineStr">
        <is>
          <t>Z92-CZ10003</t>
        </is>
      </c>
      <c r="Q188" s="3" t="inlineStr">
        <is>
          <t>77242113UCO2001</t>
        </is>
      </c>
    </row>
    <row r="189">
      <c r="A189" s="2" t="str">
        <f>HYPERLINK("https://vtmf.veevavault.com/ui/#doc_info/25939421/1/0", "77242113UCO2001-CZE-Z92-CZ10003-Other Curriculum Vitae-06 Dec 2023 (v1.0)")</f>
        <v>77242113UCO2001-CZE-Z92-CZ10003-Other Curriculum Vitae-06 Dec 2023 (v1.0)</v>
      </c>
      <c r="B189" s="3" t="inlineStr">
        <is>
          <t>Lenka Placha</t>
        </is>
      </c>
      <c r="C189" s="3" t="inlineStr">
        <is>
          <t>Site Management</t>
        </is>
      </c>
      <c r="D189" s="3" t="inlineStr">
        <is>
          <t>Site Set-up Documentation</t>
        </is>
      </c>
      <c r="E189" s="3" t="inlineStr">
        <is>
          <t>Other Curriculum Vitae</t>
        </is>
      </c>
      <c r="F189" s="3" t="inlineStr">
        <is>
          <t>CV_SN_EN_ Siroka Dana_initial_06Dec23</t>
        </is>
      </c>
      <c r="G189" s="2" t="str">
        <f>HYPERLINK("https://vtmf.veevavault.com/ui/#doc_info/25939421/1/0", "VTMF-20726453")</f>
        <v>VTMF-20726453</v>
      </c>
      <c r="H189" s="3" t="inlineStr">
        <is>
          <t/>
        </is>
      </c>
      <c r="I189" s="3" t="inlineStr">
        <is>
          <t>Anthony Suarez (veeva.com)</t>
        </is>
      </c>
      <c r="J189" s="3" t="inlineStr">
        <is>
          <t>Lenka Placha</t>
        </is>
      </c>
      <c r="K189" s="4" t="n">
        <v>45368.034479166665</v>
      </c>
      <c r="L189" s="5" t="n">
        <v>45367.0</v>
      </c>
      <c r="M189" s="3" t="inlineStr">
        <is>
          <t>Approved</t>
        </is>
      </c>
      <c r="N189" s="3" t="inlineStr">
        <is>
          <t>Available for Distribution, CLIX Filing, Site Close</t>
        </is>
      </c>
      <c r="O189" s="3" t="inlineStr">
        <is>
          <t>Czech Republic</t>
        </is>
      </c>
      <c r="P189" s="3" t="inlineStr">
        <is>
          <t>Z92-CZ10003</t>
        </is>
      </c>
      <c r="Q189" s="3" t="inlineStr">
        <is>
          <t>77242113UCO2001</t>
        </is>
      </c>
    </row>
    <row r="190">
      <c r="A190" s="2" t="str">
        <f>HYPERLINK("https://vtmf.veevavault.com/ui/#doc_info/25939422/1/0", "77242113UCO2001-CZE-Z92-CZ10003-Other Curriculum Vitae-06 Dec 2023 (v1.0)")</f>
        <v>77242113UCO2001-CZE-Z92-CZ10003-Other Curriculum Vitae-06 Dec 2023 (v1.0)</v>
      </c>
      <c r="B190" s="3" t="inlineStr">
        <is>
          <t>Lenka Placha</t>
        </is>
      </c>
      <c r="C190" s="3" t="inlineStr">
        <is>
          <t>Site Management</t>
        </is>
      </c>
      <c r="D190" s="3" t="inlineStr">
        <is>
          <t>Site Set-up Documentation</t>
        </is>
      </c>
      <c r="E190" s="3" t="inlineStr">
        <is>
          <t>Other Curriculum Vitae</t>
        </is>
      </c>
      <c r="F190" s="3" t="inlineStr">
        <is>
          <t>CV_SN_EN_Skodova Gabriela_initial_06Dec23</t>
        </is>
      </c>
      <c r="G190" s="2" t="str">
        <f>HYPERLINK("https://vtmf.veevavault.com/ui/#doc_info/25939422/1/0", "VTMF-20726454")</f>
        <v>VTMF-20726454</v>
      </c>
      <c r="H190" s="3" t="inlineStr">
        <is>
          <t/>
        </is>
      </c>
      <c r="I190" s="3" t="inlineStr">
        <is>
          <t>Anthony Suarez (veeva.com)</t>
        </is>
      </c>
      <c r="J190" s="3" t="inlineStr">
        <is>
          <t>Lenka Placha</t>
        </is>
      </c>
      <c r="K190" s="4" t="n">
        <v>45368.034479166665</v>
      </c>
      <c r="L190" s="5" t="n">
        <v>45367.0</v>
      </c>
      <c r="M190" s="3" t="inlineStr">
        <is>
          <t>Approved</t>
        </is>
      </c>
      <c r="N190" s="3" t="inlineStr">
        <is>
          <t>Available for Distribution, CLIX Filing, Site Close</t>
        </is>
      </c>
      <c r="O190" s="3" t="inlineStr">
        <is>
          <t>Czech Republic</t>
        </is>
      </c>
      <c r="P190" s="3" t="inlineStr">
        <is>
          <t>Z92-CZ10003</t>
        </is>
      </c>
      <c r="Q190" s="3" t="inlineStr">
        <is>
          <t>77242113UCO2001</t>
        </is>
      </c>
    </row>
    <row r="191">
      <c r="A191" s="2" t="str">
        <f>HYPERLINK("https://vtmf.veevavault.com/ui/#doc_info/25939423/1/0", "77242113UCO2001-CZE-Z92-CZ10003-Other Curriculum Vitae-06 Dec 2023 (v1.0)")</f>
        <v>77242113UCO2001-CZE-Z92-CZ10003-Other Curriculum Vitae-06 Dec 2023 (v1.0)</v>
      </c>
      <c r="B191" s="3" t="inlineStr">
        <is>
          <t>Lenka Placha</t>
        </is>
      </c>
      <c r="C191" s="3" t="inlineStr">
        <is>
          <t>Site Management</t>
        </is>
      </c>
      <c r="D191" s="3" t="inlineStr">
        <is>
          <t>Site Set-up Documentation</t>
        </is>
      </c>
      <c r="E191" s="3" t="inlineStr">
        <is>
          <t>Other Curriculum Vitae</t>
        </is>
      </c>
      <c r="F191" s="3" t="inlineStr">
        <is>
          <t>CV_SN_EN_Vosoustova Petra_initial_06Dec23</t>
        </is>
      </c>
      <c r="G191" s="2" t="str">
        <f>HYPERLINK("https://vtmf.veevavault.com/ui/#doc_info/25939423/1/0", "VTMF-20726455")</f>
        <v>VTMF-20726455</v>
      </c>
      <c r="H191" s="3" t="inlineStr">
        <is>
          <t/>
        </is>
      </c>
      <c r="I191" s="3" t="inlineStr">
        <is>
          <t>Anthony Suarez (veeva.com)</t>
        </is>
      </c>
      <c r="J191" s="3" t="inlineStr">
        <is>
          <t>Lenka Placha</t>
        </is>
      </c>
      <c r="K191" s="4" t="n">
        <v>45368.034479166665</v>
      </c>
      <c r="L191" s="5" t="n">
        <v>45367.0</v>
      </c>
      <c r="M191" s="3" t="inlineStr">
        <is>
          <t>Approved</t>
        </is>
      </c>
      <c r="N191" s="3" t="inlineStr">
        <is>
          <t>Available for Distribution, CLIX Filing, Site Close</t>
        </is>
      </c>
      <c r="O191" s="3" t="inlineStr">
        <is>
          <t>Czech Republic</t>
        </is>
      </c>
      <c r="P191" s="3" t="inlineStr">
        <is>
          <t>Z92-CZ10003</t>
        </is>
      </c>
      <c r="Q191" s="3" t="inlineStr">
        <is>
          <t>77242113UCO2001</t>
        </is>
      </c>
    </row>
    <row r="192">
      <c r="A192" s="2" t="str">
        <f>HYPERLINK("https://vtmf.veevavault.com/ui/#doc_info/25939424/1/0", "77242113UCO2001-CZE-Z92-CZ10003-Other Curriculum Vitae-06 Dec 2023 (v1.0)")</f>
        <v>77242113UCO2001-CZE-Z92-CZ10003-Other Curriculum Vitae-06 Dec 2023 (v1.0)</v>
      </c>
      <c r="B192" s="3" t="inlineStr">
        <is>
          <t>Lenka Placha</t>
        </is>
      </c>
      <c r="C192" s="3" t="inlineStr">
        <is>
          <t>Site Management</t>
        </is>
      </c>
      <c r="D192" s="3" t="inlineStr">
        <is>
          <t>Site Set-up Documentation</t>
        </is>
      </c>
      <c r="E192" s="3" t="inlineStr">
        <is>
          <t>Other Curriculum Vitae</t>
        </is>
      </c>
      <c r="F192" s="3" t="inlineStr">
        <is>
          <t>CV_pharmacist_EN_ Kostriba Jan_initial_06Dec23</t>
        </is>
      </c>
      <c r="G192" s="2" t="str">
        <f>HYPERLINK("https://vtmf.veevavault.com/ui/#doc_info/25939424/1/0", "VTMF-20726456")</f>
        <v>VTMF-20726456</v>
      </c>
      <c r="H192" s="3" t="inlineStr">
        <is>
          <t/>
        </is>
      </c>
      <c r="I192" s="3" t="inlineStr">
        <is>
          <t>Anthony Suarez (veeva.com)</t>
        </is>
      </c>
      <c r="J192" s="3" t="inlineStr">
        <is>
          <t>Lenka Placha</t>
        </is>
      </c>
      <c r="K192" s="4" t="n">
        <v>45368.034479166665</v>
      </c>
      <c r="L192" s="5" t="n">
        <v>45367.0</v>
      </c>
      <c r="M192" s="3" t="inlineStr">
        <is>
          <t>Approved</t>
        </is>
      </c>
      <c r="N192" s="3" t="inlineStr">
        <is>
          <t>Available for Distribution, CLIX Filing, Site Close</t>
        </is>
      </c>
      <c r="O192" s="3" t="inlineStr">
        <is>
          <t>Czech Republic</t>
        </is>
      </c>
      <c r="P192" s="3" t="inlineStr">
        <is>
          <t>Z92-CZ10003</t>
        </is>
      </c>
      <c r="Q192" s="3" t="inlineStr">
        <is>
          <t>77242113UCO2001</t>
        </is>
      </c>
    </row>
    <row r="193">
      <c r="A193" s="2" t="str">
        <f>HYPERLINK("https://vtmf.veevavault.com/ui/#doc_info/26726865/1/0", "77242113UCO2001-CZE-Z92-CZ10003-Other Curriculum Vitae-17 Jul 2024 (v1.0)")</f>
        <v>77242113UCO2001-CZE-Z92-CZ10003-Other Curriculum Vitae-17 Jul 2024 (v1.0)</v>
      </c>
      <c r="B193" s="3" t="inlineStr">
        <is>
          <t>Lenka Placha</t>
        </is>
      </c>
      <c r="C193" s="3" t="inlineStr">
        <is>
          <t>Site Management</t>
        </is>
      </c>
      <c r="D193" s="3" t="inlineStr">
        <is>
          <t>Site Set-up Documentation</t>
        </is>
      </c>
      <c r="E193" s="3" t="inlineStr">
        <is>
          <t>Other Curriculum Vitae</t>
        </is>
      </c>
      <c r="F193" s="3" t="inlineStr">
        <is>
          <t>cv_pharmacist_EN_ Volfova Iva_initial_17Jul24</t>
        </is>
      </c>
      <c r="G193" s="2" t="str">
        <f>HYPERLINK("https://vtmf.veevavault.com/ui/#doc_info/26726865/1/0", "VTMF-21415978")</f>
        <v>VTMF-21415978</v>
      </c>
      <c r="H193" s="3" t="inlineStr">
        <is>
          <t/>
        </is>
      </c>
      <c r="I193" s="3" t="inlineStr">
        <is>
          <t>Anthony Suarez (veeva.com)</t>
        </is>
      </c>
      <c r="J193" s="3" t="inlineStr">
        <is>
          <t>Lenka Placha</t>
        </is>
      </c>
      <c r="K193" s="4" t="n">
        <v>45490.94644675926</v>
      </c>
      <c r="L193" s="5" t="n">
        <v>45490.0</v>
      </c>
      <c r="M193" s="3" t="inlineStr">
        <is>
          <t>Approved</t>
        </is>
      </c>
      <c r="N193" s="3" t="inlineStr">
        <is>
          <t>Available for Distribution, CLIX Filing, Site Close</t>
        </is>
      </c>
      <c r="O193" s="3" t="inlineStr">
        <is>
          <t>Czech Republic</t>
        </is>
      </c>
      <c r="P193" s="3" t="inlineStr">
        <is>
          <t>Z92-CZ10003</t>
        </is>
      </c>
      <c r="Q193" s="3" t="inlineStr">
        <is>
          <t>77242113UCO2001</t>
        </is>
      </c>
    </row>
    <row r="194">
      <c r="A194" s="2" t="str">
        <f>HYPERLINK("https://vtmf.veevavault.com/ui/#doc_info/29856045/1/0", "77242113UCO2001-CZE-Z92-CZ10003-Other Curriculum Vitae-27 Aug 2025 (v1.0)")</f>
        <v>77242113UCO2001-CZE-Z92-CZ10003-Other Curriculum Vitae-27 Aug 2025 (v1.0)</v>
      </c>
      <c r="B194" s="3" t="inlineStr">
        <is>
          <t>Agnesa Ruiz Kajtarova</t>
        </is>
      </c>
      <c r="C194" s="3" t="inlineStr">
        <is>
          <t>Site Management</t>
        </is>
      </c>
      <c r="D194" s="3" t="inlineStr">
        <is>
          <t>Site Set-up Documentation</t>
        </is>
      </c>
      <c r="E194" s="3" t="inlineStr">
        <is>
          <t>Other Curriculum Vitae</t>
        </is>
      </c>
      <c r="F194" s="3" t="inlineStr">
        <is>
          <t>CV_EN_Vosoustova Petra_Revised_27-Aug-2025</t>
        </is>
      </c>
      <c r="G194" s="2" t="str">
        <f>HYPERLINK("https://vtmf.veevavault.com/ui/#doc_info/29856045/1/0", "VTMF-24029666")</f>
        <v>VTMF-24029666</v>
      </c>
      <c r="H194" s="3" t="inlineStr">
        <is>
          <t/>
        </is>
      </c>
      <c r="I194" s="3" t="inlineStr">
        <is>
          <t>System</t>
        </is>
      </c>
      <c r="J194" s="3" t="inlineStr">
        <is>
          <t>Agnesa Ruiz Kajtarova</t>
        </is>
      </c>
      <c r="K194" s="4" t="n">
        <v>45898.484143518515</v>
      </c>
      <c r="L194" s="5" t="n">
        <v>45898.0</v>
      </c>
      <c r="M194" s="3" t="inlineStr">
        <is>
          <t>Approved</t>
        </is>
      </c>
      <c r="N194" s="3" t="inlineStr">
        <is>
          <t>Available for Distribution, CLIX Filing, Site Start</t>
        </is>
      </c>
      <c r="O194" s="3" t="inlineStr">
        <is>
          <t>Czech Republic</t>
        </is>
      </c>
      <c r="P194" s="3" t="inlineStr">
        <is>
          <t>Z92-CZ10003</t>
        </is>
      </c>
      <c r="Q194" s="3" t="inlineStr">
        <is>
          <t>77242113UCO2001</t>
        </is>
      </c>
    </row>
    <row r="195">
      <c r="A195" s="2" t="str">
        <f>HYPERLINK("https://vtmf.veevavault.com/ui/#doc_info/29856030/1/0", "77242113UCO2001-CZE-Z92-CZ10003-Other Curriculum Vitae-29 Aug 2025 (v1.0)")</f>
        <v>77242113UCO2001-CZE-Z92-CZ10003-Other Curriculum Vitae-29 Aug 2025 (v1.0)</v>
      </c>
      <c r="B195" s="3" t="inlineStr">
        <is>
          <t>Agnesa Ruiz Kajtarova</t>
        </is>
      </c>
      <c r="C195" s="3" t="inlineStr">
        <is>
          <t>Site Management</t>
        </is>
      </c>
      <c r="D195" s="3" t="inlineStr">
        <is>
          <t>Site Set-up Documentation</t>
        </is>
      </c>
      <c r="E195" s="3" t="inlineStr">
        <is>
          <t>Other Curriculum Vitae</t>
        </is>
      </c>
      <c r="F195" s="3" t="inlineStr">
        <is>
          <t>CV_EN_Skodova Gabriela_Revised_29Aug2025</t>
        </is>
      </c>
      <c r="G195" s="2" t="str">
        <f>HYPERLINK("https://vtmf.veevavault.com/ui/#doc_info/29856030/1/0", "VTMF-24029645")</f>
        <v>VTMF-24029645</v>
      </c>
      <c r="H195" s="3" t="inlineStr">
        <is>
          <t/>
        </is>
      </c>
      <c r="I195" s="3" t="inlineStr">
        <is>
          <t>System</t>
        </is>
      </c>
      <c r="J195" s="3" t="inlineStr">
        <is>
          <t>Agnesa Ruiz Kajtarova</t>
        </is>
      </c>
      <c r="K195" s="4" t="n">
        <v>45898.48137731481</v>
      </c>
      <c r="L195" s="5" t="n">
        <v>45898.0</v>
      </c>
      <c r="M195" s="3" t="inlineStr">
        <is>
          <t>Approved</t>
        </is>
      </c>
      <c r="N195" s="3" t="inlineStr">
        <is>
          <t>Available for Distribution, CLIX Filing, Site Start</t>
        </is>
      </c>
      <c r="O195" s="3" t="inlineStr">
        <is>
          <t>Czech Republic</t>
        </is>
      </c>
      <c r="P195" s="3" t="inlineStr">
        <is>
          <t>Z92-CZ10003</t>
        </is>
      </c>
      <c r="Q195" s="3" t="inlineStr">
        <is>
          <t>77242113UCO2001</t>
        </is>
      </c>
    </row>
    <row r="196">
      <c r="A196" s="2" t="str">
        <f>HYPERLINK("https://vtmf.veevavault.com/ui/#doc_info/24086560/1/0", "77242113UCO2001-CZE-Z92-CZ10003-Pre Trial Monitoring Report-10 May 2023 (v1.0)")</f>
        <v>77242113UCO2001-CZE-Z92-CZ10003-Pre Trial Monitoring Report-10 May 2023 (v1.0)</v>
      </c>
      <c r="B196" s="3" t="inlineStr">
        <is>
          <t>Admin User Medidata</t>
        </is>
      </c>
      <c r="C196" s="3" t="inlineStr">
        <is>
          <t>Site Management</t>
        </is>
      </c>
      <c r="D196" s="3" t="inlineStr">
        <is>
          <t>Site Selection</t>
        </is>
      </c>
      <c r="E196" s="3" t="inlineStr">
        <is>
          <t>Pre Trial Monitoring Report</t>
        </is>
      </c>
      <c r="F196" s="3" t="inlineStr">
        <is>
          <t/>
        </is>
      </c>
      <c r="G196" s="2" t="str">
        <f>HYPERLINK("https://vtmf.veevavault.com/ui/#doc_info/24086560/1/0", "VTMF-19102547")</f>
        <v>VTMF-19102547</v>
      </c>
      <c r="H196" s="3" t="inlineStr">
        <is>
          <t/>
        </is>
      </c>
      <c r="I196" s="3" t="inlineStr">
        <is>
          <t>System</t>
        </is>
      </c>
      <c r="J196" s="3" t="inlineStr">
        <is>
          <t>Admin User Medidata</t>
        </is>
      </c>
      <c r="K196" s="4" t="n">
        <v>45068.352372685185</v>
      </c>
      <c r="L196" s="5" t="n">
        <v>45068.0</v>
      </c>
      <c r="M196" s="3" t="inlineStr">
        <is>
          <t>Approved</t>
        </is>
      </c>
      <c r="N196" s="3" t="inlineStr">
        <is>
          <t>Available for Distribution, Site Start</t>
        </is>
      </c>
      <c r="O196" s="3" t="inlineStr">
        <is>
          <t>Czech Republic</t>
        </is>
      </c>
      <c r="P196" s="3" t="inlineStr">
        <is>
          <t>Z92-CZ10003</t>
        </is>
      </c>
      <c r="Q196" s="3" t="inlineStr">
        <is>
          <t>77242113UCO2001</t>
        </is>
      </c>
    </row>
    <row r="197">
      <c r="A197" s="2" t="str">
        <f>HYPERLINK("https://vtmf.veevavault.com/ui/#doc_info/24404935/1/0", "77242113UCO2001-CZE-Z92-CZ10003-Principal Investigator Curriculum Vitae-04 Jul 2023 (v1.0)")</f>
        <v>77242113UCO2001-CZE-Z92-CZ10003-Principal Investigator Curriculum Vitae-04 Jul 2023 (v1.0)</v>
      </c>
      <c r="B197" s="3" t="inlineStr">
        <is>
          <t>Marketa Zachova</t>
        </is>
      </c>
      <c r="C197" s="3" t="inlineStr">
        <is>
          <t>Site Management</t>
        </is>
      </c>
      <c r="D197" s="3" t="inlineStr">
        <is>
          <t>Site Set-up Documentation</t>
        </is>
      </c>
      <c r="E197" s="3" t="inlineStr">
        <is>
          <t>Principal Investigator Curriculum Vitae</t>
        </is>
      </c>
      <c r="F197" s="3" t="inlineStr">
        <is>
          <t>M1_CV Siroky M_Gastroenterologie_CZ_CZE_77242113UCO2001_04Jul2023</t>
        </is>
      </c>
      <c r="G197" s="2" t="str">
        <f>HYPERLINK("https://vtmf.veevavault.com/ui/#doc_info/24404935/1/0", "VTMF-19382847")</f>
        <v>VTMF-19382847</v>
      </c>
      <c r="H197" s="3" t="inlineStr">
        <is>
          <t/>
        </is>
      </c>
      <c r="I197" s="3" t="inlineStr">
        <is>
          <t>Anthony Suarez (veeva.com)</t>
        </is>
      </c>
      <c r="J197" s="3" t="inlineStr">
        <is>
          <t>Marketa Zachova</t>
        </is>
      </c>
      <c r="K197" s="4" t="n">
        <v>45114.41809027778</v>
      </c>
      <c r="L197" s="5" t="n">
        <v>45114.0</v>
      </c>
      <c r="M197" s="3" t="inlineStr">
        <is>
          <t>Approved</t>
        </is>
      </c>
      <c r="N197" s="3" t="inlineStr">
        <is>
          <t>Available for Distribution, CLIX Filing, Site Close</t>
        </is>
      </c>
      <c r="O197" s="3" t="inlineStr">
        <is>
          <t>Czech Republic</t>
        </is>
      </c>
      <c r="P197" s="3" t="inlineStr">
        <is>
          <t>Z92-CZ10003</t>
        </is>
      </c>
      <c r="Q197" s="3" t="inlineStr">
        <is>
          <t>77242113UCO2001</t>
        </is>
      </c>
    </row>
    <row r="198">
      <c r="A198" s="2" t="str">
        <f>HYPERLINK("https://vtmf.veevavault.com/ui/#doc_info/24408153/1/0", "77242113UCO2001-CZE-Z92-CZ10003-Principal Investigator Curriculum Vitae-04 Jul 2023 (v1.0)")</f>
        <v>77242113UCO2001-CZE-Z92-CZ10003-Principal Investigator Curriculum Vitae-04 Jul 2023 (v1.0)</v>
      </c>
      <c r="B198" s="3" t="inlineStr">
        <is>
          <t>Marketa Zachova</t>
        </is>
      </c>
      <c r="C198" s="3" t="inlineStr">
        <is>
          <t>Site Management</t>
        </is>
      </c>
      <c r="D198" s="3" t="inlineStr">
        <is>
          <t>Site Set-up Documentation</t>
        </is>
      </c>
      <c r="E198" s="3" t="inlineStr">
        <is>
          <t>Principal Investigator Curriculum Vitae</t>
        </is>
      </c>
      <c r="F198" s="3" t="inlineStr">
        <is>
          <t>REDACTED_M1_CV Siroky M_Gastroenterologie_CZ_CZE_77242113UCO2001_04Jul2023</t>
        </is>
      </c>
      <c r="G198" s="2" t="str">
        <f>HYPERLINK("https://vtmf.veevavault.com/ui/#doc_info/24408153/1/0", "VTMF-19385603")</f>
        <v>VTMF-19385603</v>
      </c>
      <c r="H198" s="3" t="inlineStr">
        <is>
          <t/>
        </is>
      </c>
      <c r="I198" s="3" t="inlineStr">
        <is>
          <t>Anthony Suarez (veeva.com)</t>
        </is>
      </c>
      <c r="J198" s="3" t="inlineStr">
        <is>
          <t>Marketa Zachova</t>
        </is>
      </c>
      <c r="K198" s="4" t="n">
        <v>45114.70777777778</v>
      </c>
      <c r="L198" s="5" t="n">
        <v>45114.0</v>
      </c>
      <c r="M198" s="3" t="inlineStr">
        <is>
          <t>Approved</t>
        </is>
      </c>
      <c r="N198" s="3" t="inlineStr">
        <is>
          <t>Available for Distribution, CLIX Filing, Site Close</t>
        </is>
      </c>
      <c r="O198" s="3" t="inlineStr">
        <is>
          <t>Czech Republic</t>
        </is>
      </c>
      <c r="P198" s="3" t="inlineStr">
        <is>
          <t>Z92-CZ10003</t>
        </is>
      </c>
      <c r="Q198" s="3" t="inlineStr">
        <is>
          <t>77242113UCO2001</t>
        </is>
      </c>
    </row>
    <row r="199">
      <c r="A199" s="2" t="str">
        <f>HYPERLINK("https://vtmf.veevavault.com/ui/#doc_info/25362940/2/0", "77242113UCO2001-CZE-Z92-CZ10003-Principal Investigator Curriculum Vitae-27 Aug 2025 (v2.0)")</f>
        <v>77242113UCO2001-CZE-Z92-CZ10003-Principal Investigator Curriculum Vitae-27 Aug 2025 (v2.0)</v>
      </c>
      <c r="B199" s="3" t="inlineStr">
        <is>
          <t>Lenka Placha</t>
        </is>
      </c>
      <c r="C199" s="3" t="inlineStr">
        <is>
          <t>Site Management</t>
        </is>
      </c>
      <c r="D199" s="3" t="inlineStr">
        <is>
          <t>Site Set-up Documentation</t>
        </is>
      </c>
      <c r="E199" s="3" t="inlineStr">
        <is>
          <t>Principal Investigator Curriculum Vitae</t>
        </is>
      </c>
      <c r="F199" s="3" t="inlineStr">
        <is>
          <t>cv_EN_PI Siroky Milan Jr_revised_27AUG2025</t>
        </is>
      </c>
      <c r="G199" s="2" t="str">
        <f>HYPERLINK("https://vtmf.veevavault.com/ui/#doc_info/25362940/2/0", "VTMF-20220194")</f>
        <v>VTMF-20220194</v>
      </c>
      <c r="H199" s="3" t="inlineStr">
        <is>
          <t/>
        </is>
      </c>
      <c r="I199" s="3" t="inlineStr">
        <is>
          <t>System</t>
        </is>
      </c>
      <c r="J199" s="3" t="inlineStr">
        <is>
          <t>Agnesa Ruiz Kajtarova</t>
        </is>
      </c>
      <c r="K199" s="4" t="n">
        <v>45912.63451388889</v>
      </c>
      <c r="L199" s="5" t="n">
        <v>45912.0</v>
      </c>
      <c r="M199" s="3" t="inlineStr">
        <is>
          <t>Approved</t>
        </is>
      </c>
      <c r="N199" s="3" t="inlineStr">
        <is>
          <t>Available for Distribution, CLIX Filing, Site Close</t>
        </is>
      </c>
      <c r="O199" s="3" t="inlineStr">
        <is>
          <t>Czech Republic</t>
        </is>
      </c>
      <c r="P199" s="3" t="inlineStr">
        <is>
          <t>Z92-CZ10003</t>
        </is>
      </c>
      <c r="Q199" s="3" t="inlineStr">
        <is>
          <t>77242113UCO2001</t>
        </is>
      </c>
    </row>
    <row r="200">
      <c r="A200" s="2" t="str">
        <f>HYPERLINK("https://vtmf.veevavault.com/ui/#doc_info/25363004/1/0", "77242113UCO2001-CZE-Z92-CZ10003-Principal Investigator Financial Disclosure Form-13 Dec 2023 (v1.0)")</f>
        <v>77242113UCO2001-CZE-Z92-CZ10003-Principal Investigator Financial Disclosure Form-13 Dec 2023 (v1.0)</v>
      </c>
      <c r="B200" s="3" t="inlineStr">
        <is>
          <t>Lenka Placha</t>
        </is>
      </c>
      <c r="C200" s="3" t="inlineStr">
        <is>
          <t>Site Management</t>
        </is>
      </c>
      <c r="D200" s="3" t="inlineStr">
        <is>
          <t>Site Set-up Documentation</t>
        </is>
      </c>
      <c r="E200" s="3" t="inlineStr">
        <is>
          <t>Principal Investigator Financial Disclosure Form</t>
        </is>
      </c>
      <c r="F200" s="3" t="inlineStr">
        <is>
          <t>IFDF PI Siroky Milan Jr_initial_13Dec23</t>
        </is>
      </c>
      <c r="G200" s="2" t="str">
        <f>HYPERLINK("https://vtmf.veevavault.com/ui/#doc_info/25363004/1/0", "VTMF-20220245")</f>
        <v>VTMF-20220245</v>
      </c>
      <c r="H200" s="3" t="inlineStr">
        <is>
          <t/>
        </is>
      </c>
      <c r="I200" s="3" t="inlineStr">
        <is>
          <t>Anthony Suarez (veeva.com)</t>
        </is>
      </c>
      <c r="J200" s="3" t="inlineStr">
        <is>
          <t>Lenka Placha</t>
        </is>
      </c>
      <c r="K200" s="4" t="n">
        <v>45278.52905092593</v>
      </c>
      <c r="L200" s="5" t="n">
        <v>45278.0</v>
      </c>
      <c r="M200" s="3" t="inlineStr">
        <is>
          <t>Approved</t>
        </is>
      </c>
      <c r="N200" s="3" t="inlineStr">
        <is>
          <t>Available for Distribution</t>
        </is>
      </c>
      <c r="O200" s="3" t="inlineStr">
        <is>
          <t>Czech Republic</t>
        </is>
      </c>
      <c r="P200" s="3" t="inlineStr">
        <is>
          <t>Z92-CZ10003</t>
        </is>
      </c>
      <c r="Q200" s="3" t="inlineStr">
        <is>
          <t>77242113UCO2001</t>
        </is>
      </c>
    </row>
    <row r="201">
      <c r="A201" s="2" t="str">
        <f>HYPERLINK("https://vtmf.veevavault.com/ui/#doc_info/24333408/1/0", "77242113UCO2001-CZE-Z92-CZ10003-Principal Investigator Financial Disclosure Form-16 Jun 2023 (v1.0)")</f>
        <v>77242113UCO2001-CZE-Z92-CZ10003-Principal Investigator Financial Disclosure Form-16 Jun 2023 (v1.0)</v>
      </c>
      <c r="B201" s="3" t="inlineStr">
        <is>
          <t>Marketa Zachova</t>
        </is>
      </c>
      <c r="C201" s="3" t="inlineStr">
        <is>
          <t>Site Management</t>
        </is>
      </c>
      <c r="D201" s="3" t="inlineStr">
        <is>
          <t>Site Set-up Documentation</t>
        </is>
      </c>
      <c r="E201" s="3" t="inlineStr">
        <is>
          <t>Principal Investigator Financial Disclosure Form</t>
        </is>
      </c>
      <c r="F201" s="3" t="inlineStr">
        <is>
          <t>M2_DoI Siroky M_Gastroenterologie_CZ_CZE_77242113UCO2001_v1_16Jun2023</t>
        </is>
      </c>
      <c r="G201" s="2" t="str">
        <f>HYPERLINK("https://vtmf.veevavault.com/ui/#doc_info/24333408/1/0", "VTMF-19321147")</f>
        <v>VTMF-19321147</v>
      </c>
      <c r="H201" s="3" t="inlineStr">
        <is>
          <t/>
        </is>
      </c>
      <c r="I201" s="3" t="inlineStr">
        <is>
          <t>System</t>
        </is>
      </c>
      <c r="J201" s="3" t="inlineStr">
        <is>
          <t>Marketa Zachova</t>
        </is>
      </c>
      <c r="K201" s="4" t="n">
        <v>45103.67841435185</v>
      </c>
      <c r="L201" s="5" t="n">
        <v>45103.0</v>
      </c>
      <c r="M201" s="3" t="inlineStr">
        <is>
          <t>Approved</t>
        </is>
      </c>
      <c r="N201" s="3" t="inlineStr">
        <is>
          <t>Available for Distribution</t>
        </is>
      </c>
      <c r="O201" s="3" t="inlineStr">
        <is>
          <t>Czech Republic</t>
        </is>
      </c>
      <c r="P201" s="3" t="inlineStr">
        <is>
          <t>Z92-CZ10003</t>
        </is>
      </c>
      <c r="Q201" s="3" t="inlineStr">
        <is>
          <t>77242113UCO2001</t>
        </is>
      </c>
    </row>
    <row r="202">
      <c r="A202" s="2" t="str">
        <f>HYPERLINK("https://vtmf.veevavault.com/ui/#doc_info/24351287/1/0", "77242113UCO2001-CZE-Z92-CZ10003-Principal Investigator Financial Disclosure Form-16 Jun 2023 (v1.0)")</f>
        <v>77242113UCO2001-CZE-Z92-CZ10003-Principal Investigator Financial Disclosure Form-16 Jun 2023 (v1.0)</v>
      </c>
      <c r="B202" s="3" t="inlineStr">
        <is>
          <t>Jitka Kone</t>
        </is>
      </c>
      <c r="C202" s="3" t="inlineStr">
        <is>
          <t>Site Management</t>
        </is>
      </c>
      <c r="D202" s="3" t="inlineStr">
        <is>
          <t>Site Set-up Documentation</t>
        </is>
      </c>
      <c r="E202" s="3" t="inlineStr">
        <is>
          <t>Principal Investigator Financial Disclosure Form</t>
        </is>
      </c>
      <c r="F202" s="3" t="inlineStr">
        <is>
          <t>REDACTED_M2_DoI Siroky M_Gastroenterologie_CZ_CZE_77242113UCO2001_v1_16Jun2023</t>
        </is>
      </c>
      <c r="G202" s="2" t="str">
        <f>HYPERLINK("https://vtmf.veevavault.com/ui/#doc_info/24351287/1/0", "VTMF-19336635")</f>
        <v>VTMF-19336635</v>
      </c>
      <c r="H202" s="3" t="inlineStr">
        <is>
          <t/>
        </is>
      </c>
      <c r="I202" s="3" t="inlineStr">
        <is>
          <t>System</t>
        </is>
      </c>
      <c r="J202" s="3" t="inlineStr">
        <is>
          <t>Jitka Kone</t>
        </is>
      </c>
      <c r="K202" s="4" t="n">
        <v>45105.705104166664</v>
      </c>
      <c r="L202" s="5" t="n">
        <v>45105.0</v>
      </c>
      <c r="M202" s="3" t="inlineStr">
        <is>
          <t>Approved</t>
        </is>
      </c>
      <c r="N202" s="3" t="inlineStr">
        <is>
          <t>Available for Distribution</t>
        </is>
      </c>
      <c r="O202" s="3" t="inlineStr">
        <is>
          <t>Czech Republic</t>
        </is>
      </c>
      <c r="P202" s="3" t="inlineStr">
        <is>
          <t>Z92-CZ10003</t>
        </is>
      </c>
      <c r="Q202" s="3" t="inlineStr">
        <is>
          <t>77242113UCO2001</t>
        </is>
      </c>
    </row>
    <row r="203">
      <c r="A203" s="2" t="str">
        <f>HYPERLINK("https://vtmf.veevavault.com/ui/#doc_info/25363034/1/0", "77242113UCO2001-CZE-Z92-CZ10003-Protocol Signature Page-13 Dec 2023 (v1.0)")</f>
        <v>77242113UCO2001-CZE-Z92-CZ10003-Protocol Signature Page-13 Dec 2023 (v1.0)</v>
      </c>
      <c r="B203" s="3" t="inlineStr">
        <is>
          <t>Lenka Placha</t>
        </is>
      </c>
      <c r="C203" s="3" t="inlineStr">
        <is>
          <t>Site Management</t>
        </is>
      </c>
      <c r="D203" s="3" t="inlineStr">
        <is>
          <t>Site Set-up Documentation</t>
        </is>
      </c>
      <c r="E203" s="3" t="inlineStr">
        <is>
          <t>Protocol Signature Page</t>
        </is>
      </c>
      <c r="F203" s="3" t="inlineStr">
        <is>
          <t>PSP_Siroky Milan Jr._Protocol Amendment # 1, dated 25Jul2023_13Dec23</t>
        </is>
      </c>
      <c r="G203" s="2" t="str">
        <f>HYPERLINK("https://vtmf.veevavault.com/ui/#doc_info/25363034/1/0", "VTMF-20220278")</f>
        <v>VTMF-20220278</v>
      </c>
      <c r="H203" s="3" t="inlineStr">
        <is>
          <t/>
        </is>
      </c>
      <c r="I203" s="3" t="inlineStr">
        <is>
          <t>Anthony Suarez (veeva.com)</t>
        </is>
      </c>
      <c r="J203" s="3" t="inlineStr">
        <is>
          <t>Lenka Placha</t>
        </is>
      </c>
      <c r="K203" s="4" t="n">
        <v>45278.5343287037</v>
      </c>
      <c r="L203" s="5" t="n">
        <v>45278.0</v>
      </c>
      <c r="M203" s="3" t="inlineStr">
        <is>
          <t>Approved</t>
        </is>
      </c>
      <c r="N203" s="3" t="inlineStr">
        <is>
          <t>Available for Distribution, CLIX Filing, Site Close</t>
        </is>
      </c>
      <c r="O203" s="3" t="inlineStr">
        <is>
          <t>Czech Republic</t>
        </is>
      </c>
      <c r="P203" s="3" t="inlineStr">
        <is>
          <t>Z92-CZ10003</t>
        </is>
      </c>
      <c r="Q203" s="3" t="inlineStr">
        <is>
          <t>77242113UCO2001</t>
        </is>
      </c>
    </row>
    <row r="204">
      <c r="A204" s="2" t="str">
        <f>HYPERLINK("https://vtmf.veevavault.com/ui/#doc_info/26768638/1/0", "77242113UCO2001-CZE-Z92-CZ10003-Protocol Signature Page-17 Jul 2024 (v1.0)")</f>
        <v>77242113UCO2001-CZE-Z92-CZ10003-Protocol Signature Page-17 Jul 2024 (v1.0)</v>
      </c>
      <c r="B204" s="3" t="inlineStr">
        <is>
          <t>Lenka Placha</t>
        </is>
      </c>
      <c r="C204" s="3" t="inlineStr">
        <is>
          <t>Site Management</t>
        </is>
      </c>
      <c r="D204" s="3" t="inlineStr">
        <is>
          <t>Site Set-up Documentation</t>
        </is>
      </c>
      <c r="E204" s="3" t="inlineStr">
        <is>
          <t>Protocol Signature Page</t>
        </is>
      </c>
      <c r="F204" s="3" t="inlineStr">
        <is>
          <t>PSP_Siroky Milan Jr._Protocol Amendment # 3, dated 02Apr2024_17Jul2024</t>
        </is>
      </c>
      <c r="G204" s="2" t="str">
        <f>HYPERLINK("https://vtmf.veevavault.com/ui/#doc_info/26768638/1/0", "VTMF-21452017")</f>
        <v>VTMF-21452017</v>
      </c>
      <c r="H204" s="3" t="inlineStr">
        <is>
          <t/>
        </is>
      </c>
      <c r="I204" s="3" t="inlineStr">
        <is>
          <t>Anthony Suarez (veeva.com)</t>
        </is>
      </c>
      <c r="J204" s="3" t="inlineStr">
        <is>
          <t>Lenka Placha</t>
        </is>
      </c>
      <c r="K204" s="4" t="n">
        <v>45498.43785879629</v>
      </c>
      <c r="L204" s="5" t="n">
        <v>45498.0</v>
      </c>
      <c r="M204" s="3" t="inlineStr">
        <is>
          <t>Approved</t>
        </is>
      </c>
      <c r="N204" s="3" t="inlineStr">
        <is>
          <t>Available for Distribution, CLIX Filing, Site Close</t>
        </is>
      </c>
      <c r="O204" s="3" t="inlineStr">
        <is>
          <t>Czech Republic</t>
        </is>
      </c>
      <c r="P204" s="3" t="inlineStr">
        <is>
          <t>Z92-CZ10003</t>
        </is>
      </c>
      <c r="Q204" s="3" t="inlineStr">
        <is>
          <t>77242113UCO2001</t>
        </is>
      </c>
    </row>
    <row r="205">
      <c r="A205" s="2" t="str">
        <f>HYPERLINK("https://vtmf.veevavault.com/ui/#doc_info/25390864/1/0", "77242113UCO2001-CZE-Z92-CZ10003-Protocol Signature Page-21 Dec 2023 (v1.0)")</f>
        <v>77242113UCO2001-CZE-Z92-CZ10003-Protocol Signature Page-21 Dec 2023 (v1.0)</v>
      </c>
      <c r="B205" s="3" t="inlineStr">
        <is>
          <t>Lenka Placha</t>
        </is>
      </c>
      <c r="C205" s="3" t="inlineStr">
        <is>
          <t>Site Management</t>
        </is>
      </c>
      <c r="D205" s="3" t="inlineStr">
        <is>
          <t>Site Set-up Documentation</t>
        </is>
      </c>
      <c r="E205" s="3" t="inlineStr">
        <is>
          <t>Protocol Signature Page</t>
        </is>
      </c>
      <c r="F205" s="3" t="inlineStr">
        <is>
          <t>PSP_Siroky Milan Jr._Protocol Amendment # 2, dated 31Oct2023_ 20Dec23</t>
        </is>
      </c>
      <c r="G205" s="2" t="str">
        <f>HYPERLINK("https://vtmf.veevavault.com/ui/#doc_info/25390864/1/0", "VTMF-20243732")</f>
        <v>VTMF-20243732</v>
      </c>
      <c r="H205" s="3" t="inlineStr">
        <is>
          <t/>
        </is>
      </c>
      <c r="I205" s="3" t="inlineStr">
        <is>
          <t>Anthony Suarez (veeva.com)</t>
        </is>
      </c>
      <c r="J205" s="3" t="inlineStr">
        <is>
          <t>Lenka Placha</t>
        </is>
      </c>
      <c r="K205" s="4" t="n">
        <v>45281.63532407407</v>
      </c>
      <c r="L205" s="5" t="n">
        <v>45281.0</v>
      </c>
      <c r="M205" s="3" t="inlineStr">
        <is>
          <t>Approved</t>
        </is>
      </c>
      <c r="N205" s="3" t="inlineStr">
        <is>
          <t>Available for Distribution, CLIX Filing, Site Close</t>
        </is>
      </c>
      <c r="O205" s="3" t="inlineStr">
        <is>
          <t>Czech Republic</t>
        </is>
      </c>
      <c r="P205" s="3" t="inlineStr">
        <is>
          <t>Z92-CZ10003</t>
        </is>
      </c>
      <c r="Q205" s="3" t="inlineStr">
        <is>
          <t>77242113UCO2001</t>
        </is>
      </c>
    </row>
    <row r="206">
      <c r="A206" s="2" t="str">
        <f>HYPERLINK("https://vtmf.veevavault.com/ui/#doc_info/27034200/1/0", "77242113UCO2001-CZE-Z92-CZ10003-Quality Review Documentation-09 Sep 2024 (v1.0)")</f>
        <v>77242113UCO2001-CZE-Z92-CZ10003-Quality Review Documentation-09 Sep 2024 (v1.0)</v>
      </c>
      <c r="B206" s="3" t="inlineStr">
        <is>
          <t>Lenka Placha</t>
        </is>
      </c>
      <c r="C206" s="3" t="inlineStr">
        <is>
          <t>Trial Management</t>
        </is>
      </c>
      <c r="D206" s="3" t="inlineStr">
        <is>
          <t>Trial Oversight</t>
        </is>
      </c>
      <c r="E206" s="3" t="inlineStr">
        <is>
          <t>Quality Review Documentation</t>
        </is>
      </c>
      <c r="F206" s="3" t="inlineStr">
        <is>
          <t>QRC Form_Site level_Site Z92-CZ10003_09Sep2024</t>
        </is>
      </c>
      <c r="G206" s="2" t="str">
        <f>HYPERLINK("https://vtmf.veevavault.com/ui/#doc_info/27034200/1/0", "VTMF-21674000")</f>
        <v>VTMF-21674000</v>
      </c>
      <c r="H206" s="3" t="inlineStr">
        <is>
          <t/>
        </is>
      </c>
      <c r="I206" s="3" t="inlineStr">
        <is>
          <t>System</t>
        </is>
      </c>
      <c r="J206" s="3" t="inlineStr">
        <is>
          <t>Lenka Placha</t>
        </is>
      </c>
      <c r="K206" s="4" t="n">
        <v>45544.46596064815</v>
      </c>
      <c r="L206" s="5" t="n">
        <v>45544.0</v>
      </c>
      <c r="M206" s="3" t="inlineStr">
        <is>
          <t>Approved</t>
        </is>
      </c>
      <c r="N206" s="3" t="inlineStr">
        <is>
          <t>Country Close, Site Close, Study Close</t>
        </is>
      </c>
      <c r="O206" s="3" t="inlineStr">
        <is>
          <t>Czech Republic</t>
        </is>
      </c>
      <c r="P206" s="3" t="inlineStr">
        <is>
          <t>Z92-CZ10003</t>
        </is>
      </c>
      <c r="Q206" s="3" t="inlineStr">
        <is>
          <t>77242113UCO2001</t>
        </is>
      </c>
    </row>
    <row r="207">
      <c r="A207" s="2" t="str">
        <f>HYPERLINK("https://vtmf.veevavault.com/ui/#doc_info/31879377/1/0", "77242113UCO2001-CZE-Z92-CZ10003-Quality Review Documentation-15 Jun 2026 (v1.0)")</f>
        <v>77242113UCO2001-CZE-Z92-CZ10003-Quality Review Documentation-15 Jun 2026 (v1.0)</v>
      </c>
      <c r="B207" s="3" t="inlineStr">
        <is>
          <t>Agnesa Ruiz Kajtarova</t>
        </is>
      </c>
      <c r="C207" s="3" t="inlineStr">
        <is>
          <t>Trial Management</t>
        </is>
      </c>
      <c r="D207" s="3" t="inlineStr">
        <is>
          <t>Trial Oversight</t>
        </is>
      </c>
      <c r="E207" s="3" t="inlineStr">
        <is>
          <t>Quality Review Documentation</t>
        </is>
      </c>
      <c r="F207" s="3" t="inlineStr">
        <is>
          <t>Quality Review Evidence_Final_26AUG2025-15JUN2026</t>
        </is>
      </c>
      <c r="G207" s="2" t="str">
        <f>HYPERLINK("https://vtmf.veevavault.com/ui/#doc_info/31879377/1/0", "VTMF-25736566")</f>
        <v>VTMF-25736566</v>
      </c>
      <c r="H207" s="3" t="inlineStr">
        <is>
          <t/>
        </is>
      </c>
      <c r="I207" s="3" t="inlineStr">
        <is>
          <t>System</t>
        </is>
      </c>
      <c r="J207" s="3" t="inlineStr">
        <is>
          <t>Agnesa Ruiz Kajtarova</t>
        </is>
      </c>
      <c r="K207" s="4" t="n">
        <v>46188.635034722225</v>
      </c>
      <c r="L207" s="5" t="n">
        <v>46188.0</v>
      </c>
      <c r="M207" s="3" t="inlineStr">
        <is>
          <t>Approved</t>
        </is>
      </c>
      <c r="N207" s="3" t="inlineStr">
        <is>
          <t>Country Close, Site Close, Study Close</t>
        </is>
      </c>
      <c r="O207" s="3" t="inlineStr">
        <is>
          <t>Czech Republic</t>
        </is>
      </c>
      <c r="P207" s="3" t="inlineStr">
        <is>
          <t>Z92-CZ10003</t>
        </is>
      </c>
      <c r="Q207" s="3" t="inlineStr">
        <is>
          <t>77242113UCO2001</t>
        </is>
      </c>
    </row>
    <row r="208">
      <c r="A208" s="2" t="str">
        <f>HYPERLINK("https://vtmf.veevavault.com/ui/#doc_info/31886959/1/0", "77242113UCO2001-CZE-Z92-CZ10003-Quality Review Documentation-16 Jun 2026 (v1.0)")</f>
        <v>77242113UCO2001-CZE-Z92-CZ10003-Quality Review Documentation-16 Jun 2026 (v1.0)</v>
      </c>
      <c r="B208" s="3" t="inlineStr">
        <is>
          <t>Agnesa Ruiz Kajtarova</t>
        </is>
      </c>
      <c r="C208" s="3" t="inlineStr">
        <is>
          <t>Trial Management</t>
        </is>
      </c>
      <c r="D208" s="3" t="inlineStr">
        <is>
          <t>Trial Oversight</t>
        </is>
      </c>
      <c r="E208" s="3" t="inlineStr">
        <is>
          <t>Quality Review Documentation</t>
        </is>
      </c>
      <c r="F208" s="3" t="inlineStr">
        <is>
          <t>Quality Check Form_Final_15JUN2026</t>
        </is>
      </c>
      <c r="G208" s="2" t="str">
        <f>HYPERLINK("https://vtmf.veevavault.com/ui/#doc_info/31886959/1/0", "VTMF-25743123")</f>
        <v>VTMF-25743123</v>
      </c>
      <c r="H208" s="3" t="inlineStr">
        <is>
          <t/>
        </is>
      </c>
      <c r="I208" s="3" t="inlineStr">
        <is>
          <t>System</t>
        </is>
      </c>
      <c r="J208" s="3" t="inlineStr">
        <is>
          <t>Agnesa Ruiz Kajtarova</t>
        </is>
      </c>
      <c r="K208" s="4" t="n">
        <v>46189.55893518519</v>
      </c>
      <c r="L208" s="5" t="n">
        <v>46189.0</v>
      </c>
      <c r="M208" s="3" t="inlineStr">
        <is>
          <t>Approved</t>
        </is>
      </c>
      <c r="N208" s="3" t="inlineStr">
        <is>
          <t>Country Close, Site Close, Study Close</t>
        </is>
      </c>
      <c r="O208" s="3" t="inlineStr">
        <is>
          <t>Czech Republic</t>
        </is>
      </c>
      <c r="P208" s="3" t="inlineStr">
        <is>
          <t>Z92-CZ10003</t>
        </is>
      </c>
      <c r="Q208" s="3" t="inlineStr">
        <is>
          <t>77242113UCO2001</t>
        </is>
      </c>
    </row>
    <row r="209">
      <c r="A209" s="2" t="str">
        <f>HYPERLINK("https://vtmf.veevavault.com/ui/#doc_info/27034234/2/0", "77242113UCO2001-CZE-Z92-CZ10003-Quality Review Documentation-25 Aug 2025 (v2.0)")</f>
        <v>77242113UCO2001-CZE-Z92-CZ10003-Quality Review Documentation-25 Aug 2025 (v2.0)</v>
      </c>
      <c r="B209" s="3" t="inlineStr">
        <is>
          <t>Lenka Placha</t>
        </is>
      </c>
      <c r="C209" s="3" t="inlineStr">
        <is>
          <t>Trial Management</t>
        </is>
      </c>
      <c r="D209" s="3" t="inlineStr">
        <is>
          <t>Trial Oversight</t>
        </is>
      </c>
      <c r="E209" s="3" t="inlineStr">
        <is>
          <t>Quality Review Documentation</t>
        </is>
      </c>
      <c r="F209" s="3" t="inlineStr">
        <is>
          <t>AQR_Evidence Report_Site level_Z92-CZ10003_25Aug2025</t>
        </is>
      </c>
      <c r="G209" s="2" t="str">
        <f>HYPERLINK("https://vtmf.veevavault.com/ui/#doc_info/27034234/2/0", "VTMF-21674065")</f>
        <v>VTMF-21674065</v>
      </c>
      <c r="H209" s="3" t="inlineStr">
        <is>
          <t/>
        </is>
      </c>
      <c r="I209" s="3" t="inlineStr">
        <is>
          <t>System</t>
        </is>
      </c>
      <c r="J209" s="3" t="inlineStr">
        <is>
          <t>Lenka Placha</t>
        </is>
      </c>
      <c r="K209" s="4" t="n">
        <v>45894.59842592593</v>
      </c>
      <c r="L209" s="5" t="n">
        <v>45894.0</v>
      </c>
      <c r="M209" s="3" t="inlineStr">
        <is>
          <t>Approved</t>
        </is>
      </c>
      <c r="N209" s="3" t="inlineStr">
        <is>
          <t>Country Close, Site Close, Study Close</t>
        </is>
      </c>
      <c r="O209" s="3" t="inlineStr">
        <is>
          <t>Czech Republic</t>
        </is>
      </c>
      <c r="P209" s="3" t="inlineStr">
        <is>
          <t>Z92-CZ10003</t>
        </is>
      </c>
      <c r="Q209" s="3" t="inlineStr">
        <is>
          <t>77242113UCO2001</t>
        </is>
      </c>
    </row>
    <row r="210">
      <c r="A210" s="2" t="str">
        <f>HYPERLINK("https://vtmf.veevavault.com/ui/#doc_info/29822766/1/0", "77242113UCO2001-CZE-Z92-CZ10003-Quality Review Documentation-25 Aug 2025 (v1.0)")</f>
        <v>77242113UCO2001-CZE-Z92-CZ10003-Quality Review Documentation-25 Aug 2025 (v1.0)</v>
      </c>
      <c r="B210" s="3" t="inlineStr">
        <is>
          <t>Lenka Placha</t>
        </is>
      </c>
      <c r="C210" s="3" t="inlineStr">
        <is>
          <t>Trial Management</t>
        </is>
      </c>
      <c r="D210" s="3" t="inlineStr">
        <is>
          <t>Trial Oversight</t>
        </is>
      </c>
      <c r="E210" s="3" t="inlineStr">
        <is>
          <t>Quality Review Documentation</t>
        </is>
      </c>
      <c r="F210" s="3" t="inlineStr">
        <is>
          <t>QRC Form_Site level_Site Z92-CZ10003_25Aug2025</t>
        </is>
      </c>
      <c r="G210" s="2" t="str">
        <f>HYPERLINK("https://vtmf.veevavault.com/ui/#doc_info/29822766/1/0", "VTMF-24001372")</f>
        <v>VTMF-24001372</v>
      </c>
      <c r="H210" s="3" t="inlineStr">
        <is>
          <t/>
        </is>
      </c>
      <c r="I210" s="3" t="inlineStr">
        <is>
          <t>System</t>
        </is>
      </c>
      <c r="J210" s="3" t="inlineStr">
        <is>
          <t>Lenka Placha</t>
        </is>
      </c>
      <c r="K210" s="4" t="n">
        <v>45894.73068287037</v>
      </c>
      <c r="L210" s="5" t="n">
        <v>45894.0</v>
      </c>
      <c r="M210" s="3" t="inlineStr">
        <is>
          <t>Approved</t>
        </is>
      </c>
      <c r="N210" s="3" t="inlineStr">
        <is>
          <t>Country Close, Site Close, Study Close</t>
        </is>
      </c>
      <c r="O210" s="3" t="inlineStr">
        <is>
          <t>Czech Republic</t>
        </is>
      </c>
      <c r="P210" s="3" t="inlineStr">
        <is>
          <t>Z92-CZ10003</t>
        </is>
      </c>
      <c r="Q210" s="3" t="inlineStr">
        <is>
          <t>77242113UCO2001</t>
        </is>
      </c>
    </row>
    <row r="211">
      <c r="A211" s="2" t="str">
        <f>HYPERLINK("https://vtmf.veevavault.com/ui/#doc_info/25383533/1/0", "77242113UCO2001-CZE-Z92-CZ10003-Recruitment Plan-14 Dec 2023 (v1.0)")</f>
        <v>77242113UCO2001-CZE-Z92-CZ10003-Recruitment Plan-14 Dec 2023 (v1.0)</v>
      </c>
      <c r="B211" s="3" t="inlineStr">
        <is>
          <t>Lenka Placha</t>
        </is>
      </c>
      <c r="C211" s="3" t="inlineStr">
        <is>
          <t>Trial Management</t>
        </is>
      </c>
      <c r="D211" s="3" t="inlineStr">
        <is>
          <t>Trial Oversight</t>
        </is>
      </c>
      <c r="E211" s="3" t="inlineStr">
        <is>
          <t>Recruitment Plan</t>
        </is>
      </c>
      <c r="F211" s="3" t="inlineStr">
        <is>
          <t>Recruitment and Retention Plan_site Z92-CZ10003-14Dec23</t>
        </is>
      </c>
      <c r="G211" s="2" t="str">
        <f>HYPERLINK("https://vtmf.veevavault.com/ui/#doc_info/25383533/1/0", "VTMF-20237558")</f>
        <v>VTMF-20237558</v>
      </c>
      <c r="H211" s="3" t="inlineStr">
        <is>
          <t/>
        </is>
      </c>
      <c r="I211" s="3" t="inlineStr">
        <is>
          <t>Anthony Suarez (veeva.com)</t>
        </is>
      </c>
      <c r="J211" s="3" t="inlineStr">
        <is>
          <t>Lenka Placha</t>
        </is>
      </c>
      <c r="K211" s="4" t="n">
        <v>45280.72381944444</v>
      </c>
      <c r="L211" s="5" t="n">
        <v>45280.0</v>
      </c>
      <c r="M211" s="3" t="inlineStr">
        <is>
          <t>Approved</t>
        </is>
      </c>
      <c r="N211" s="3" t="inlineStr">
        <is>
          <t>Study Start</t>
        </is>
      </c>
      <c r="O211" s="3" t="inlineStr">
        <is>
          <t>Czech Republic</t>
        </is>
      </c>
      <c r="P211" s="3" t="inlineStr">
        <is>
          <t>Z92-CZ10003</t>
        </is>
      </c>
      <c r="Q211" s="3" t="inlineStr">
        <is>
          <t>77242113UCO2001</t>
        </is>
      </c>
    </row>
    <row r="212">
      <c r="A212" s="2" t="str">
        <f>HYPERLINK("https://vtmf.veevavault.com/ui/#doc_info/28233536/1/0", "77242113UCO2001-CZE-Z92-CZ10003-Relevant Communications-04 Feb 2025 (v1.0)")</f>
        <v>77242113UCO2001-CZE-Z92-CZ10003-Relevant Communications-04 Feb 2025 (v1.0)</v>
      </c>
      <c r="B212" s="3" t="inlineStr">
        <is>
          <t>Jitka Kone</t>
        </is>
      </c>
      <c r="C212" s="3" t="inlineStr">
        <is>
          <t>Site Management</t>
        </is>
      </c>
      <c r="D212" s="3" t="inlineStr">
        <is>
          <t>General</t>
        </is>
      </c>
      <c r="E212" s="3" t="inlineStr">
        <is>
          <t>Relevant Communications</t>
        </is>
      </c>
      <c r="F212" s="3" t="inlineStr">
        <is>
          <t>Cover letter_PCI 7.1 + EU CTR documents</t>
        </is>
      </c>
      <c r="G212" s="2" t="str">
        <f>HYPERLINK("https://vtmf.veevavault.com/ui/#doc_info/28233536/1/0", "VTMF-22645148")</f>
        <v>VTMF-22645148</v>
      </c>
      <c r="H212" s="3" t="inlineStr">
        <is>
          <t/>
        </is>
      </c>
      <c r="I212" s="3" t="inlineStr">
        <is>
          <t>System</t>
        </is>
      </c>
      <c r="J212" s="3" t="inlineStr">
        <is>
          <t>Jitka Kone</t>
        </is>
      </c>
      <c r="K212" s="4" t="n">
        <v>45693.65314814815</v>
      </c>
      <c r="L212" s="5" t="n">
        <v>45693.0</v>
      </c>
      <c r="M212" s="3" t="inlineStr">
        <is>
          <t>Approved</t>
        </is>
      </c>
      <c r="N212" s="3" t="inlineStr">
        <is>
          <t>Available for Distribution, Country Close, Site Close, Study Close</t>
        </is>
      </c>
      <c r="O212" s="3" t="inlineStr">
        <is>
          <t>Czech Republic</t>
        </is>
      </c>
      <c r="P212" s="3" t="inlineStr">
        <is>
          <t>Z92-CZ10003</t>
        </is>
      </c>
      <c r="Q212" s="3" t="inlineStr">
        <is>
          <t>77242113UCO2001</t>
        </is>
      </c>
    </row>
    <row r="213">
      <c r="A213" s="2" t="str">
        <f>HYPERLINK("https://vtmf.veevavault.com/ui/#doc_info/25462823/1/0", "77242113UCO2001-CZE-Z92-CZ10003-Relevant Communications-04 Jan 2024 (v1.0)")</f>
        <v>77242113UCO2001-CZE-Z92-CZ10003-Relevant Communications-04 Jan 2024 (v1.0)</v>
      </c>
      <c r="B213" s="3" t="inlineStr">
        <is>
          <t>Lenka Placha</t>
        </is>
      </c>
      <c r="C213" s="3" t="inlineStr">
        <is>
          <t>Site Management</t>
        </is>
      </c>
      <c r="D213" s="3" t="inlineStr">
        <is>
          <t>General</t>
        </is>
      </c>
      <c r="E213" s="3" t="inlineStr">
        <is>
          <t>Relevant Communications</t>
        </is>
      </c>
      <c r="F213" s="3" t="inlineStr">
        <is>
          <t>email 04Jan24- CTM approval to perform first MV out of window</t>
        </is>
      </c>
      <c r="G213" s="2" t="str">
        <f>HYPERLINK("https://vtmf.veevavault.com/ui/#doc_info/25462823/1/0", "VTMF-20307639")</f>
        <v>VTMF-20307639</v>
      </c>
      <c r="H213" s="3" t="inlineStr">
        <is>
          <t/>
        </is>
      </c>
      <c r="I213" s="3" t="inlineStr">
        <is>
          <t>System</t>
        </is>
      </c>
      <c r="J213" s="3" t="inlineStr">
        <is>
          <t>Lenka Placha</t>
        </is>
      </c>
      <c r="K213" s="4" t="n">
        <v>45299.6174537037</v>
      </c>
      <c r="L213" s="5" t="n">
        <v>45299.0</v>
      </c>
      <c r="M213" s="3" t="inlineStr">
        <is>
          <t>Approved</t>
        </is>
      </c>
      <c r="N213" s="3" t="inlineStr">
        <is>
          <t>Available for Distribution, Country Close, Site Close, Study Close</t>
        </is>
      </c>
      <c r="O213" s="3" t="inlineStr">
        <is>
          <t>Czech Republic</t>
        </is>
      </c>
      <c r="P213" s="3" t="inlineStr">
        <is>
          <t>Z92-CZ10003</t>
        </is>
      </c>
      <c r="Q213" s="3" t="inlineStr">
        <is>
          <t>77242113UCO2001</t>
        </is>
      </c>
    </row>
    <row r="214">
      <c r="A214" s="2" t="str">
        <f>HYPERLINK("https://vtmf.veevavault.com/ui/#doc_info/26684944/1/0", "77242113UCO2001-CZE-Z92-CZ10003-Relevant Communications-04 Jul 2024 (v1.0)")</f>
        <v>77242113UCO2001-CZE-Z92-CZ10003-Relevant Communications-04 Jul 2024 (v1.0)</v>
      </c>
      <c r="B214" s="3" t="inlineStr">
        <is>
          <t>Lenka Placha</t>
        </is>
      </c>
      <c r="C214" s="3" t="inlineStr">
        <is>
          <t>Site Management</t>
        </is>
      </c>
      <c r="D214" s="3" t="inlineStr">
        <is>
          <t>General</t>
        </is>
      </c>
      <c r="E214" s="3" t="inlineStr">
        <is>
          <t>Relevant Communications</t>
        </is>
      </c>
      <c r="F214" s="3" t="inlineStr">
        <is>
          <t>email 04Jul24- issue with deep freezer resolved (not recorded temperatures to USB drive)</t>
        </is>
      </c>
      <c r="G214" s="2" t="str">
        <f>HYPERLINK("https://vtmf.veevavault.com/ui/#doc_info/26684944/1/0", "VTMF-21379400")</f>
        <v>VTMF-21379400</v>
      </c>
      <c r="H214" s="3" t="inlineStr">
        <is>
          <t/>
        </is>
      </c>
      <c r="I214" s="3" t="inlineStr">
        <is>
          <t>System</t>
        </is>
      </c>
      <c r="J214" s="3" t="inlineStr">
        <is>
          <t>Lenka Placha</t>
        </is>
      </c>
      <c r="K214" s="4" t="n">
        <v>45483.80217592593</v>
      </c>
      <c r="L214" s="5" t="n">
        <v>45483.0</v>
      </c>
      <c r="M214" s="3" t="inlineStr">
        <is>
          <t>Approved</t>
        </is>
      </c>
      <c r="N214" s="3" t="inlineStr">
        <is>
          <t>Available for Distribution, Country Close, Site Close, Study Close</t>
        </is>
      </c>
      <c r="O214" s="3" t="inlineStr">
        <is>
          <t>Czech Republic</t>
        </is>
      </c>
      <c r="P214" s="3" t="inlineStr">
        <is>
          <t>Z92-CZ10003</t>
        </is>
      </c>
      <c r="Q214" s="3" t="inlineStr">
        <is>
          <t>77242113UCO2001</t>
        </is>
      </c>
    </row>
    <row r="215">
      <c r="A215" s="2" t="str">
        <f>HYPERLINK("https://vtmf.veevavault.com/ui/#doc_info/28019721/1/0", "77242113UCO2001-CZE-Z92-CZ10003-Relevant Communications-06 Jan 2025 (v1.0)")</f>
        <v>77242113UCO2001-CZE-Z92-CZ10003-Relevant Communications-06 Jan 2025 (v1.0)</v>
      </c>
      <c r="B215" s="3" t="inlineStr">
        <is>
          <t>Lenka Placha</t>
        </is>
      </c>
      <c r="C215" s="3" t="inlineStr">
        <is>
          <t>Site Management</t>
        </is>
      </c>
      <c r="D215" s="3" t="inlineStr">
        <is>
          <t>General</t>
        </is>
      </c>
      <c r="E215" s="3" t="inlineStr">
        <is>
          <t>Relevant Communications</t>
        </is>
      </c>
      <c r="F215" s="3" t="inlineStr">
        <is>
          <t>email 06Jan25- new SAE form incl.instruction sent to site Z92-CZ10003</t>
        </is>
      </c>
      <c r="G215" s="2" t="str">
        <f>HYPERLINK("https://vtmf.veevavault.com/ui/#doc_info/28019721/1/0", "VTMF-22468753")</f>
        <v>VTMF-22468753</v>
      </c>
      <c r="H215" s="3" t="inlineStr">
        <is>
          <t/>
        </is>
      </c>
      <c r="I215" s="3" t="inlineStr">
        <is>
          <t>Lenka Placha</t>
        </is>
      </c>
      <c r="J215" s="3" t="inlineStr">
        <is>
          <t>Lenka Placha</t>
        </is>
      </c>
      <c r="K215" s="4" t="n">
        <v>45663.60868055555</v>
      </c>
      <c r="L215" s="5" t="n">
        <v>45663.0</v>
      </c>
      <c r="M215" s="3" t="inlineStr">
        <is>
          <t>Approved</t>
        </is>
      </c>
      <c r="N215" s="3" t="inlineStr">
        <is>
          <t>Available for Distribution, Country Close, Site Close, Study Close</t>
        </is>
      </c>
      <c r="O215" s="3" t="inlineStr">
        <is>
          <t>Czech Republic</t>
        </is>
      </c>
      <c r="P215" s="3" t="inlineStr">
        <is>
          <t>Z92-CZ10003</t>
        </is>
      </c>
      <c r="Q215" s="3" t="inlineStr">
        <is>
          <t>77242113UCO2001</t>
        </is>
      </c>
    </row>
    <row r="216">
      <c r="A216" s="2" t="str">
        <f>HYPERLINK("https://vtmf.veevavault.com/ui/#doc_info/26856727/1/0", "77242113UCO2001-CZE-Z92-CZ10003-Relevant Communications-07 Aug 2024 (v1.0)")</f>
        <v>77242113UCO2001-CZE-Z92-CZ10003-Relevant Communications-07 Aug 2024 (v1.0)</v>
      </c>
      <c r="B216" s="3" t="inlineStr">
        <is>
          <t>Jitka Kone</t>
        </is>
      </c>
      <c r="C216" s="3" t="inlineStr">
        <is>
          <t>Site Management</t>
        </is>
      </c>
      <c r="D216" s="3" t="inlineStr">
        <is>
          <t>General</t>
        </is>
      </c>
      <c r="E216" s="3" t="inlineStr">
        <is>
          <t>Relevant Communications</t>
        </is>
      </c>
      <c r="F216" s="3" t="inlineStr">
        <is>
          <t>Letter to site_Pr.Am.3 + implementation</t>
        </is>
      </c>
      <c r="G216" s="2" t="str">
        <f>HYPERLINK("https://vtmf.veevavault.com/ui/#doc_info/26856727/1/0", "VTMF-21526167")</f>
        <v>VTMF-21526167</v>
      </c>
      <c r="H216" s="3" t="inlineStr">
        <is>
          <t/>
        </is>
      </c>
      <c r="I216" s="3" t="inlineStr">
        <is>
          <t>System</t>
        </is>
      </c>
      <c r="J216" s="3" t="inlineStr">
        <is>
          <t>Jitka Kone</t>
        </is>
      </c>
      <c r="K216" s="4" t="n">
        <v>45512.69011574074</v>
      </c>
      <c r="L216" s="5" t="n">
        <v>45512.0</v>
      </c>
      <c r="M216" s="3" t="inlineStr">
        <is>
          <t>Approved</t>
        </is>
      </c>
      <c r="N216" s="3" t="inlineStr">
        <is>
          <t>Available for Distribution, Country Close, Site Close, Study Close</t>
        </is>
      </c>
      <c r="O216" s="3" t="inlineStr">
        <is>
          <t>Czech Republic</t>
        </is>
      </c>
      <c r="P216" s="3" t="inlineStr">
        <is>
          <t>Z92-CZ10003</t>
        </is>
      </c>
      <c r="Q216" s="3" t="inlineStr">
        <is>
          <t>77242113UCO2001</t>
        </is>
      </c>
    </row>
    <row r="217">
      <c r="A217" s="2" t="str">
        <f>HYPERLINK("https://vtmf.veevavault.com/ui/#doc_info/26875957/1/0", "77242113UCO2001-CZE-Z92-CZ10003-Relevant Communications-07 Aug 2024 (v1.0)")</f>
        <v>77242113UCO2001-CZE-Z92-CZ10003-Relevant Communications-07 Aug 2024 (v1.0)</v>
      </c>
      <c r="B217" s="3" t="inlineStr">
        <is>
          <t>Lenka Placha</t>
        </is>
      </c>
      <c r="C217" s="3" t="inlineStr">
        <is>
          <t>IP and Trial Supplies</t>
        </is>
      </c>
      <c r="D217" s="3" t="inlineStr">
        <is>
          <t>General</t>
        </is>
      </c>
      <c r="E217" s="3" t="inlineStr">
        <is>
          <t>Relevant Communications</t>
        </is>
      </c>
      <c r="F217" s="3" t="inlineStr">
        <is>
          <t>email _07Aug24_site_Z92-CZ10003_notification to site- near expired IP kits should be stored separately -will be destroyed by SM</t>
        </is>
      </c>
      <c r="G217" s="2" t="str">
        <f>HYPERLINK("https://vtmf.veevavault.com/ui/#doc_info/26875957/1/0", "VTMF-21542960")</f>
        <v>VTMF-21542960</v>
      </c>
      <c r="H217" s="3" t="inlineStr">
        <is>
          <t/>
        </is>
      </c>
      <c r="I217" s="3" t="inlineStr">
        <is>
          <t>System</t>
        </is>
      </c>
      <c r="J217" s="3" t="inlineStr">
        <is>
          <t>Lenka Placha</t>
        </is>
      </c>
      <c r="K217" s="4" t="n">
        <v>45516.735</v>
      </c>
      <c r="L217" s="5" t="n">
        <v>45516.0</v>
      </c>
      <c r="M217" s="3" t="inlineStr">
        <is>
          <t>Approved</t>
        </is>
      </c>
      <c r="N217" s="3" t="inlineStr">
        <is>
          <t>Country Close, Site Close, Study Close</t>
        </is>
      </c>
      <c r="O217" s="3" t="inlineStr">
        <is>
          <t>Czech Republic</t>
        </is>
      </c>
      <c r="P217" s="3" t="inlineStr">
        <is>
          <t>Z92-CZ10003</t>
        </is>
      </c>
      <c r="Q217" s="3" t="inlineStr">
        <is>
          <t>77242113UCO2001</t>
        </is>
      </c>
    </row>
    <row r="218">
      <c r="A218" s="2" t="str">
        <f>HYPERLINK("https://vtmf.veevavault.com/ui/#doc_info/28622298/1/0", "77242113UCO2001-CZE-Z92-CZ10003-Relevant Communications-07 Mar 2025 (v1.0)")</f>
        <v>77242113UCO2001-CZE-Z92-CZ10003-Relevant Communications-07 Mar 2025 (v1.0)</v>
      </c>
      <c r="B218" s="3" t="inlineStr">
        <is>
          <t>Lenka Placha</t>
        </is>
      </c>
      <c r="C218" s="3" t="inlineStr">
        <is>
          <t>Site Management</t>
        </is>
      </c>
      <c r="D218" s="3" t="inlineStr">
        <is>
          <t>General</t>
        </is>
      </c>
      <c r="E218" s="3" t="inlineStr">
        <is>
          <t>Relevant Communications</t>
        </is>
      </c>
      <c r="F218" s="3" t="inlineStr">
        <is>
          <t>email 07Mar25-site Z92-CZ10003-PI confirmation Alimentiv laptop needed</t>
        </is>
      </c>
      <c r="G218" s="2" t="str">
        <f>HYPERLINK("https://vtmf.veevavault.com/ui/#doc_info/28622298/1/0", "VTMF-22989460")</f>
        <v>VTMF-22989460</v>
      </c>
      <c r="H218" s="3" t="inlineStr">
        <is>
          <t/>
        </is>
      </c>
      <c r="I218" s="3" t="inlineStr">
        <is>
          <t>System</t>
        </is>
      </c>
      <c r="J218" s="3" t="inlineStr">
        <is>
          <t>Lenka Placha</t>
        </is>
      </c>
      <c r="K218" s="4" t="n">
        <v>45723.64146990741</v>
      </c>
      <c r="L218" s="5" t="n">
        <v>45723.0</v>
      </c>
      <c r="M218" s="3" t="inlineStr">
        <is>
          <t>Approved</t>
        </is>
      </c>
      <c r="N218" s="3" t="inlineStr">
        <is>
          <t>Available for Distribution, Country Close, Site Close, Study Close</t>
        </is>
      </c>
      <c r="O218" s="3" t="inlineStr">
        <is>
          <t>Czech Republic</t>
        </is>
      </c>
      <c r="P218" s="3" t="inlineStr">
        <is>
          <t>Z92-CZ10003</t>
        </is>
      </c>
      <c r="Q218" s="3" t="inlineStr">
        <is>
          <t>77242113UCO2001</t>
        </is>
      </c>
    </row>
    <row r="219">
      <c r="A219" s="2" t="str">
        <f>HYPERLINK("https://vtmf.veevavault.com/ui/#doc_info/25514877/1/0", "77242113UCO2001-CZE-Z92-CZ10003-Relevant Communications-11 Jan 2024 (v1.0)")</f>
        <v>77242113UCO2001-CZE-Z92-CZ10003-Relevant Communications-11 Jan 2024 (v1.0)</v>
      </c>
      <c r="B219" s="3" t="inlineStr">
        <is>
          <t>Lenka Placha</t>
        </is>
      </c>
      <c r="C219" s="3" t="inlineStr">
        <is>
          <t>Site Management</t>
        </is>
      </c>
      <c r="D219" s="3" t="inlineStr">
        <is>
          <t>General</t>
        </is>
      </c>
      <c r="E219" s="3" t="inlineStr">
        <is>
          <t>Relevant Communications</t>
        </is>
      </c>
      <c r="F219" s="3" t="inlineStr">
        <is>
          <t>email 11Jan24-information to study team about missing biopsy sample pt.CZ10003002_site Z92-CZ100003</t>
        </is>
      </c>
      <c r="G219" s="2" t="str">
        <f>HYPERLINK("https://vtmf.veevavault.com/ui/#doc_info/25514877/1/0", "VTMF-20352224")</f>
        <v>VTMF-20352224</v>
      </c>
      <c r="H219" s="3" t="inlineStr">
        <is>
          <t/>
        </is>
      </c>
      <c r="I219" s="3" t="inlineStr">
        <is>
          <t>Lenka Placha</t>
        </is>
      </c>
      <c r="J219" s="3" t="inlineStr">
        <is>
          <t>Lenka Placha</t>
        </is>
      </c>
      <c r="K219" s="4" t="n">
        <v>45307.859560185185</v>
      </c>
      <c r="L219" s="5" t="n">
        <v>45307.0</v>
      </c>
      <c r="M219" s="3" t="inlineStr">
        <is>
          <t>Approved</t>
        </is>
      </c>
      <c r="N219" s="3" t="inlineStr">
        <is>
          <t>Available for Distribution, Country Close, Site Close, Study Close</t>
        </is>
      </c>
      <c r="O219" s="3" t="inlineStr">
        <is>
          <t>Czech Republic</t>
        </is>
      </c>
      <c r="P219" s="3" t="inlineStr">
        <is>
          <t>Z92-CZ10003</t>
        </is>
      </c>
      <c r="Q219" s="3" t="inlineStr">
        <is>
          <t>77242113UCO2001</t>
        </is>
      </c>
    </row>
    <row r="220">
      <c r="A220" s="2" t="str">
        <f>HYPERLINK("https://vtmf.veevavault.com/ui/#doc_info/26313870/1/0", "77242113UCO2001-CZE-Z92-CZ10003-Relevant Communications-13 May 2024 (v1.0)")</f>
        <v>77242113UCO2001-CZE-Z92-CZ10003-Relevant Communications-13 May 2024 (v1.0)</v>
      </c>
      <c r="B220" s="3" t="inlineStr">
        <is>
          <t>Vladimir Buzalka</t>
        </is>
      </c>
      <c r="C220" s="3" t="inlineStr">
        <is>
          <t>Site Management</t>
        </is>
      </c>
      <c r="D220" s="3" t="inlineStr">
        <is>
          <t>General</t>
        </is>
      </c>
      <c r="E220" s="3" t="inlineStr">
        <is>
          <t>Relevant Communications</t>
        </is>
      </c>
      <c r="F220" s="3" t="inlineStr">
        <is>
          <t>Approval to continue recruitment at site; 13MAY2024</t>
        </is>
      </c>
      <c r="G220" s="2" t="str">
        <f>HYPERLINK("https://vtmf.veevavault.com/ui/#doc_info/26313870/1/0", "VTMF-21053806")</f>
        <v>VTMF-21053806</v>
      </c>
      <c r="H220" s="3" t="inlineStr">
        <is>
          <t/>
        </is>
      </c>
      <c r="I220" s="3" t="inlineStr">
        <is>
          <t>Vladimir Buzalka</t>
        </is>
      </c>
      <c r="J220" s="3" t="inlineStr">
        <is>
          <t>Vladimir Buzalka</t>
        </is>
      </c>
      <c r="K220" s="4" t="n">
        <v>45425.69184027778</v>
      </c>
      <c r="L220" s="5" t="n">
        <v>45425.0</v>
      </c>
      <c r="M220" s="3" t="inlineStr">
        <is>
          <t>Approved</t>
        </is>
      </c>
      <c r="N220" s="3" t="inlineStr">
        <is>
          <t>Available for Distribution, Country Close, Site Close, Study Close</t>
        </is>
      </c>
      <c r="O220" s="3" t="inlineStr">
        <is>
          <t>Czech Republic</t>
        </is>
      </c>
      <c r="P220" s="3" t="inlineStr">
        <is>
          <t>Z92-CZ10003</t>
        </is>
      </c>
      <c r="Q220" s="3" t="inlineStr">
        <is>
          <t>77242113UCO2001</t>
        </is>
      </c>
    </row>
    <row r="221">
      <c r="A221" s="2" t="str">
        <f>HYPERLINK("https://vtmf.veevavault.com/ui/#doc_info/26523117/1/0", "77242113UCO2001-CZE-Z92-CZ10003-Relevant Communications-14 Jun 2024 (v1.0)")</f>
        <v>77242113UCO2001-CZE-Z92-CZ10003-Relevant Communications-14 Jun 2024 (v1.0)</v>
      </c>
      <c r="B221" s="3" t="inlineStr">
        <is>
          <t>Lenka Placha</t>
        </is>
      </c>
      <c r="C221" s="3" t="inlineStr">
        <is>
          <t>Site Management</t>
        </is>
      </c>
      <c r="D221" s="3" t="inlineStr">
        <is>
          <t>General</t>
        </is>
      </c>
      <c r="E221" s="3" t="inlineStr">
        <is>
          <t>Relevant Communications</t>
        </is>
      </c>
      <c r="F221" s="3" t="inlineStr">
        <is>
          <t>email site Z92-CZ10003- info to site- expired lab kits need to be ordered new one_14Jun24</t>
        </is>
      </c>
      <c r="G221" s="2" t="str">
        <f>HYPERLINK("https://vtmf.veevavault.com/ui/#doc_info/26523117/1/0", "VTMF-21237951")</f>
        <v>VTMF-21237951</v>
      </c>
      <c r="H221" s="3" t="inlineStr">
        <is>
          <t/>
        </is>
      </c>
      <c r="I221" s="3" t="inlineStr">
        <is>
          <t>System</t>
        </is>
      </c>
      <c r="J221" s="3" t="inlineStr">
        <is>
          <t>Lenka Placha</t>
        </is>
      </c>
      <c r="K221" s="4" t="n">
        <v>45457.52591435185</v>
      </c>
      <c r="L221" s="5" t="n">
        <v>45457.0</v>
      </c>
      <c r="M221" s="3" t="inlineStr">
        <is>
          <t>Approved</t>
        </is>
      </c>
      <c r="N221" s="3" t="inlineStr">
        <is>
          <t>Available for Distribution, Country Close, Site Close, Study Close</t>
        </is>
      </c>
      <c r="O221" s="3" t="inlineStr">
        <is>
          <t>Czech Republic</t>
        </is>
      </c>
      <c r="P221" s="3" t="inlineStr">
        <is>
          <t>Z92-CZ10003</t>
        </is>
      </c>
      <c r="Q221" s="3" t="inlineStr">
        <is>
          <t>77242113UCO2001</t>
        </is>
      </c>
    </row>
    <row r="222">
      <c r="A222" s="2" t="str">
        <f>HYPERLINK("https://vtmf.veevavault.com/ui/#doc_info/25913578/3/0", "77242113UCO2001-CZE-Z92-CZ10003-Relevant Communications-14 Mar 2024 (v3.0)")</f>
        <v>77242113UCO2001-CZE-Z92-CZ10003-Relevant Communications-14 Mar 2024 (v3.0)</v>
      </c>
      <c r="B222" s="3" t="inlineStr">
        <is>
          <t>Lenka Placha</t>
        </is>
      </c>
      <c r="C222" s="3" t="inlineStr">
        <is>
          <t>Site Management</t>
        </is>
      </c>
      <c r="D222" s="3" t="inlineStr">
        <is>
          <t>General</t>
        </is>
      </c>
      <c r="E222" s="3" t="inlineStr">
        <is>
          <t>Relevant Communications</t>
        </is>
      </c>
      <c r="F222" s="3" t="inlineStr">
        <is>
          <t>email 13Mar24- information to site about alert pt.CZ100030004 from WK2_PI's answer 14Mar24</t>
        </is>
      </c>
      <c r="G222" s="2" t="str">
        <f>HYPERLINK("https://vtmf.veevavault.com/ui/#doc_info/25913578/3/0", "VTMF-20703124")</f>
        <v>VTMF-20703124</v>
      </c>
      <c r="H222" s="3" t="inlineStr">
        <is>
          <t/>
        </is>
      </c>
      <c r="I222" s="3" t="inlineStr">
        <is>
          <t>System</t>
        </is>
      </c>
      <c r="J222" s="3" t="inlineStr">
        <is>
          <t>Lenka Placha</t>
        </is>
      </c>
      <c r="K222" s="4" t="n">
        <v>45366.45042824074</v>
      </c>
      <c r="L222" s="5" t="n">
        <v>45366.0</v>
      </c>
      <c r="M222" s="3" t="inlineStr">
        <is>
          <t>Approved</t>
        </is>
      </c>
      <c r="N222" s="3" t="inlineStr">
        <is>
          <t>Available for Distribution, Country Close, Site Close, Study Close</t>
        </is>
      </c>
      <c r="O222" s="3" t="inlineStr">
        <is>
          <t>Czech Republic</t>
        </is>
      </c>
      <c r="P222" s="3" t="inlineStr">
        <is>
          <t>Z92-CZ10003</t>
        </is>
      </c>
      <c r="Q222" s="3" t="inlineStr">
        <is>
          <t>77242113UCO2001</t>
        </is>
      </c>
    </row>
    <row r="223">
      <c r="A223" s="2" t="str">
        <f>HYPERLINK("https://vtmf.veevavault.com/ui/#doc_info/25939627/1/0", "77242113UCO2001-CZE-Z92-CZ10003-Relevant Communications-17 Mar 2024 (v1.0)")</f>
        <v>77242113UCO2001-CZE-Z92-CZ10003-Relevant Communications-17 Mar 2024 (v1.0)</v>
      </c>
      <c r="B223" s="3" t="inlineStr">
        <is>
          <t>Lenka Placha</t>
        </is>
      </c>
      <c r="C223" s="3" t="inlineStr">
        <is>
          <t>Site Management</t>
        </is>
      </c>
      <c r="D223" s="3" t="inlineStr">
        <is>
          <t>General</t>
        </is>
      </c>
      <c r="E223" s="3" t="inlineStr">
        <is>
          <t>Relevant Communications</t>
        </is>
      </c>
      <c r="F223" s="3" t="inlineStr">
        <is>
          <t>email 17Mar24- pharmacists retraining for SIPPMv3_site Z92-CZ10003</t>
        </is>
      </c>
      <c r="G223" s="2" t="str">
        <f>HYPERLINK("https://vtmf.veevavault.com/ui/#doc_info/25939627/1/0", "VTMF-20726602")</f>
        <v>VTMF-20726602</v>
      </c>
      <c r="H223" s="3" t="inlineStr">
        <is>
          <t/>
        </is>
      </c>
      <c r="I223" s="3" t="inlineStr">
        <is>
          <t>System</t>
        </is>
      </c>
      <c r="J223" s="3" t="inlineStr">
        <is>
          <t>Lenka Placha</t>
        </is>
      </c>
      <c r="K223" s="4" t="n">
        <v>45368.46371527778</v>
      </c>
      <c r="L223" s="5" t="n">
        <v>45368.0</v>
      </c>
      <c r="M223" s="3" t="inlineStr">
        <is>
          <t>Approved</t>
        </is>
      </c>
      <c r="N223" s="3" t="inlineStr">
        <is>
          <t>Available for Distribution, Country Close, Site Close, Study Close</t>
        </is>
      </c>
      <c r="O223" s="3" t="inlineStr">
        <is>
          <t>Czech Republic</t>
        </is>
      </c>
      <c r="P223" s="3" t="inlineStr">
        <is>
          <t>Z92-CZ10003</t>
        </is>
      </c>
      <c r="Q223" s="3" t="inlineStr">
        <is>
          <t>77242113UCO2001</t>
        </is>
      </c>
    </row>
    <row r="224">
      <c r="A224" s="2" t="str">
        <f>HYPERLINK("https://vtmf.veevavault.com/ui/#doc_info/30067153/1/0", "77242113UCO2001-CZE-Z92-CZ10003-Relevant Communications-18 Sep 2025 (v1.0)")</f>
        <v>77242113UCO2001-CZE-Z92-CZ10003-Relevant Communications-18 Sep 2025 (v1.0)</v>
      </c>
      <c r="B224" s="3" t="inlineStr">
        <is>
          <t>Agnesa Ruiz Kajtarova</t>
        </is>
      </c>
      <c r="C224" s="3" t="inlineStr">
        <is>
          <t>Site Management</t>
        </is>
      </c>
      <c r="D224" s="3" t="inlineStr">
        <is>
          <t>General</t>
        </is>
      </c>
      <c r="E224" s="3" t="inlineStr">
        <is>
          <t>Relevant Communications</t>
        </is>
      </c>
      <c r="F224" s="3" t="inlineStr">
        <is>
          <t>Relevant Communication_New Lab Manual ver. 5.1_18Sep25</t>
        </is>
      </c>
      <c r="G224" s="2" t="str">
        <f>HYPERLINK("https://vtmf.veevavault.com/ui/#doc_info/30067153/1/0", "VTMF-24201287")</f>
        <v>VTMF-24201287</v>
      </c>
      <c r="H224" s="3" t="inlineStr">
        <is>
          <t/>
        </is>
      </c>
      <c r="I224" s="3" t="inlineStr">
        <is>
          <t>System</t>
        </is>
      </c>
      <c r="J224" s="3" t="inlineStr">
        <is>
          <t>Agnesa Ruiz Kajtarova</t>
        </is>
      </c>
      <c r="K224" s="4" t="n">
        <v>45930.71082175926</v>
      </c>
      <c r="L224" s="5" t="n">
        <v>45930.0</v>
      </c>
      <c r="M224" s="3" t="inlineStr">
        <is>
          <t>Approved</t>
        </is>
      </c>
      <c r="N224" s="3" t="inlineStr">
        <is>
          <t>Available for Distribution, Country Close, Site Close, Study Close</t>
        </is>
      </c>
      <c r="O224" s="3" t="inlineStr">
        <is>
          <t>Czech Republic</t>
        </is>
      </c>
      <c r="P224" s="3" t="inlineStr">
        <is>
          <t>Z92-CZ10003</t>
        </is>
      </c>
      <c r="Q224" s="3" t="inlineStr">
        <is>
          <t>77242113UCO2001</t>
        </is>
      </c>
    </row>
    <row r="225">
      <c r="A225" s="2" t="str">
        <f>HYPERLINK("https://vtmf.veevavault.com/ui/#doc_info/24104812/1/0", "77242113UCO2001-CZE-Z92-CZ10003-Relevant Communications-19 Dec 2023 (v1.0)")</f>
        <v>77242113UCO2001-CZE-Z92-CZ10003-Relevant Communications-19 Dec 2023 (v1.0)</v>
      </c>
      <c r="B225" s="3" t="inlineStr">
        <is>
          <t>EDL Admin</t>
        </is>
      </c>
      <c r="C225" s="3" t="inlineStr">
        <is>
          <t>Site Management</t>
        </is>
      </c>
      <c r="D225" s="3" t="inlineStr">
        <is>
          <t>General</t>
        </is>
      </c>
      <c r="E225" s="3" t="inlineStr">
        <is>
          <t>Relevant Communications</t>
        </is>
      </c>
      <c r="F225" s="3" t="inlineStr">
        <is>
          <t>19Dec23 email- PI information about PAM2 availability and the main changes</t>
        </is>
      </c>
      <c r="G225" s="2" t="str">
        <f>HYPERLINK("https://vtmf.veevavault.com/ui/#doc_info/24104812/1/0", "VTMF-19119433")</f>
        <v>VTMF-19119433</v>
      </c>
      <c r="H225" s="3" t="inlineStr">
        <is>
          <t/>
        </is>
      </c>
      <c r="I225" s="3" t="inlineStr">
        <is>
          <t>System</t>
        </is>
      </c>
      <c r="J225" s="3" t="inlineStr">
        <is>
          <t>Lenka Placha</t>
        </is>
      </c>
      <c r="K225" s="4" t="n">
        <v>45280.305300925924</v>
      </c>
      <c r="L225" s="5" t="n">
        <v>45280.0</v>
      </c>
      <c r="M225" s="3" t="inlineStr">
        <is>
          <t>Approved</t>
        </is>
      </c>
      <c r="N225" s="3" t="inlineStr">
        <is>
          <t>Available for Distribution, Country Close, Site Close, Study Close</t>
        </is>
      </c>
      <c r="O225" s="3" t="inlineStr">
        <is>
          <t>Czech Republic</t>
        </is>
      </c>
      <c r="P225" s="3" t="inlineStr">
        <is>
          <t>Z92-CZ10003</t>
        </is>
      </c>
      <c r="Q225" s="3" t="inlineStr">
        <is>
          <t>77242113UCO2001</t>
        </is>
      </c>
    </row>
    <row r="226">
      <c r="A226" s="2" t="str">
        <f>HYPERLINK("https://vtmf.veevavault.com/ui/#doc_info/25383776/1/0", "77242113UCO2001-CZE-Z92-CZ10003-Relevant Communications-20 Dec 2023 (v1.0)")</f>
        <v>77242113UCO2001-CZE-Z92-CZ10003-Relevant Communications-20 Dec 2023 (v1.0)</v>
      </c>
      <c r="B226" s="3" t="inlineStr">
        <is>
          <t>Lenka Placha</t>
        </is>
      </c>
      <c r="C226" s="3" t="inlineStr">
        <is>
          <t>Site Management</t>
        </is>
      </c>
      <c r="D226" s="3" t="inlineStr">
        <is>
          <t>General</t>
        </is>
      </c>
      <c r="E226" s="3" t="inlineStr">
        <is>
          <t>Relevant Communications</t>
        </is>
      </c>
      <c r="F226" s="3" t="inlineStr">
        <is>
          <t>email 20Dec23- completed recruitment retention plan sent to PI</t>
        </is>
      </c>
      <c r="G226" s="2" t="str">
        <f>HYPERLINK("https://vtmf.veevavault.com/ui/#doc_info/25383776/1/0", "VTMF-20237762")</f>
        <v>VTMF-20237762</v>
      </c>
      <c r="H226" s="3" t="inlineStr">
        <is>
          <t/>
        </is>
      </c>
      <c r="I226" s="3" t="inlineStr">
        <is>
          <t>System</t>
        </is>
      </c>
      <c r="J226" s="3" t="inlineStr">
        <is>
          <t>Lenka Placha</t>
        </is>
      </c>
      <c r="K226" s="4" t="n">
        <v>45280.73399305555</v>
      </c>
      <c r="L226" s="5" t="n">
        <v>45280.0</v>
      </c>
      <c r="M226" s="3" t="inlineStr">
        <is>
          <t>Approved</t>
        </is>
      </c>
      <c r="N226" s="3" t="inlineStr">
        <is>
          <t>Available for Distribution, Country Close, Site Close, Study Close</t>
        </is>
      </c>
      <c r="O226" s="3" t="inlineStr">
        <is>
          <t>Czech Republic</t>
        </is>
      </c>
      <c r="P226" s="3" t="inlineStr">
        <is>
          <t>Z92-CZ10003</t>
        </is>
      </c>
      <c r="Q226" s="3" t="inlineStr">
        <is>
          <t>77242113UCO2001</t>
        </is>
      </c>
    </row>
    <row r="227">
      <c r="A227" s="2" t="str">
        <f>HYPERLINK("https://vtmf.veevavault.com/ui/#doc_info/26242058/1/0", "77242113UCO2001-CZE-Z92-CZ10003-Relevant Communications-21 Dec 2023 (v1.0)")</f>
        <v>77242113UCO2001-CZE-Z92-CZ10003-Relevant Communications-21 Dec 2023 (v1.0)</v>
      </c>
      <c r="B227" s="3" t="inlineStr">
        <is>
          <t>Lenka Placha</t>
        </is>
      </c>
      <c r="C227" s="3" t="inlineStr">
        <is>
          <t>Site Management</t>
        </is>
      </c>
      <c r="D227" s="3" t="inlineStr">
        <is>
          <t>General</t>
        </is>
      </c>
      <c r="E227" s="3" t="inlineStr">
        <is>
          <t>Relevant Communications</t>
        </is>
      </c>
      <c r="F227" s="3" t="inlineStr">
        <is>
          <t>email 21Dec23- information for courier arrangement</t>
        </is>
      </c>
      <c r="G227" s="2" t="str">
        <f>HYPERLINK("https://vtmf.veevavault.com/ui/#doc_info/26242058/1/0", "VTMF-20991381")</f>
        <v>VTMF-20991381</v>
      </c>
      <c r="H227" s="3" t="inlineStr">
        <is>
          <t/>
        </is>
      </c>
      <c r="I227" s="3" t="inlineStr">
        <is>
          <t>System</t>
        </is>
      </c>
      <c r="J227" s="3" t="inlineStr">
        <is>
          <t>Lenka Placha</t>
        </is>
      </c>
      <c r="K227" s="4" t="n">
        <v>45413.524502314816</v>
      </c>
      <c r="L227" s="5" t="n">
        <v>45413.0</v>
      </c>
      <c r="M227" s="3" t="inlineStr">
        <is>
          <t>Approved</t>
        </is>
      </c>
      <c r="N227" s="3" t="inlineStr">
        <is>
          <t>Available for Distribution, Country Close, Site Close, Study Close</t>
        </is>
      </c>
      <c r="O227" s="3" t="inlineStr">
        <is>
          <t>Czech Republic</t>
        </is>
      </c>
      <c r="P227" s="3" t="inlineStr">
        <is>
          <t>Z92-CZ10003</t>
        </is>
      </c>
      <c r="Q227" s="3" t="inlineStr">
        <is>
          <t>77242113UCO2001</t>
        </is>
      </c>
    </row>
    <row r="228">
      <c r="A228" s="2" t="str">
        <f>HYPERLINK("https://vtmf.veevavault.com/ui/#doc_info/26684936/1/0", "77242113UCO2001-CZE-Z92-CZ10003-Relevant Communications-21 Jun 2024 (v1.0)")</f>
        <v>77242113UCO2001-CZE-Z92-CZ10003-Relevant Communications-21 Jun 2024 (v1.0)</v>
      </c>
      <c r="B228" s="3" t="inlineStr">
        <is>
          <t>Lenka Placha</t>
        </is>
      </c>
      <c r="C228" s="3" t="inlineStr">
        <is>
          <t>Site Management</t>
        </is>
      </c>
      <c r="D228" s="3" t="inlineStr">
        <is>
          <t>General</t>
        </is>
      </c>
      <c r="E228" s="3" t="inlineStr">
        <is>
          <t>Relevant Communications</t>
        </is>
      </c>
      <c r="F228" s="3" t="inlineStr">
        <is>
          <t>email 21Jun24- issue with deep freezer- not recorded temperatures to USB drive</t>
        </is>
      </c>
      <c r="G228" s="2" t="str">
        <f>HYPERLINK("https://vtmf.veevavault.com/ui/#doc_info/26684936/1/0", "VTMF-21379380")</f>
        <v>VTMF-21379380</v>
      </c>
      <c r="H228" s="3" t="inlineStr">
        <is>
          <t/>
        </is>
      </c>
      <c r="I228" s="3" t="inlineStr">
        <is>
          <t>System</t>
        </is>
      </c>
      <c r="J228" s="3" t="inlineStr">
        <is>
          <t>Lenka Placha</t>
        </is>
      </c>
      <c r="K228" s="4" t="n">
        <v>45483.79924768519</v>
      </c>
      <c r="L228" s="5" t="n">
        <v>45483.0</v>
      </c>
      <c r="M228" s="3" t="inlineStr">
        <is>
          <t>Approved</t>
        </is>
      </c>
      <c r="N228" s="3" t="inlineStr">
        <is>
          <t>Available for Distribution, Country Close, Site Close, Study Close</t>
        </is>
      </c>
      <c r="O228" s="3" t="inlineStr">
        <is>
          <t>Czech Republic</t>
        </is>
      </c>
      <c r="P228" s="3" t="inlineStr">
        <is>
          <t>Z92-CZ10003</t>
        </is>
      </c>
      <c r="Q228" s="3" t="inlineStr">
        <is>
          <t>77242113UCO2001</t>
        </is>
      </c>
    </row>
    <row r="229">
      <c r="A229" s="2" t="str">
        <f>HYPERLINK("https://vtmf.veevavault.com/ui/#doc_info/26373013/1/0", "77242113UCO2001-CZE-Z92-CZ10003-Relevant Communications-22 May 2024 (v1.0)")</f>
        <v>77242113UCO2001-CZE-Z92-CZ10003-Relevant Communications-22 May 2024 (v1.0)</v>
      </c>
      <c r="B229" s="3" t="inlineStr">
        <is>
          <t>Vladimir Buzalka</t>
        </is>
      </c>
      <c r="C229" s="3" t="inlineStr">
        <is>
          <t>Site Management</t>
        </is>
      </c>
      <c r="D229" s="3" t="inlineStr">
        <is>
          <t>General</t>
        </is>
      </c>
      <c r="E229" s="3" t="inlineStr">
        <is>
          <t>Relevant Communications</t>
        </is>
      </c>
      <c r="F229" s="3" t="inlineStr">
        <is>
          <t>Principal Investigator (PI) Serious Breach reporting responsibilities under EU CTR notification; 22MAY2024</t>
        </is>
      </c>
      <c r="G229" s="2" t="str">
        <f>HYPERLINK("https://vtmf.veevavault.com/ui/#doc_info/26373013/1/0", "VTMF-21105602")</f>
        <v>VTMF-21105602</v>
      </c>
      <c r="H229" s="3" t="inlineStr">
        <is>
          <t/>
        </is>
      </c>
      <c r="I229" s="3" t="inlineStr">
        <is>
          <t>System</t>
        </is>
      </c>
      <c r="J229" s="3" t="inlineStr">
        <is>
          <t>Vladimir Buzalka</t>
        </is>
      </c>
      <c r="K229" s="4" t="n">
        <v>45434.49275462963</v>
      </c>
      <c r="L229" s="5" t="n">
        <v>45434.0</v>
      </c>
      <c r="M229" s="3" t="inlineStr">
        <is>
          <t>Approved</t>
        </is>
      </c>
      <c r="N229" s="3" t="inlineStr">
        <is>
          <t>Available for Distribution, Country Close, Site Close, Study Close</t>
        </is>
      </c>
      <c r="O229" s="3" t="inlineStr">
        <is>
          <t>Czech Republic</t>
        </is>
      </c>
      <c r="P229" s="3" t="inlineStr">
        <is>
          <t>Z92-CZ10003</t>
        </is>
      </c>
      <c r="Q229" s="3" t="inlineStr">
        <is>
          <t>77242113UCO2001</t>
        </is>
      </c>
    </row>
    <row r="230">
      <c r="A230" s="2" t="str">
        <f>HYPERLINK("https://vtmf.veevavault.com/ui/#doc_info/26376426/1/0", "77242113UCO2001-CZE-Z92-CZ10003-Relevant Communications-22 May 2024 (v1.0)")</f>
        <v>77242113UCO2001-CZE-Z92-CZ10003-Relevant Communications-22 May 2024 (v1.0)</v>
      </c>
      <c r="B230" s="3" t="inlineStr">
        <is>
          <t>Lenka Placha</t>
        </is>
      </c>
      <c r="C230" s="3" t="inlineStr">
        <is>
          <t>Site Management</t>
        </is>
      </c>
      <c r="D230" s="3" t="inlineStr">
        <is>
          <t>General</t>
        </is>
      </c>
      <c r="E230" s="3" t="inlineStr">
        <is>
          <t>Relevant Communications</t>
        </is>
      </c>
      <c r="F230" s="3" t="inlineStr">
        <is>
          <t>email 22May24- site confirmed that they are able to read CDs_site Z92-CZ10003</t>
        </is>
      </c>
      <c r="G230" s="2" t="str">
        <f>HYPERLINK("https://vtmf.veevavault.com/ui/#doc_info/26376426/1/0", "VTMF-21108540")</f>
        <v>VTMF-21108540</v>
      </c>
      <c r="H230" s="3" t="inlineStr">
        <is>
          <t/>
        </is>
      </c>
      <c r="I230" s="3" t="inlineStr">
        <is>
          <t>Lenka Placha</t>
        </is>
      </c>
      <c r="J230" s="3" t="inlineStr">
        <is>
          <t>Lenka Placha</t>
        </is>
      </c>
      <c r="K230" s="4" t="n">
        <v>45434.81548611111</v>
      </c>
      <c r="L230" s="5" t="n">
        <v>45434.0</v>
      </c>
      <c r="M230" s="3" t="inlineStr">
        <is>
          <t>Approved</t>
        </is>
      </c>
      <c r="N230" s="3" t="inlineStr">
        <is>
          <t>Available for Distribution, Country Close, Site Close, Study Close</t>
        </is>
      </c>
      <c r="O230" s="3" t="inlineStr">
        <is>
          <t>Czech Republic</t>
        </is>
      </c>
      <c r="P230" s="3" t="inlineStr">
        <is>
          <t>Z92-CZ10003</t>
        </is>
      </c>
      <c r="Q230" s="3" t="inlineStr">
        <is>
          <t>77242113UCO2001</t>
        </is>
      </c>
    </row>
    <row r="231">
      <c r="A231" s="2" t="str">
        <f>HYPERLINK("https://vtmf.veevavault.com/ui/#doc_info/26404969/1/0", "77242113UCO2001-CZE-Z92-CZ10003-Relevant Communications-23 May 2024 (v1.0)")</f>
        <v>77242113UCO2001-CZE-Z92-CZ10003-Relevant Communications-23 May 2024 (v1.0)</v>
      </c>
      <c r="B231" s="3" t="inlineStr">
        <is>
          <t>Vladimir Buzalka</t>
        </is>
      </c>
      <c r="C231" s="3" t="inlineStr">
        <is>
          <t>Site Management</t>
        </is>
      </c>
      <c r="D231" s="3" t="inlineStr">
        <is>
          <t>General</t>
        </is>
      </c>
      <c r="E231" s="3" t="inlineStr">
        <is>
          <t>Relevant Communications</t>
        </is>
      </c>
      <c r="F231" s="3" t="inlineStr">
        <is>
          <t>Principal Investigator (PI) Serious Breach reporting responsibilities under EU CTR_ Publish Date_ 10 May 2024; 23MAY2024</t>
        </is>
      </c>
      <c r="G231" s="2" t="str">
        <f>HYPERLINK("https://vtmf.veevavault.com/ui/#doc_info/26404969/1/0", "VTMF-21133411")</f>
        <v>VTMF-21133411</v>
      </c>
      <c r="H231" s="3" t="inlineStr">
        <is>
          <t/>
        </is>
      </c>
      <c r="I231" s="3" t="inlineStr">
        <is>
          <t>System</t>
        </is>
      </c>
      <c r="J231" s="3" t="inlineStr">
        <is>
          <t>Vladimir Buzalka</t>
        </is>
      </c>
      <c r="K231" s="4" t="n">
        <v>45440.42224537037</v>
      </c>
      <c r="L231" s="5" t="n">
        <v>45440.0</v>
      </c>
      <c r="M231" s="3" t="inlineStr">
        <is>
          <t>Approved</t>
        </is>
      </c>
      <c r="N231" s="3" t="inlineStr">
        <is>
          <t>Available for Distribution, Country Close, Site Close, Study Close</t>
        </is>
      </c>
      <c r="O231" s="3" t="inlineStr">
        <is>
          <t>Czech Republic</t>
        </is>
      </c>
      <c r="P231" s="3" t="inlineStr">
        <is>
          <t>Z92-CZ10003</t>
        </is>
      </c>
      <c r="Q231" s="3" t="inlineStr">
        <is>
          <t>77242113UCO2001</t>
        </is>
      </c>
    </row>
    <row r="232">
      <c r="A232" s="2" t="str">
        <f>HYPERLINK("https://vtmf.veevavault.com/ui/#doc_info/27407187/1/0", "77242113UCO2001-CZE-Z92-CZ10003-Relevant Communications-23 Oct 2024 (v1.0)")</f>
        <v>77242113UCO2001-CZE-Z92-CZ10003-Relevant Communications-23 Oct 2024 (v1.0)</v>
      </c>
      <c r="B232" s="3" t="inlineStr">
        <is>
          <t>Lenka Placha</t>
        </is>
      </c>
      <c r="C232" s="3" t="inlineStr">
        <is>
          <t>IP and Trial Supplies</t>
        </is>
      </c>
      <c r="D232" s="3" t="inlineStr">
        <is>
          <t>General</t>
        </is>
      </c>
      <c r="E232" s="3" t="inlineStr">
        <is>
          <t>Relevant Communications</t>
        </is>
      </c>
      <c r="F232" s="3" t="inlineStr">
        <is>
          <t>email _23Oct24_site_Z92-CZ10003_notification to pharmacy- setting the process when Alloga takes the box to be destroyed</t>
        </is>
      </c>
      <c r="G232" s="2" t="str">
        <f>HYPERLINK("https://vtmf.veevavault.com/ui/#doc_info/27407187/1/0", "VTMF-21984839")</f>
        <v>VTMF-21984839</v>
      </c>
      <c r="H232" s="3" t="inlineStr">
        <is>
          <t/>
        </is>
      </c>
      <c r="I232" s="3" t="inlineStr">
        <is>
          <t>System</t>
        </is>
      </c>
      <c r="J232" s="3" t="inlineStr">
        <is>
          <t>Lenka Placha</t>
        </is>
      </c>
      <c r="K232" s="4" t="n">
        <v>45600.7059375</v>
      </c>
      <c r="L232" s="5" t="n">
        <v>45600.0</v>
      </c>
      <c r="M232" s="3" t="inlineStr">
        <is>
          <t>Approved</t>
        </is>
      </c>
      <c r="N232" s="3" t="inlineStr">
        <is>
          <t>Country Close, Site Close, Study Close</t>
        </is>
      </c>
      <c r="O232" s="3" t="inlineStr">
        <is>
          <t>Czech Republic</t>
        </is>
      </c>
      <c r="P232" s="3" t="inlineStr">
        <is>
          <t>Z92-CZ10003</t>
        </is>
      </c>
      <c r="Q232" s="3" t="inlineStr">
        <is>
          <t>77242113UCO2001</t>
        </is>
      </c>
    </row>
    <row r="233">
      <c r="A233" s="2" t="str">
        <f>HYPERLINK("https://vtmf.veevavault.com/ui/#doc_info/26391879/1/0", "77242113UCO2001-CZE-Z92-CZ10003-Relevant Communications-24 May 2024 (v1.0)")</f>
        <v>77242113UCO2001-CZE-Z92-CZ10003-Relevant Communications-24 May 2024 (v1.0)</v>
      </c>
      <c r="B233" s="3" t="inlineStr">
        <is>
          <t>Lenka Placha</t>
        </is>
      </c>
      <c r="C233" s="3" t="inlineStr">
        <is>
          <t>Site Management</t>
        </is>
      </c>
      <c r="D233" s="3" t="inlineStr">
        <is>
          <t>General</t>
        </is>
      </c>
      <c r="E233" s="3" t="inlineStr">
        <is>
          <t>Relevant Communications</t>
        </is>
      </c>
      <c r="F233" s="3" t="inlineStr">
        <is>
          <t>email 24May24- pharmacy confirmed that they are able to read CDs_site Z92-CZ10003</t>
        </is>
      </c>
      <c r="G233" s="2" t="str">
        <f>HYPERLINK("https://vtmf.veevavault.com/ui/#doc_info/26391879/1/0", "VTMF-21122035")</f>
        <v>VTMF-21122035</v>
      </c>
      <c r="H233" s="3" t="inlineStr">
        <is>
          <t/>
        </is>
      </c>
      <c r="I233" s="3" t="inlineStr">
        <is>
          <t>System</t>
        </is>
      </c>
      <c r="J233" s="3" t="inlineStr">
        <is>
          <t>Lenka Placha</t>
        </is>
      </c>
      <c r="K233" s="4" t="n">
        <v>45436.61732638889</v>
      </c>
      <c r="L233" s="5" t="n">
        <v>45436.0</v>
      </c>
      <c r="M233" s="3" t="inlineStr">
        <is>
          <t>Approved</t>
        </is>
      </c>
      <c r="N233" s="3" t="inlineStr">
        <is>
          <t>Available for Distribution, Country Close, Site Close, Study Close</t>
        </is>
      </c>
      <c r="O233" s="3" t="inlineStr">
        <is>
          <t>Czech Republic</t>
        </is>
      </c>
      <c r="P233" s="3" t="inlineStr">
        <is>
          <t>Z92-CZ10003</t>
        </is>
      </c>
      <c r="Q233" s="3" t="inlineStr">
        <is>
          <t>77242113UCO2001</t>
        </is>
      </c>
    </row>
    <row r="234">
      <c r="A234" s="2" t="str">
        <f>HYPERLINK("https://vtmf.veevavault.com/ui/#doc_info/27133904/1/0", "77242113UCO2001-CZE-Z92-CZ10003-Relevant Communications-24 Sep 2024 (v1.0)")</f>
        <v>77242113UCO2001-CZE-Z92-CZ10003-Relevant Communications-24 Sep 2024 (v1.0)</v>
      </c>
      <c r="B234" s="3" t="inlineStr">
        <is>
          <t>Lenka Placha</t>
        </is>
      </c>
      <c r="C234" s="3" t="inlineStr">
        <is>
          <t>Site Management</t>
        </is>
      </c>
      <c r="D234" s="3" t="inlineStr">
        <is>
          <t>General</t>
        </is>
      </c>
      <c r="E234" s="3" t="inlineStr">
        <is>
          <t>Relevant Communications</t>
        </is>
      </c>
      <c r="F234" s="3" t="inlineStr">
        <is>
          <t>email 24Sep24-information to SRP-pt.CZ100030004 WBC finding-next plan</t>
        </is>
      </c>
      <c r="G234" s="2" t="str">
        <f>HYPERLINK("https://vtmf.veevavault.com/ui/#doc_info/27133904/1/0", "VTMF-21752863")</f>
        <v>VTMF-21752863</v>
      </c>
      <c r="H234" s="3" t="inlineStr">
        <is>
          <t/>
        </is>
      </c>
      <c r="I234" s="3" t="inlineStr">
        <is>
          <t>System</t>
        </is>
      </c>
      <c r="J234" s="3" t="inlineStr">
        <is>
          <t>Lenka Placha</t>
        </is>
      </c>
      <c r="K234" s="4" t="n">
        <v>45559.825740740744</v>
      </c>
      <c r="L234" s="5" t="n">
        <v>45559.0</v>
      </c>
      <c r="M234" s="3" t="inlineStr">
        <is>
          <t>Approved</t>
        </is>
      </c>
      <c r="N234" s="3" t="inlineStr">
        <is>
          <t>Available for Distribution, Country Close, Site Close, Study Close</t>
        </is>
      </c>
      <c r="O234" s="3" t="inlineStr">
        <is>
          <t>Czech Republic</t>
        </is>
      </c>
      <c r="P234" s="3" t="inlineStr">
        <is>
          <t>Z92-CZ10003</t>
        </is>
      </c>
      <c r="Q234" s="3" t="inlineStr">
        <is>
          <t>77242113UCO2001</t>
        </is>
      </c>
    </row>
    <row r="235">
      <c r="A235" s="2" t="str">
        <f>HYPERLINK("https://vtmf.veevavault.com/ui/#doc_info/28736609/1/0", "77242113UCO2001-CZE-Z92-CZ10003-Relevant Communications-25 Mar 2025 (v1.0)")</f>
        <v>77242113UCO2001-CZE-Z92-CZ10003-Relevant Communications-25 Mar 2025 (v1.0)</v>
      </c>
      <c r="B235" s="3" t="inlineStr">
        <is>
          <t>Lenka Placha</t>
        </is>
      </c>
      <c r="C235" s="3" t="inlineStr">
        <is>
          <t>Site Management</t>
        </is>
      </c>
      <c r="D235" s="3" t="inlineStr">
        <is>
          <t>General</t>
        </is>
      </c>
      <c r="E235" s="3" t="inlineStr">
        <is>
          <t>Relevant Communications</t>
        </is>
      </c>
      <c r="F235" s="3" t="inlineStr">
        <is>
          <t>email 25Mar25- SM sent to site updated Safety data sheet, PQR and TOR instruction_site Z92-CZ10003</t>
        </is>
      </c>
      <c r="G235" s="2" t="str">
        <f>HYPERLINK("https://vtmf.veevavault.com/ui/#doc_info/28736609/1/0", "VTMF-23086458")</f>
        <v>VTMF-23086458</v>
      </c>
      <c r="H235" s="3" t="inlineStr">
        <is>
          <t/>
        </is>
      </c>
      <c r="I235" s="3" t="inlineStr">
        <is>
          <t>System</t>
        </is>
      </c>
      <c r="J235" s="3" t="inlineStr">
        <is>
          <t>Lenka Placha</t>
        </is>
      </c>
      <c r="K235" s="4" t="n">
        <v>45741.566041666665</v>
      </c>
      <c r="L235" s="5" t="n">
        <v>45741.0</v>
      </c>
      <c r="M235" s="3" t="inlineStr">
        <is>
          <t>Approved</t>
        </is>
      </c>
      <c r="N235" s="3" t="inlineStr">
        <is>
          <t>Available for Distribution, Country Close, Site Close, Study Close</t>
        </is>
      </c>
      <c r="O235" s="3" t="inlineStr">
        <is>
          <t>Czech Republic</t>
        </is>
      </c>
      <c r="P235" s="3" t="inlineStr">
        <is>
          <t>Z92-CZ10003</t>
        </is>
      </c>
      <c r="Q235" s="3" t="inlineStr">
        <is>
          <t>77242113UCO2001</t>
        </is>
      </c>
    </row>
    <row r="236">
      <c r="A236" s="2" t="str">
        <f>HYPERLINK("https://vtmf.veevavault.com/ui/#doc_info/29839065/1/0", "77242113UCO2001-CZE-Z92-CZ10003-Relevant Communications-26 Aug 2025 (v1.0)")</f>
        <v>77242113UCO2001-CZE-Z92-CZ10003-Relevant Communications-26 Aug 2025 (v1.0)</v>
      </c>
      <c r="B236" s="3" t="inlineStr">
        <is>
          <t>Agnesa Ruiz Kajtarova</t>
        </is>
      </c>
      <c r="C236" s="3" t="inlineStr">
        <is>
          <t>Site Management</t>
        </is>
      </c>
      <c r="D236" s="3" t="inlineStr">
        <is>
          <t>General</t>
        </is>
      </c>
      <c r="E236" s="3" t="inlineStr">
        <is>
          <t>Relevant Communications</t>
        </is>
      </c>
      <c r="F236" s="3" t="inlineStr">
        <is>
          <t>Relevant Communications-New Site Monitor-26-AUG-2025</t>
        </is>
      </c>
      <c r="G236" s="2" t="str">
        <f>HYPERLINK("https://vtmf.veevavault.com/ui/#doc_info/29839065/1/0", "VTMF-24015190")</f>
        <v>VTMF-24015190</v>
      </c>
      <c r="H236" s="3" t="inlineStr">
        <is>
          <t/>
        </is>
      </c>
      <c r="I236" s="3" t="inlineStr">
        <is>
          <t>System</t>
        </is>
      </c>
      <c r="J236" s="3" t="inlineStr">
        <is>
          <t>Agnesa Ruiz Kajtarova</t>
        </is>
      </c>
      <c r="K236" s="4" t="n">
        <v>45896.60400462963</v>
      </c>
      <c r="L236" s="5" t="n">
        <v>45896.0</v>
      </c>
      <c r="M236" s="3" t="inlineStr">
        <is>
          <t>Approved</t>
        </is>
      </c>
      <c r="N236" s="3" t="inlineStr">
        <is>
          <t>Available for Distribution, Country Close, Site Close, Study Close</t>
        </is>
      </c>
      <c r="O236" s="3" t="inlineStr">
        <is>
          <t>Czech Republic</t>
        </is>
      </c>
      <c r="P236" s="3" t="inlineStr">
        <is>
          <t>Z92-CZ10003</t>
        </is>
      </c>
      <c r="Q236" s="3" t="inlineStr">
        <is>
          <t>77242113UCO2001</t>
        </is>
      </c>
    </row>
    <row r="237">
      <c r="A237" s="2" t="str">
        <f>HYPERLINK("https://vtmf.veevavault.com/ui/#doc_info/25600049/1/0", "77242113UCO2001-CZE-Z92-CZ10003-Relevant Communications-29 Jan 2024 (v1.0)")</f>
        <v>77242113UCO2001-CZE-Z92-CZ10003-Relevant Communications-29 Jan 2024 (v1.0)</v>
      </c>
      <c r="B237" s="3" t="inlineStr">
        <is>
          <t>Lenka Placha</t>
        </is>
      </c>
      <c r="C237" s="3" t="inlineStr">
        <is>
          <t>Site Management</t>
        </is>
      </c>
      <c r="D237" s="3" t="inlineStr">
        <is>
          <t>General</t>
        </is>
      </c>
      <c r="E237" s="3" t="inlineStr">
        <is>
          <t>Relevant Communications</t>
        </is>
      </c>
      <c r="F237" s="3" t="inlineStr">
        <is>
          <t>email 29Jan24_site Z92-CZ10003- important information to PI about pharmacokinetics and using spare IP tbl</t>
        </is>
      </c>
      <c r="G237" s="2" t="str">
        <f>HYPERLINK("https://vtmf.veevavault.com/ui/#doc_info/25600049/1/0", "VTMF-20426788")</f>
        <v>VTMF-20426788</v>
      </c>
      <c r="H237" s="3" t="inlineStr">
        <is>
          <t/>
        </is>
      </c>
      <c r="I237" s="3" t="inlineStr">
        <is>
          <t>System</t>
        </is>
      </c>
      <c r="J237" s="3" t="inlineStr">
        <is>
          <t>Lenka Placha</t>
        </is>
      </c>
      <c r="K237" s="4" t="n">
        <v>45320.98563657407</v>
      </c>
      <c r="L237" s="5" t="n">
        <v>45320.0</v>
      </c>
      <c r="M237" s="3" t="inlineStr">
        <is>
          <t>Approved</t>
        </is>
      </c>
      <c r="N237" s="3" t="inlineStr">
        <is>
          <t>Available for Distribution, Country Close, Site Close, Study Close</t>
        </is>
      </c>
      <c r="O237" s="3" t="inlineStr">
        <is>
          <t>Czech Republic</t>
        </is>
      </c>
      <c r="P237" s="3" t="inlineStr">
        <is>
          <t>Z92-CZ10003</t>
        </is>
      </c>
      <c r="Q237" s="3" t="inlineStr">
        <is>
          <t>77242113UCO2001</t>
        </is>
      </c>
    </row>
    <row r="238">
      <c r="A238" s="2" t="str">
        <f>HYPERLINK("https://vtmf.veevavault.com/ui/#doc_info/26470919/1/0", "77242113UCO2001-CZE-Z92-CZ10003-Relevant Communications-30 May 2024 (v1.0)")</f>
        <v>77242113UCO2001-CZE-Z92-CZ10003-Relevant Communications-30 May 2024 (v1.0)</v>
      </c>
      <c r="B238" s="3" t="inlineStr">
        <is>
          <t>Lenka Placha</t>
        </is>
      </c>
      <c r="C238" s="3" t="inlineStr">
        <is>
          <t>Site Management</t>
        </is>
      </c>
      <c r="D238" s="3" t="inlineStr">
        <is>
          <t>General</t>
        </is>
      </c>
      <c r="E238" s="3" t="inlineStr">
        <is>
          <t>Relevant Communications</t>
        </is>
      </c>
      <c r="F238" s="3" t="inlineStr">
        <is>
          <t>Cover letter_ICF-CZ-3 dat. 25Jan2024_site Z92-CZ10003 -30May2024</t>
        </is>
      </c>
      <c r="G238" s="2" t="str">
        <f>HYPERLINK("https://vtmf.veevavault.com/ui/#doc_info/26470919/1/0", "VTMF-21191673")</f>
        <v>VTMF-21191673</v>
      </c>
      <c r="H238" s="3" t="inlineStr">
        <is>
          <t/>
        </is>
      </c>
      <c r="I238" s="3" t="inlineStr">
        <is>
          <t>System</t>
        </is>
      </c>
      <c r="J238" s="3" t="inlineStr">
        <is>
          <t>Lenka Placha</t>
        </is>
      </c>
      <c r="K238" s="4" t="n">
        <v>45449.728541666664</v>
      </c>
      <c r="L238" s="5" t="n">
        <v>45449.0</v>
      </c>
      <c r="M238" s="3" t="inlineStr">
        <is>
          <t>Approved</t>
        </is>
      </c>
      <c r="N238" s="3" t="inlineStr">
        <is>
          <t>Available for Distribution, Country Close, Site Close, Study Close</t>
        </is>
      </c>
      <c r="O238" s="3" t="inlineStr">
        <is>
          <t>Czech Republic</t>
        </is>
      </c>
      <c r="P238" s="3" t="inlineStr">
        <is>
          <t>Z92-CZ10003</t>
        </is>
      </c>
      <c r="Q238" s="3" t="inlineStr">
        <is>
          <t>77242113UCO2001</t>
        </is>
      </c>
    </row>
    <row r="239">
      <c r="A239" s="2" t="str">
        <f>HYPERLINK("https://vtmf.veevavault.com/ui/#doc_info/25376034/1/0", "77242113UCO2001-CZE-Z92-CZ10003-RTSM System Faxes or RTSM System Emails-19 Dec 2023 (v1.0)")</f>
        <v>77242113UCO2001-CZE-Z92-CZ10003-RTSM System Faxes or RTSM System Emails-19 Dec 2023 (v1.0)</v>
      </c>
      <c r="B239" s="3" t="inlineStr">
        <is>
          <t>Lenka Placha</t>
        </is>
      </c>
      <c r="C239" s="3" t="inlineStr">
        <is>
          <t>IP and Trial Supplies</t>
        </is>
      </c>
      <c r="D239" s="3" t="inlineStr">
        <is>
          <t>Interactive Response Technology</t>
        </is>
      </c>
      <c r="E239" s="3" t="inlineStr">
        <is>
          <t>RTSM System Faxes or RTSM System Emails</t>
        </is>
      </c>
      <c r="F239" s="3" t="inlineStr">
        <is>
          <t>IWRS email- site activation-19Dec23</t>
        </is>
      </c>
      <c r="G239" s="2" t="str">
        <f>HYPERLINK("https://vtmf.veevavault.com/ui/#doc_info/25376034/1/0", "VTMF-20231086")</f>
        <v>VTMF-20231086</v>
      </c>
      <c r="H239" s="3" t="inlineStr">
        <is>
          <t/>
        </is>
      </c>
      <c r="I239" s="3" t="inlineStr">
        <is>
          <t>Anthony Suarez (veeva.com)</t>
        </is>
      </c>
      <c r="J239" s="3" t="inlineStr">
        <is>
          <t>Lenka Placha</t>
        </is>
      </c>
      <c r="K239" s="4" t="n">
        <v>45279.884421296294</v>
      </c>
      <c r="L239" s="5" t="n">
        <v>45279.0</v>
      </c>
      <c r="M239" s="3" t="inlineStr">
        <is>
          <t>Approved</t>
        </is>
      </c>
      <c r="N239" s="3" t="inlineStr">
        <is>
          <t>Not associated to a milestone</t>
        </is>
      </c>
      <c r="O239" s="3" t="inlineStr">
        <is>
          <t>Czech Republic</t>
        </is>
      </c>
      <c r="P239" s="3" t="inlineStr">
        <is>
          <t>Z92-CZ10003</t>
        </is>
      </c>
      <c r="Q239" s="3" t="inlineStr">
        <is>
          <t>77242113UCO2001</t>
        </is>
      </c>
    </row>
    <row r="240">
      <c r="A240" s="2" t="str">
        <f>HYPERLINK("https://vtmf.veevavault.com/ui/#doc_info/31327717/1/0", "77242113UCO2001-CZE-Z92-CZ10003-Shipment Records-12 Mar 2026 (v1.0)")</f>
        <v>77242113UCO2001-CZE-Z92-CZ10003-Shipment Records-12 Mar 2026 (v1.0)</v>
      </c>
      <c r="B240" s="3" t="inlineStr">
        <is>
          <t>Bela Lukavcová</t>
        </is>
      </c>
      <c r="C240" s="3" t="inlineStr">
        <is>
          <t>Centralized Testing</t>
        </is>
      </c>
      <c r="D240" s="3" t="inlineStr">
        <is>
          <t>Sample Documentation</t>
        </is>
      </c>
      <c r="E240" s="3" t="inlineStr">
        <is>
          <t>Shipment Records</t>
        </is>
      </c>
      <c r="F240" s="3" t="inlineStr">
        <is>
          <t>Biological Sample Storage and Shipment Form_CZ100030005_-20/-40 °C</t>
        </is>
      </c>
      <c r="G240" s="2" t="str">
        <f>HYPERLINK("https://vtmf.veevavault.com/ui/#doc_info/31327717/1/0", "VTMF-25264456")</f>
        <v>VTMF-25264456</v>
      </c>
      <c r="H240" s="3" t="inlineStr">
        <is>
          <t/>
        </is>
      </c>
      <c r="I240" s="3" t="inlineStr">
        <is>
          <t>System</t>
        </is>
      </c>
      <c r="J240" s="3" t="inlineStr">
        <is>
          <t>Bela Lukavcová</t>
        </is>
      </c>
      <c r="K240" s="4" t="n">
        <v>46114.39734953704</v>
      </c>
      <c r="L240" s="5" t="n">
        <v>46114.0</v>
      </c>
      <c r="M240" s="3" t="inlineStr">
        <is>
          <t>Approved</t>
        </is>
      </c>
      <c r="N240" s="3" t="inlineStr">
        <is>
          <t>Study Start</t>
        </is>
      </c>
      <c r="O240" s="3" t="inlineStr">
        <is>
          <t>Czech Republic</t>
        </is>
      </c>
      <c r="P240" s="3" t="inlineStr">
        <is>
          <t>Z92-CZ10003</t>
        </is>
      </c>
      <c r="Q240" s="3" t="inlineStr">
        <is>
          <t>77242113UCO2001</t>
        </is>
      </c>
    </row>
    <row r="241">
      <c r="A241" s="2" t="str">
        <f>HYPERLINK("https://vtmf.veevavault.com/ui/#doc_info/31327724/1/0", "77242113UCO2001-CZE-Z92-CZ10003-Shipment Records-12 Mar 2026 (v1.0)")</f>
        <v>77242113UCO2001-CZE-Z92-CZ10003-Shipment Records-12 Mar 2026 (v1.0)</v>
      </c>
      <c r="B241" s="3" t="inlineStr">
        <is>
          <t>Bela Lukavcová</t>
        </is>
      </c>
      <c r="C241" s="3" t="inlineStr">
        <is>
          <t>Centralized Testing</t>
        </is>
      </c>
      <c r="D241" s="3" t="inlineStr">
        <is>
          <t>Sample Documentation</t>
        </is>
      </c>
      <c r="E241" s="3" t="inlineStr">
        <is>
          <t>Shipment Records</t>
        </is>
      </c>
      <c r="F241" s="3" t="inlineStr">
        <is>
          <t>Biological Sample Storage and Shipment Form_CZ100030005_-70/-80 °C</t>
        </is>
      </c>
      <c r="G241" s="2" t="str">
        <f>HYPERLINK("https://vtmf.veevavault.com/ui/#doc_info/31327724/1/0", "VTMF-25264467")</f>
        <v>VTMF-25264467</v>
      </c>
      <c r="H241" s="3" t="inlineStr">
        <is>
          <t/>
        </is>
      </c>
      <c r="I241" s="3" t="inlineStr">
        <is>
          <t>System</t>
        </is>
      </c>
      <c r="J241" s="3" t="inlineStr">
        <is>
          <t>Bela Lukavcová</t>
        </is>
      </c>
      <c r="K241" s="4" t="n">
        <v>46114.399930555555</v>
      </c>
      <c r="L241" s="5" t="n">
        <v>46114.0</v>
      </c>
      <c r="M241" s="3" t="inlineStr">
        <is>
          <t>Approved</t>
        </is>
      </c>
      <c r="N241" s="3" t="inlineStr">
        <is>
          <t>Study Start</t>
        </is>
      </c>
      <c r="O241" s="3" t="inlineStr">
        <is>
          <t>Czech Republic</t>
        </is>
      </c>
      <c r="P241" s="3" t="inlineStr">
        <is>
          <t>Z92-CZ10003</t>
        </is>
      </c>
      <c r="Q241" s="3" t="inlineStr">
        <is>
          <t>77242113UCO2001</t>
        </is>
      </c>
    </row>
    <row r="242">
      <c r="A242" s="2" t="str">
        <f>HYPERLINK("https://vtmf.veevavault.com/ui/#doc_info/31327739/1/0", "77242113UCO2001-CZE-Z92-CZ10003-Shipment Records-12 Mar 2026 (v1.0)")</f>
        <v>77242113UCO2001-CZE-Z92-CZ10003-Shipment Records-12 Mar 2026 (v1.0)</v>
      </c>
      <c r="B242" s="3" t="inlineStr">
        <is>
          <t>Bela Lukavcová</t>
        </is>
      </c>
      <c r="C242" s="3" t="inlineStr">
        <is>
          <t>Centralized Testing</t>
        </is>
      </c>
      <c r="D242" s="3" t="inlineStr">
        <is>
          <t>Sample Documentation</t>
        </is>
      </c>
      <c r="E242" s="3" t="inlineStr">
        <is>
          <t>Shipment Records</t>
        </is>
      </c>
      <c r="F242" s="3" t="inlineStr">
        <is>
          <t>Biological Sample Storage and Shipment Form_CZ100030004_-70/-80 °C</t>
        </is>
      </c>
      <c r="G242" s="2" t="str">
        <f>HYPERLINK("https://vtmf.veevavault.com/ui/#doc_info/31327739/1/0", "VTMF-25264488")</f>
        <v>VTMF-25264488</v>
      </c>
      <c r="H242" s="3" t="inlineStr">
        <is>
          <t/>
        </is>
      </c>
      <c r="I242" s="3" t="inlineStr">
        <is>
          <t>System</t>
        </is>
      </c>
      <c r="J242" s="3" t="inlineStr">
        <is>
          <t>Bela Lukavcová</t>
        </is>
      </c>
      <c r="K242" s="4" t="n">
        <v>46114.403865740744</v>
      </c>
      <c r="L242" s="5" t="n">
        <v>46114.0</v>
      </c>
      <c r="M242" s="3" t="inlineStr">
        <is>
          <t>Approved</t>
        </is>
      </c>
      <c r="N242" s="3" t="inlineStr">
        <is>
          <t>Study Start</t>
        </is>
      </c>
      <c r="O242" s="3" t="inlineStr">
        <is>
          <t>Czech Republic</t>
        </is>
      </c>
      <c r="P242" s="3" t="inlineStr">
        <is>
          <t>Z92-CZ10003</t>
        </is>
      </c>
      <c r="Q242" s="3" t="inlineStr">
        <is>
          <t>77242113UCO2001</t>
        </is>
      </c>
    </row>
    <row r="243">
      <c r="A243" s="2" t="str">
        <f>HYPERLINK("https://vtmf.veevavault.com/ui/#doc_info/31327770/1/0", "77242113UCO2001-CZE-Z92-CZ10003-Shipment Records-12 Mar 2026 (v1.0)")</f>
        <v>77242113UCO2001-CZE-Z92-CZ10003-Shipment Records-12 Mar 2026 (v1.0)</v>
      </c>
      <c r="B243" s="3" t="inlineStr">
        <is>
          <t>Bela Lukavcová</t>
        </is>
      </c>
      <c r="C243" s="3" t="inlineStr">
        <is>
          <t>Centralized Testing</t>
        </is>
      </c>
      <c r="D243" s="3" t="inlineStr">
        <is>
          <t>Sample Documentation</t>
        </is>
      </c>
      <c r="E243" s="3" t="inlineStr">
        <is>
          <t>Shipment Records</t>
        </is>
      </c>
      <c r="F243" s="3" t="inlineStr">
        <is>
          <t>Biological Sample Storage and Shipment Form_CZ100030004_-20/-40 °C</t>
        </is>
      </c>
      <c r="G243" s="2" t="str">
        <f>HYPERLINK("https://vtmf.veevavault.com/ui/#doc_info/31327770/1/0", "VTMF-25264532")</f>
        <v>VTMF-25264532</v>
      </c>
      <c r="H243" s="3" t="inlineStr">
        <is>
          <t/>
        </is>
      </c>
      <c r="I243" s="3" t="inlineStr">
        <is>
          <t>System</t>
        </is>
      </c>
      <c r="J243" s="3" t="inlineStr">
        <is>
          <t>Bela Lukavcová</t>
        </is>
      </c>
      <c r="K243" s="4" t="n">
        <v>46114.409780092596</v>
      </c>
      <c r="L243" s="5" t="n">
        <v>46114.0</v>
      </c>
      <c r="M243" s="3" t="inlineStr">
        <is>
          <t>Approved</t>
        </is>
      </c>
      <c r="N243" s="3" t="inlineStr">
        <is>
          <t>Study Start</t>
        </is>
      </c>
      <c r="O243" s="3" t="inlineStr">
        <is>
          <t>Czech Republic</t>
        </is>
      </c>
      <c r="P243" s="3" t="inlineStr">
        <is>
          <t>Z92-CZ10003</t>
        </is>
      </c>
      <c r="Q243" s="3" t="inlineStr">
        <is>
          <t>77242113UCO2001</t>
        </is>
      </c>
    </row>
    <row r="244">
      <c r="A244" s="2" t="str">
        <f>HYPERLINK("https://vtmf.veevavault.com/ui/#doc_info/31327777/1/0", "77242113UCO2001-CZE-Z92-CZ10003-Shipment Records-12 Mar 2026 (v1.0)")</f>
        <v>77242113UCO2001-CZE-Z92-CZ10003-Shipment Records-12 Mar 2026 (v1.0)</v>
      </c>
      <c r="B244" s="3" t="inlineStr">
        <is>
          <t>Bela Lukavcová</t>
        </is>
      </c>
      <c r="C244" s="3" t="inlineStr">
        <is>
          <t>Centralized Testing</t>
        </is>
      </c>
      <c r="D244" s="3" t="inlineStr">
        <is>
          <t>Sample Documentation</t>
        </is>
      </c>
      <c r="E244" s="3" t="inlineStr">
        <is>
          <t>Shipment Records</t>
        </is>
      </c>
      <c r="F244" s="3" t="inlineStr">
        <is>
          <t>Biological Sample Storage and Shipment Form_CZ100030002_-70/-80 °C</t>
        </is>
      </c>
      <c r="G244" s="2" t="str">
        <f>HYPERLINK("https://vtmf.veevavault.com/ui/#doc_info/31327777/1/0", "VTMF-25264556")</f>
        <v>VTMF-25264556</v>
      </c>
      <c r="H244" s="3" t="inlineStr">
        <is>
          <t/>
        </is>
      </c>
      <c r="I244" s="3" t="inlineStr">
        <is>
          <t>System</t>
        </is>
      </c>
      <c r="J244" s="3" t="inlineStr">
        <is>
          <t>Bela Lukavcová</t>
        </is>
      </c>
      <c r="K244" s="4" t="n">
        <v>46114.41202546296</v>
      </c>
      <c r="L244" s="5" t="n">
        <v>46114.0</v>
      </c>
      <c r="M244" s="3" t="inlineStr">
        <is>
          <t>Approved</t>
        </is>
      </c>
      <c r="N244" s="3" t="inlineStr">
        <is>
          <t>Study Start</t>
        </is>
      </c>
      <c r="O244" s="3" t="inlineStr">
        <is>
          <t>Czech Republic</t>
        </is>
      </c>
      <c r="P244" s="3" t="inlineStr">
        <is>
          <t>Z92-CZ10003</t>
        </is>
      </c>
      <c r="Q244" s="3" t="inlineStr">
        <is>
          <t>77242113UCO2001</t>
        </is>
      </c>
    </row>
    <row r="245">
      <c r="A245" s="2" t="str">
        <f>HYPERLINK("https://vtmf.veevavault.com/ui/#doc_info/31327791/1/0", "77242113UCO2001-CZE-Z92-CZ10003-Shipment Records-12 Mar 2026 (v1.0)")</f>
        <v>77242113UCO2001-CZE-Z92-CZ10003-Shipment Records-12 Mar 2026 (v1.0)</v>
      </c>
      <c r="B245" s="3" t="inlineStr">
        <is>
          <t>Bela Lukavcová</t>
        </is>
      </c>
      <c r="C245" s="3" t="inlineStr">
        <is>
          <t>Centralized Testing</t>
        </is>
      </c>
      <c r="D245" s="3" t="inlineStr">
        <is>
          <t>Sample Documentation</t>
        </is>
      </c>
      <c r="E245" s="3" t="inlineStr">
        <is>
          <t>Shipment Records</t>
        </is>
      </c>
      <c r="F245" s="3" t="inlineStr">
        <is>
          <t>Biological Sample Storage and Shipment Form_CZ100030002_-20/-40 °C</t>
        </is>
      </c>
      <c r="G245" s="2" t="str">
        <f>HYPERLINK("https://vtmf.veevavault.com/ui/#doc_info/31327791/1/0", "VTMF-25264576")</f>
        <v>VTMF-25264576</v>
      </c>
      <c r="H245" s="3" t="inlineStr">
        <is>
          <t/>
        </is>
      </c>
      <c r="I245" s="3" t="inlineStr">
        <is>
          <t>System</t>
        </is>
      </c>
      <c r="J245" s="3" t="inlineStr">
        <is>
          <t>Bela Lukavcová</t>
        </is>
      </c>
      <c r="K245" s="4" t="n">
        <v>46114.414189814815</v>
      </c>
      <c r="L245" s="5" t="n">
        <v>46114.0</v>
      </c>
      <c r="M245" s="3" t="inlineStr">
        <is>
          <t>Approved</t>
        </is>
      </c>
      <c r="N245" s="3" t="inlineStr">
        <is>
          <t>Study Start</t>
        </is>
      </c>
      <c r="O245" s="3" t="inlineStr">
        <is>
          <t>Czech Republic</t>
        </is>
      </c>
      <c r="P245" s="3" t="inlineStr">
        <is>
          <t>Z92-CZ10003</t>
        </is>
      </c>
      <c r="Q245" s="3" t="inlineStr">
        <is>
          <t>77242113UCO2001</t>
        </is>
      </c>
    </row>
    <row r="246">
      <c r="A246" s="2" t="str">
        <f>HYPERLINK("https://vtmf.veevavault.com/ui/#doc_info/24158294/1/0", "77242113UCO2001-CZE-Z92-CZ10003-Site Confirmation Letter-- (v1.0)")</f>
        <v>77242113UCO2001-CZE-Z92-CZ10003-Site Confirmation Letter-- (v1.0)</v>
      </c>
      <c r="B246" s="3" t="inlineStr">
        <is>
          <t>Lucie Duskova</t>
        </is>
      </c>
      <c r="C246" s="3" t="inlineStr">
        <is>
          <t>Site Management</t>
        </is>
      </c>
      <c r="D246" s="3" t="inlineStr">
        <is>
          <t>Site Management</t>
        </is>
      </c>
      <c r="E246" s="3" t="inlineStr">
        <is>
          <t>Site Confirmation Letter</t>
        </is>
      </c>
      <c r="F246" s="3" t="inlineStr">
        <is>
          <t>Site Qualification visit confirmation letter_Siroky Milan_10MAY2023</t>
        </is>
      </c>
      <c r="G246" s="2" t="str">
        <f>HYPERLINK("https://vtmf.veevavault.com/ui/#doc_info/24158294/1/0", "VTMF-19168933")</f>
        <v>VTMF-19168933</v>
      </c>
      <c r="H246" s="3" t="inlineStr">
        <is>
          <t/>
        </is>
      </c>
      <c r="I246" s="3" t="inlineStr">
        <is>
          <t>Anthony Suarez (veeva.com)</t>
        </is>
      </c>
      <c r="J246" s="3" t="inlineStr">
        <is>
          <t>Lucie Duskova</t>
        </is>
      </c>
      <c r="K246" s="4" t="n">
        <v>45075.662314814814</v>
      </c>
      <c r="L246" s="5" t="n">
        <v>45075.0</v>
      </c>
      <c r="M246" s="3" t="inlineStr">
        <is>
          <t>Approved</t>
        </is>
      </c>
      <c r="N246" s="3" t="inlineStr">
        <is>
          <t>Available for Distribution, CLIX Filing, Site Close</t>
        </is>
      </c>
      <c r="O246" s="3" t="inlineStr">
        <is>
          <t>Czech Republic</t>
        </is>
      </c>
      <c r="P246" s="3" t="inlineStr">
        <is>
          <t>Z92-CZ10003</t>
        </is>
      </c>
      <c r="Q246" s="3" t="inlineStr">
        <is>
          <t>77242113UCO2001</t>
        </is>
      </c>
    </row>
    <row r="247">
      <c r="A247" s="2" t="str">
        <f>HYPERLINK("https://vtmf.veevavault.com/ui/#doc_info/25464652/1/0", "77242113UCO2001-CZE-Z92-CZ10003-Site Confirmation Letter--10 Jan 2024 (v1.0)")</f>
        <v>77242113UCO2001-CZE-Z92-CZ10003-Site Confirmation Letter--10 Jan 2024 (v1.0)</v>
      </c>
      <c r="B247" s="3" t="inlineStr">
        <is>
          <t>Lenka Placha</t>
        </is>
      </c>
      <c r="C247" s="3" t="inlineStr">
        <is>
          <t>Site Management</t>
        </is>
      </c>
      <c r="D247" s="3" t="inlineStr">
        <is>
          <t>Site Management</t>
        </is>
      </c>
      <c r="E247" s="3" t="inlineStr">
        <is>
          <t>Site Confirmation Letter</t>
        </is>
      </c>
      <c r="F247" s="3" t="inlineStr">
        <is>
          <t>monitoring visit confirmation letter- site Z92-CZ10003_MV 10Jan2024</t>
        </is>
      </c>
      <c r="G247" s="2" t="str">
        <f>HYPERLINK("https://vtmf.veevavault.com/ui/#doc_info/25464652/1/0", "VTMF-20309284")</f>
        <v>VTMF-20309284</v>
      </c>
      <c r="H247" s="3" t="inlineStr">
        <is>
          <t/>
        </is>
      </c>
      <c r="I247" s="3" t="inlineStr">
        <is>
          <t>Anthony Suarez (veeva.com)</t>
        </is>
      </c>
      <c r="J247" s="3" t="inlineStr">
        <is>
          <t>Lenka Placha</t>
        </is>
      </c>
      <c r="K247" s="4" t="n">
        <v>45299.795902777776</v>
      </c>
      <c r="L247" s="5" t="n">
        <v>45299.0</v>
      </c>
      <c r="M247" s="3" t="inlineStr">
        <is>
          <t>Approved</t>
        </is>
      </c>
      <c r="N247" s="3" t="inlineStr">
        <is>
          <t>Available for Distribution, CLIX Filing, Site Close</t>
        </is>
      </c>
      <c r="O247" s="3" t="inlineStr">
        <is>
          <t>Czech Republic</t>
        </is>
      </c>
      <c r="P247" s="3" t="inlineStr">
        <is>
          <t>Z92-CZ10003</t>
        </is>
      </c>
      <c r="Q247" s="3" t="inlineStr">
        <is>
          <t>77242113UCO2001</t>
        </is>
      </c>
    </row>
    <row r="248">
      <c r="A248" s="2" t="str">
        <f>HYPERLINK("https://vtmf.veevavault.com/ui/#doc_info/31140237/1/0", "77242113UCO2001-CZE-Z92-CZ10003-Site Confirmation Letter-SCVR_CL-12 Mar 2026 (v1.0)")</f>
        <v>77242113UCO2001-CZE-Z92-CZ10003-Site Confirmation Letter-SCVR_CL-12 Mar 2026 (v1.0)</v>
      </c>
      <c r="B248" s="3" t="inlineStr">
        <is>
          <t>Admin User Medidata</t>
        </is>
      </c>
      <c r="C248" s="3" t="inlineStr">
        <is>
          <t>Site Management</t>
        </is>
      </c>
      <c r="D248" s="3" t="inlineStr">
        <is>
          <t>Site Management</t>
        </is>
      </c>
      <c r="E248" s="3" t="inlineStr">
        <is>
          <t>Site Confirmation Letter</t>
        </is>
      </c>
      <c r="F248" s="3" t="inlineStr">
        <is>
          <t/>
        </is>
      </c>
      <c r="G248" s="2" t="str">
        <f>HYPERLINK("https://vtmf.veevavault.com/ui/#doc_info/31140237/1/0", "VTMF-25107162")</f>
        <v>VTMF-25107162</v>
      </c>
      <c r="H248" s="3" t="inlineStr">
        <is>
          <t/>
        </is>
      </c>
      <c r="I248" s="3" t="inlineStr">
        <is>
          <t>System</t>
        </is>
      </c>
      <c r="J248" s="3" t="inlineStr">
        <is>
          <t>Admin User Medidata</t>
        </is>
      </c>
      <c r="K248" s="4" t="n">
        <v>46090.64135416667</v>
      </c>
      <c r="L248" s="5" t="n">
        <v>46090.0</v>
      </c>
      <c r="M248" s="3" t="inlineStr">
        <is>
          <t>Approved</t>
        </is>
      </c>
      <c r="N248" s="3" t="inlineStr">
        <is>
          <t>Available for Distribution, CLIX Filing, Not associated to a milestone</t>
        </is>
      </c>
      <c r="O248" s="3" t="inlineStr">
        <is>
          <t>Czech Republic</t>
        </is>
      </c>
      <c r="P248" s="3" t="inlineStr">
        <is>
          <t>Z92-CZ10003</t>
        </is>
      </c>
      <c r="Q248" s="3" t="inlineStr">
        <is>
          <t>77242113UCO2001</t>
        </is>
      </c>
    </row>
    <row r="249">
      <c r="A249" s="2" t="str">
        <f>HYPERLINK("https://vtmf.veevavault.com/ui/#doc_info/25305642/1/0", "77242113UCO2001-CZE-Z92-CZ10003-Site Confirmation Letter-SIVR_CL-13 Dec 2023 (v1.0)")</f>
        <v>77242113UCO2001-CZE-Z92-CZ10003-Site Confirmation Letter-SIVR_CL-13 Dec 2023 (v1.0)</v>
      </c>
      <c r="B249" s="3" t="inlineStr">
        <is>
          <t>Admin User Medidata</t>
        </is>
      </c>
      <c r="C249" s="3" t="inlineStr">
        <is>
          <t>Site Management</t>
        </is>
      </c>
      <c r="D249" s="3" t="inlineStr">
        <is>
          <t>Site Management</t>
        </is>
      </c>
      <c r="E249" s="3" t="inlineStr">
        <is>
          <t>Site Confirmation Letter</t>
        </is>
      </c>
      <c r="F249" s="3" t="inlineStr">
        <is>
          <t/>
        </is>
      </c>
      <c r="G249" s="2" t="str">
        <f>HYPERLINK("https://vtmf.veevavault.com/ui/#doc_info/25305642/1/0", "VTMF-20170371")</f>
        <v>VTMF-20170371</v>
      </c>
      <c r="H249" s="3" t="inlineStr">
        <is>
          <t/>
        </is>
      </c>
      <c r="I249" s="3" t="inlineStr">
        <is>
          <t>System</t>
        </is>
      </c>
      <c r="J249" s="3" t="inlineStr">
        <is>
          <t>Admin User Medidata</t>
        </is>
      </c>
      <c r="K249" s="4" t="n">
        <v>45267.56072916667</v>
      </c>
      <c r="L249" s="5" t="n">
        <v>45267.0</v>
      </c>
      <c r="M249" s="3" t="inlineStr">
        <is>
          <t>Approved</t>
        </is>
      </c>
      <c r="N249" s="3" t="inlineStr">
        <is>
          <t>Available for Distribution, CLIX Filing, Site Close</t>
        </is>
      </c>
      <c r="O249" s="3" t="inlineStr">
        <is>
          <t>Czech Republic</t>
        </is>
      </c>
      <c r="P249" s="3" t="inlineStr">
        <is>
          <t>Z92-CZ10003</t>
        </is>
      </c>
      <c r="Q249" s="3" t="inlineStr">
        <is>
          <t>77242113UCO2001</t>
        </is>
      </c>
    </row>
    <row r="250">
      <c r="A250" s="2" t="str">
        <f>HYPERLINK("https://vtmf.veevavault.com/ui/#doc_info/26244650/1/0", "77242113UCO2001-CZE-Z92-CZ10003-Site Confirmation Letter-SMVR_CL-03 May 2024 (v1.0)")</f>
        <v>77242113UCO2001-CZE-Z92-CZ10003-Site Confirmation Letter-SMVR_CL-03 May 2024 (v1.0)</v>
      </c>
      <c r="B250" s="3" t="inlineStr">
        <is>
          <t>Admin User Medidata</t>
        </is>
      </c>
      <c r="C250" s="3" t="inlineStr">
        <is>
          <t>Site Management</t>
        </is>
      </c>
      <c r="D250" s="3" t="inlineStr">
        <is>
          <t>Site Management</t>
        </is>
      </c>
      <c r="E250" s="3" t="inlineStr">
        <is>
          <t>Site Confirmation Letter</t>
        </is>
      </c>
      <c r="F250" s="3" t="inlineStr">
        <is>
          <t/>
        </is>
      </c>
      <c r="G250" s="2" t="str">
        <f>HYPERLINK("https://vtmf.veevavault.com/ui/#doc_info/26244650/1/0", "VTMF-20993434")</f>
        <v>VTMF-20993434</v>
      </c>
      <c r="H250" s="3" t="inlineStr">
        <is>
          <t/>
        </is>
      </c>
      <c r="I250" s="3" t="inlineStr">
        <is>
          <t>System</t>
        </is>
      </c>
      <c r="J250" s="3" t="inlineStr">
        <is>
          <t>Admin User Medidata</t>
        </is>
      </c>
      <c r="K250" s="4" t="n">
        <v>45413.89351851852</v>
      </c>
      <c r="L250" s="5" t="n">
        <v>45413.0</v>
      </c>
      <c r="M250" s="3" t="inlineStr">
        <is>
          <t>Approved</t>
        </is>
      </c>
      <c r="N250" s="3" t="inlineStr">
        <is>
          <t>Available for Distribution, CLIX Filing, Site Close</t>
        </is>
      </c>
      <c r="O250" s="3" t="inlineStr">
        <is>
          <t>Czech Republic</t>
        </is>
      </c>
      <c r="P250" s="3" t="inlineStr">
        <is>
          <t>Z92-CZ10003</t>
        </is>
      </c>
      <c r="Q250" s="3" t="inlineStr">
        <is>
          <t>77242113UCO2001</t>
        </is>
      </c>
    </row>
    <row r="251">
      <c r="A251" s="2" t="str">
        <f>HYPERLINK("https://vtmf.veevavault.com/ui/#doc_info/29087080/1/0", "77242113UCO2001-CZE-Z92-CZ10003-Site Confirmation Letter-SMVR_CL-14 May 2025 (v1.0)")</f>
        <v>77242113UCO2001-CZE-Z92-CZ10003-Site Confirmation Letter-SMVR_CL-14 May 2025 (v1.0)</v>
      </c>
      <c r="B251" s="3" t="inlineStr">
        <is>
          <t>Admin User Medidata</t>
        </is>
      </c>
      <c r="C251" s="3" t="inlineStr">
        <is>
          <t>Site Management</t>
        </is>
      </c>
      <c r="D251" s="3" t="inlineStr">
        <is>
          <t>Site Management</t>
        </is>
      </c>
      <c r="E251" s="3" t="inlineStr">
        <is>
          <t>Site Confirmation Letter</t>
        </is>
      </c>
      <c r="F251" s="3" t="inlineStr">
        <is>
          <t/>
        </is>
      </c>
      <c r="G251" s="2" t="str">
        <f>HYPERLINK("https://vtmf.veevavault.com/ui/#doc_info/29087080/1/0", "VTMF-23372333")</f>
        <v>VTMF-23372333</v>
      </c>
      <c r="H251" s="3" t="inlineStr">
        <is>
          <t/>
        </is>
      </c>
      <c r="I251" s="3" t="inlineStr">
        <is>
          <t>System</t>
        </is>
      </c>
      <c r="J251" s="3" t="inlineStr">
        <is>
          <t>Admin User Medidata</t>
        </is>
      </c>
      <c r="K251" s="4" t="n">
        <v>45788.84810185185</v>
      </c>
      <c r="L251" s="5" t="n">
        <v>45788.0</v>
      </c>
      <c r="M251" s="3" t="inlineStr">
        <is>
          <t>Approved</t>
        </is>
      </c>
      <c r="N251" s="3" t="inlineStr">
        <is>
          <t>Available for Distribution, CLIX Filing, Not associated to a milestone</t>
        </is>
      </c>
      <c r="O251" s="3" t="inlineStr">
        <is>
          <t>Czech Republic</t>
        </is>
      </c>
      <c r="P251" s="3" t="inlineStr">
        <is>
          <t>Z92-CZ10003</t>
        </is>
      </c>
      <c r="Q251" s="3" t="inlineStr">
        <is>
          <t>77242113UCO2001</t>
        </is>
      </c>
    </row>
    <row r="252">
      <c r="A252" s="2" t="str">
        <f>HYPERLINK("https://vtmf.veevavault.com/ui/#doc_info/30608201/1/0", "77242113UCO2001-CZE-Z92-CZ10003-Site Confirmation Letter-SMVR_CL-17 Dec 2025 (v1.0)")</f>
        <v>77242113UCO2001-CZE-Z92-CZ10003-Site Confirmation Letter-SMVR_CL-17 Dec 2025 (v1.0)</v>
      </c>
      <c r="B252" s="3" t="inlineStr">
        <is>
          <t>Admin User Medidata</t>
        </is>
      </c>
      <c r="C252" s="3" t="inlineStr">
        <is>
          <t>Site Management</t>
        </is>
      </c>
      <c r="D252" s="3" t="inlineStr">
        <is>
          <t>Site Management</t>
        </is>
      </c>
      <c r="E252" s="3" t="inlineStr">
        <is>
          <t>Site Confirmation Letter</t>
        </is>
      </c>
      <c r="F252" s="3" t="inlineStr">
        <is>
          <t/>
        </is>
      </c>
      <c r="G252" s="2" t="str">
        <f>HYPERLINK("https://vtmf.veevavault.com/ui/#doc_info/30608201/1/0", "VTMF-24662813")</f>
        <v>VTMF-24662813</v>
      </c>
      <c r="H252" s="3" t="inlineStr">
        <is>
          <t/>
        </is>
      </c>
      <c r="I252" s="3" t="inlineStr">
        <is>
          <t>System</t>
        </is>
      </c>
      <c r="J252" s="3" t="inlineStr">
        <is>
          <t>Admin User Medidata</t>
        </is>
      </c>
      <c r="K252" s="4" t="n">
        <v>46006.80645833333</v>
      </c>
      <c r="L252" s="5" t="n">
        <v>46006.0</v>
      </c>
      <c r="M252" s="3" t="inlineStr">
        <is>
          <t>Approved</t>
        </is>
      </c>
      <c r="N252" s="3" t="inlineStr">
        <is>
          <t>Available for Distribution, CLIX Filing, Not associated to a milestone</t>
        </is>
      </c>
      <c r="O252" s="3" t="inlineStr">
        <is>
          <t>Czech Republic</t>
        </is>
      </c>
      <c r="P252" s="3" t="inlineStr">
        <is>
          <t>Z92-CZ10003</t>
        </is>
      </c>
      <c r="Q252" s="3" t="inlineStr">
        <is>
          <t>77242113UCO2001</t>
        </is>
      </c>
    </row>
    <row r="253">
      <c r="A253" s="2" t="str">
        <f>HYPERLINK("https://vtmf.veevavault.com/ui/#doc_info/26707247/1/0", "77242113UCO2001-CZE-Z92-CZ10003-Site Confirmation Letter-SMVR_CL-17 Jul 2024 (v1.0)")</f>
        <v>77242113UCO2001-CZE-Z92-CZ10003-Site Confirmation Letter-SMVR_CL-17 Jul 2024 (v1.0)</v>
      </c>
      <c r="B253" s="3" t="inlineStr">
        <is>
          <t>Admin User Medidata</t>
        </is>
      </c>
      <c r="C253" s="3" t="inlineStr">
        <is>
          <t>Site Management</t>
        </is>
      </c>
      <c r="D253" s="3" t="inlineStr">
        <is>
          <t>Site Management</t>
        </is>
      </c>
      <c r="E253" s="3" t="inlineStr">
        <is>
          <t>Site Confirmation Letter</t>
        </is>
      </c>
      <c r="F253" s="3" t="inlineStr">
        <is>
          <t/>
        </is>
      </c>
      <c r="G253" s="2" t="str">
        <f>HYPERLINK("https://vtmf.veevavault.com/ui/#doc_info/26707247/1/0", "VTMF-21399164")</f>
        <v>VTMF-21399164</v>
      </c>
      <c r="H253" s="3" t="inlineStr">
        <is>
          <t/>
        </is>
      </c>
      <c r="I253" s="3" t="inlineStr">
        <is>
          <t>System</t>
        </is>
      </c>
      <c r="J253" s="3" t="inlineStr">
        <is>
          <t>Admin User Medidata</t>
        </is>
      </c>
      <c r="K253" s="4" t="n">
        <v>45488.436435185184</v>
      </c>
      <c r="L253" s="5" t="n">
        <v>45488.0</v>
      </c>
      <c r="M253" s="3" t="inlineStr">
        <is>
          <t>Approved</t>
        </is>
      </c>
      <c r="N253" s="3" t="inlineStr">
        <is>
          <t>Available for Distribution, CLIX Filing, Site Close</t>
        </is>
      </c>
      <c r="O253" s="3" t="inlineStr">
        <is>
          <t>Czech Republic</t>
        </is>
      </c>
      <c r="P253" s="3" t="inlineStr">
        <is>
          <t>Z92-CZ10003</t>
        </is>
      </c>
      <c r="Q253" s="3" t="inlineStr">
        <is>
          <t>77242113UCO2001</t>
        </is>
      </c>
    </row>
    <row r="254">
      <c r="A254" s="2" t="str">
        <f>HYPERLINK("https://vtmf.veevavault.com/ui/#doc_info/27252528/1/0", "77242113UCO2001-CZE-Z92-CZ10003-Site Confirmation Letter-SMVR_CL-17 Oct 2024 (v1.0)")</f>
        <v>77242113UCO2001-CZE-Z92-CZ10003-Site Confirmation Letter-SMVR_CL-17 Oct 2024 (v1.0)</v>
      </c>
      <c r="B254" s="3" t="inlineStr">
        <is>
          <t>Admin User Medidata</t>
        </is>
      </c>
      <c r="C254" s="3" t="inlineStr">
        <is>
          <t>Site Management</t>
        </is>
      </c>
      <c r="D254" s="3" t="inlineStr">
        <is>
          <t>Site Management</t>
        </is>
      </c>
      <c r="E254" s="3" t="inlineStr">
        <is>
          <t>Site Confirmation Letter</t>
        </is>
      </c>
      <c r="F254" s="3" t="inlineStr">
        <is>
          <t/>
        </is>
      </c>
      <c r="G254" s="2" t="str">
        <f>HYPERLINK("https://vtmf.veevavault.com/ui/#doc_info/27252528/1/0", "VTMF-21856014")</f>
        <v>VTMF-21856014</v>
      </c>
      <c r="H254" s="3" t="inlineStr">
        <is>
          <t/>
        </is>
      </c>
      <c r="I254" s="3" t="inlineStr">
        <is>
          <t>System</t>
        </is>
      </c>
      <c r="J254" s="3" t="inlineStr">
        <is>
          <t>Admin User Medidata</t>
        </is>
      </c>
      <c r="K254" s="4" t="n">
        <v>45579.850266203706</v>
      </c>
      <c r="L254" s="5" t="n">
        <v>45579.0</v>
      </c>
      <c r="M254" s="3" t="inlineStr">
        <is>
          <t>Approved</t>
        </is>
      </c>
      <c r="N254" s="3" t="inlineStr">
        <is>
          <t>Available for Distribution, CLIX Filing, Site Close</t>
        </is>
      </c>
      <c r="O254" s="3" t="inlineStr">
        <is>
          <t>Czech Republic</t>
        </is>
      </c>
      <c r="P254" s="3" t="inlineStr">
        <is>
          <t>Z92-CZ10003</t>
        </is>
      </c>
      <c r="Q254" s="3" t="inlineStr">
        <is>
          <t>77242113UCO2001</t>
        </is>
      </c>
    </row>
    <row r="255">
      <c r="A255" s="2" t="str">
        <f>HYPERLINK("https://vtmf.veevavault.com/ui/#doc_info/27089996/1/0", "77242113UCO2001-CZE-Z92-CZ10003-Site Confirmation Letter-SMVR_CL-19 Sep 2024 (v1.0)")</f>
        <v>77242113UCO2001-CZE-Z92-CZ10003-Site Confirmation Letter-SMVR_CL-19 Sep 2024 (v1.0)</v>
      </c>
      <c r="B255" s="3" t="inlineStr">
        <is>
          <t>Admin User Medidata</t>
        </is>
      </c>
      <c r="C255" s="3" t="inlineStr">
        <is>
          <t>Site Management</t>
        </is>
      </c>
      <c r="D255" s="3" t="inlineStr">
        <is>
          <t>Site Management</t>
        </is>
      </c>
      <c r="E255" s="3" t="inlineStr">
        <is>
          <t>Site Confirmation Letter</t>
        </is>
      </c>
      <c r="F255" s="3" t="inlineStr">
        <is>
          <t/>
        </is>
      </c>
      <c r="G255" s="2" t="str">
        <f>HYPERLINK("https://vtmf.veevavault.com/ui/#doc_info/27089996/1/0", "VTMF-21716580")</f>
        <v>VTMF-21716580</v>
      </c>
      <c r="H255" s="3" t="inlineStr">
        <is>
          <t/>
        </is>
      </c>
      <c r="I255" s="3" t="inlineStr">
        <is>
          <t>System</t>
        </is>
      </c>
      <c r="J255" s="3" t="inlineStr">
        <is>
          <t>Admin User Medidata</t>
        </is>
      </c>
      <c r="K255" s="4" t="n">
        <v>45552.55912037037</v>
      </c>
      <c r="L255" s="5" t="n">
        <v>45552.0</v>
      </c>
      <c r="M255" s="3" t="inlineStr">
        <is>
          <t>Approved</t>
        </is>
      </c>
      <c r="N255" s="3" t="inlineStr">
        <is>
          <t>Available for Distribution, CLIX Filing, Site Close</t>
        </is>
      </c>
      <c r="O255" s="3" t="inlineStr">
        <is>
          <t>Czech Republic</t>
        </is>
      </c>
      <c r="P255" s="3" t="inlineStr">
        <is>
          <t>Z92-CZ10003</t>
        </is>
      </c>
      <c r="Q255" s="3" t="inlineStr">
        <is>
          <t>77242113UCO2001</t>
        </is>
      </c>
    </row>
    <row r="256">
      <c r="A256" s="2" t="str">
        <f>HYPERLINK("https://vtmf.veevavault.com/ui/#doc_info/29741176/1/0", "77242113UCO2001-CZE-Z92-CZ10003-Site Confirmation Letter-SMVR_CL-20 Aug 2025 (v1.0)")</f>
        <v>77242113UCO2001-CZE-Z92-CZ10003-Site Confirmation Letter-SMVR_CL-20 Aug 2025 (v1.0)</v>
      </c>
      <c r="B256" s="3" t="inlineStr">
        <is>
          <t>Admin User Medidata</t>
        </is>
      </c>
      <c r="C256" s="3" t="inlineStr">
        <is>
          <t>Site Management</t>
        </is>
      </c>
      <c r="D256" s="3" t="inlineStr">
        <is>
          <t>Site Management</t>
        </is>
      </c>
      <c r="E256" s="3" t="inlineStr">
        <is>
          <t>Site Confirmation Letter</t>
        </is>
      </c>
      <c r="F256" s="3" t="inlineStr">
        <is>
          <t/>
        </is>
      </c>
      <c r="G256" s="2" t="str">
        <f>HYPERLINK("https://vtmf.veevavault.com/ui/#doc_info/29741176/1/0", "VTMF-23931333")</f>
        <v>VTMF-23931333</v>
      </c>
      <c r="H256" s="3" t="inlineStr">
        <is>
          <t/>
        </is>
      </c>
      <c r="I256" s="3" t="inlineStr">
        <is>
          <t>System</t>
        </is>
      </c>
      <c r="J256" s="3" t="inlineStr">
        <is>
          <t>Admin User Medidata</t>
        </is>
      </c>
      <c r="K256" s="4" t="n">
        <v>45880.68751157408</v>
      </c>
      <c r="L256" s="5" t="n">
        <v>45880.0</v>
      </c>
      <c r="M256" s="3" t="inlineStr">
        <is>
          <t>Approved</t>
        </is>
      </c>
      <c r="N256" s="3" t="inlineStr">
        <is>
          <t>Available for Distribution, CLIX Filing, Not associated to a milestone</t>
        </is>
      </c>
      <c r="O256" s="3" t="inlineStr">
        <is>
          <t>Czech Republic</t>
        </is>
      </c>
      <c r="P256" s="3" t="inlineStr">
        <is>
          <t>Z92-CZ10003</t>
        </is>
      </c>
      <c r="Q256" s="3" t="inlineStr">
        <is>
          <t>77242113UCO2001</t>
        </is>
      </c>
    </row>
    <row r="257">
      <c r="A257" s="2" t="str">
        <f>HYPERLINK("https://vtmf.veevavault.com/ui/#doc_info/26576153/1/0", "77242113UCO2001-CZE-Z92-CZ10003-Site Confirmation Letter-SMVR_CL-26 Jun 2024 (v1.0)")</f>
        <v>77242113UCO2001-CZE-Z92-CZ10003-Site Confirmation Letter-SMVR_CL-26 Jun 2024 (v1.0)</v>
      </c>
      <c r="B257" s="3" t="inlineStr">
        <is>
          <t>Admin User Medidata</t>
        </is>
      </c>
      <c r="C257" s="3" t="inlineStr">
        <is>
          <t>Site Management</t>
        </is>
      </c>
      <c r="D257" s="3" t="inlineStr">
        <is>
          <t>Site Management</t>
        </is>
      </c>
      <c r="E257" s="3" t="inlineStr">
        <is>
          <t>Site Confirmation Letter</t>
        </is>
      </c>
      <c r="F257" s="3" t="inlineStr">
        <is>
          <t/>
        </is>
      </c>
      <c r="G257" s="2" t="str">
        <f>HYPERLINK("https://vtmf.veevavault.com/ui/#doc_info/26576153/1/0", "VTMF-21284804")</f>
        <v>VTMF-21284804</v>
      </c>
      <c r="H257" s="3" t="inlineStr">
        <is>
          <t/>
        </is>
      </c>
      <c r="I257" s="3" t="inlineStr">
        <is>
          <t>System</t>
        </is>
      </c>
      <c r="J257" s="3" t="inlineStr">
        <is>
          <t>Admin User Medidata</t>
        </is>
      </c>
      <c r="K257" s="4" t="n">
        <v>45466.59961805555</v>
      </c>
      <c r="L257" s="5" t="n">
        <v>45466.0</v>
      </c>
      <c r="M257" s="3" t="inlineStr">
        <is>
          <t>Approved</t>
        </is>
      </c>
      <c r="N257" s="3" t="inlineStr">
        <is>
          <t>Available for Distribution, CLIX Filing, Site Close</t>
        </is>
      </c>
      <c r="O257" s="3" t="inlineStr">
        <is>
          <t>Czech Republic</t>
        </is>
      </c>
      <c r="P257" s="3" t="inlineStr">
        <is>
          <t>Z92-CZ10003</t>
        </is>
      </c>
      <c r="Q257" s="3" t="inlineStr">
        <is>
          <t>77242113UCO2001</t>
        </is>
      </c>
    </row>
    <row r="258">
      <c r="A258" s="2" t="str">
        <f>HYPERLINK("https://vtmf.veevavault.com/ui/#doc_info/27693844/1/0", "77242113UCO2001-CZE-Z92-CZ10003-Site Confirmation Letter-SMVR_CL-28 Nov 2024 (v1.0)")</f>
        <v>77242113UCO2001-CZE-Z92-CZ10003-Site Confirmation Letter-SMVR_CL-28 Nov 2024 (v1.0)</v>
      </c>
      <c r="B258" s="3" t="inlineStr">
        <is>
          <t>Admin User Medidata</t>
        </is>
      </c>
      <c r="C258" s="3" t="inlineStr">
        <is>
          <t>Site Management</t>
        </is>
      </c>
      <c r="D258" s="3" t="inlineStr">
        <is>
          <t>Site Management</t>
        </is>
      </c>
      <c r="E258" s="3" t="inlineStr">
        <is>
          <t>Site Confirmation Letter</t>
        </is>
      </c>
      <c r="F258" s="3" t="inlineStr">
        <is>
          <t/>
        </is>
      </c>
      <c r="G258" s="2" t="str">
        <f>HYPERLINK("https://vtmf.veevavault.com/ui/#doc_info/27693844/1/0", "VTMF-22224976")</f>
        <v>VTMF-22224976</v>
      </c>
      <c r="H258" s="3" t="inlineStr">
        <is>
          <t/>
        </is>
      </c>
      <c r="I258" s="3" t="inlineStr">
        <is>
          <t>System</t>
        </is>
      </c>
      <c r="J258" s="3" t="inlineStr">
        <is>
          <t>Admin User Medidata</t>
        </is>
      </c>
      <c r="K258" s="4" t="n">
        <v>45618.01679398148</v>
      </c>
      <c r="L258" s="5" t="n">
        <v>45617.0</v>
      </c>
      <c r="M258" s="3" t="inlineStr">
        <is>
          <t>Approved</t>
        </is>
      </c>
      <c r="N258" s="3" t="inlineStr">
        <is>
          <t>Available for Distribution, CLIX Filing, Not associated to a milestone</t>
        </is>
      </c>
      <c r="O258" s="3" t="inlineStr">
        <is>
          <t>Czech Republic</t>
        </is>
      </c>
      <c r="P258" s="3" t="inlineStr">
        <is>
          <t>Z92-CZ10003</t>
        </is>
      </c>
      <c r="Q258" s="3" t="inlineStr">
        <is>
          <t>77242113UCO2001</t>
        </is>
      </c>
    </row>
    <row r="259">
      <c r="A259" s="2" t="str">
        <f>HYPERLINK("https://vtmf.veevavault.com/ui/#doc_info/28142648/1/0", "77242113UCO2001-CZE-Z92-CZ10003-Site Confirmation Letter-SMVR_CL-29 Jan 2025 (v1.0)")</f>
        <v>77242113UCO2001-CZE-Z92-CZ10003-Site Confirmation Letter-SMVR_CL-29 Jan 2025 (v1.0)</v>
      </c>
      <c r="B259" s="3" t="inlineStr">
        <is>
          <t>Admin User Medidata</t>
        </is>
      </c>
      <c r="C259" s="3" t="inlineStr">
        <is>
          <t>Site Management</t>
        </is>
      </c>
      <c r="D259" s="3" t="inlineStr">
        <is>
          <t>Site Management</t>
        </is>
      </c>
      <c r="E259" s="3" t="inlineStr">
        <is>
          <t>Site Confirmation Letter</t>
        </is>
      </c>
      <c r="F259" s="3" t="inlineStr">
        <is>
          <t/>
        </is>
      </c>
      <c r="G259" s="2" t="str">
        <f>HYPERLINK("https://vtmf.veevavault.com/ui/#doc_info/28142648/1/0", "VTMF-22571139")</f>
        <v>VTMF-22571139</v>
      </c>
      <c r="H259" s="3" t="inlineStr">
        <is>
          <t/>
        </is>
      </c>
      <c r="I259" s="3" t="inlineStr">
        <is>
          <t>System</t>
        </is>
      </c>
      <c r="J259" s="3" t="inlineStr">
        <is>
          <t>Admin User Medidata</t>
        </is>
      </c>
      <c r="K259" s="4" t="n">
        <v>45680.93435185185</v>
      </c>
      <c r="L259" s="5" t="n">
        <v>45680.0</v>
      </c>
      <c r="M259" s="3" t="inlineStr">
        <is>
          <t>Approved</t>
        </is>
      </c>
      <c r="N259" s="3" t="inlineStr">
        <is>
          <t>Available for Distribution, CLIX Filing, Not associated to a milestone</t>
        </is>
      </c>
      <c r="O259" s="3" t="inlineStr">
        <is>
          <t>Czech Republic</t>
        </is>
      </c>
      <c r="P259" s="3" t="inlineStr">
        <is>
          <t>Z92-CZ10003</t>
        </is>
      </c>
      <c r="Q259" s="3" t="inlineStr">
        <is>
          <t>77242113UCO2001</t>
        </is>
      </c>
    </row>
    <row r="260">
      <c r="A260" s="2" t="str">
        <f>HYPERLINK("https://vtmf.veevavault.com/ui/#doc_info/25366566/4/0", "77242113UCO2001-CZE-Z92-CZ10003-Site Signature Sheet-03 Jul 2024 (v4.0)")</f>
        <v>77242113UCO2001-CZE-Z92-CZ10003-Site Signature Sheet-03 Jul 2024 (v4.0)</v>
      </c>
      <c r="B260" s="3" t="inlineStr">
        <is>
          <t>Lenka Placha</t>
        </is>
      </c>
      <c r="C260" s="3" t="inlineStr">
        <is>
          <t>Site Management</t>
        </is>
      </c>
      <c r="D260" s="3" t="inlineStr">
        <is>
          <t>Site Set-up Documentation</t>
        </is>
      </c>
      <c r="E260" s="3" t="inlineStr">
        <is>
          <t>Site Signature Sheet</t>
        </is>
      </c>
      <c r="F260" s="3" t="inlineStr">
        <is>
          <t>DL_Siroky Milan Jr._updated_site Z92-CZ10003_03Jul24</t>
        </is>
      </c>
      <c r="G260" s="2" t="str">
        <f>HYPERLINK("https://vtmf.veevavault.com/ui/#doc_info/25366566/4/0", "VTMF-20223131")</f>
        <v>VTMF-20223131</v>
      </c>
      <c r="H260" s="3" t="inlineStr">
        <is>
          <t/>
        </is>
      </c>
      <c r="I260" s="3" t="inlineStr">
        <is>
          <t>Anthony Suarez (veeva.com)</t>
        </is>
      </c>
      <c r="J260" s="3" t="inlineStr">
        <is>
          <t>Lenka Placha</t>
        </is>
      </c>
      <c r="K260" s="4" t="n">
        <v>45498.42853009259</v>
      </c>
      <c r="L260" s="5" t="n">
        <v>45498.0</v>
      </c>
      <c r="M260" s="3" t="inlineStr">
        <is>
          <t>Approved</t>
        </is>
      </c>
      <c r="N260" s="3" t="inlineStr">
        <is>
          <t>Available for Distribution, CLIX Filing, Site Close</t>
        </is>
      </c>
      <c r="O260" s="3" t="inlineStr">
        <is>
          <t>Czech Republic</t>
        </is>
      </c>
      <c r="P260" s="3" t="inlineStr">
        <is>
          <t>Z92-CZ10003</t>
        </is>
      </c>
      <c r="Q260" s="3" t="inlineStr">
        <is>
          <t>77242113UCO2001</t>
        </is>
      </c>
    </row>
    <row r="261">
      <c r="A261" s="2" t="str">
        <f>HYPERLINK("https://vtmf.veevavault.com/ui/#doc_info/31327934/1/0", "77242113UCO2001-CZE-Z92-CZ10003-Site Signature Sheet-12 Mar 2026 (v1.0)")</f>
        <v>77242113UCO2001-CZE-Z92-CZ10003-Site Signature Sheet-12 Mar 2026 (v1.0)</v>
      </c>
      <c r="B261" s="3" t="inlineStr">
        <is>
          <t>Bela Lukavcová</t>
        </is>
      </c>
      <c r="C261" s="3" t="inlineStr">
        <is>
          <t>Site Management</t>
        </is>
      </c>
      <c r="D261" s="3" t="inlineStr">
        <is>
          <t>Site Set-up Documentation</t>
        </is>
      </c>
      <c r="E261" s="3" t="inlineStr">
        <is>
          <t>Site Signature Sheet</t>
        </is>
      </c>
      <c r="F261" s="3" t="inlineStr">
        <is>
          <t>Delegation Log_Site Staff</t>
        </is>
      </c>
      <c r="G261" s="2" t="str">
        <f>HYPERLINK("https://vtmf.veevavault.com/ui/#doc_info/31327934/1/0", "VTMF-25264597")</f>
        <v>VTMF-25264597</v>
      </c>
      <c r="H261" s="3" t="inlineStr">
        <is>
          <t/>
        </is>
      </c>
      <c r="I261" s="3" t="inlineStr">
        <is>
          <t>System</t>
        </is>
      </c>
      <c r="J261" s="3" t="inlineStr">
        <is>
          <t>Bela Lukavcová</t>
        </is>
      </c>
      <c r="K261" s="4" t="n">
        <v>46114.417916666665</v>
      </c>
      <c r="L261" s="5" t="n">
        <v>46114.0</v>
      </c>
      <c r="M261" s="3" t="inlineStr">
        <is>
          <t>Approved</t>
        </is>
      </c>
      <c r="N261" s="3" t="inlineStr">
        <is>
          <t>Available for Distribution, CLIX Filing, Site Close, Study Start</t>
        </is>
      </c>
      <c r="O261" s="3" t="inlineStr">
        <is>
          <t>Czech Republic</t>
        </is>
      </c>
      <c r="P261" s="3" t="inlineStr">
        <is>
          <t>Z92-CZ10003</t>
        </is>
      </c>
      <c r="Q261" s="3" t="inlineStr">
        <is>
          <t>77242113UCO2001</t>
        </is>
      </c>
    </row>
    <row r="262">
      <c r="A262" s="2" t="str">
        <f>HYPERLINK("https://vtmf.veevavault.com/ui/#doc_info/31328319/1/0", "77242113UCO2001-CZE-Z92-CZ10003-Site Signature Sheet-12 Mar 2026 (v1.0)")</f>
        <v>77242113UCO2001-CZE-Z92-CZ10003-Site Signature Sheet-12 Mar 2026 (v1.0)</v>
      </c>
      <c r="B262" s="3" t="inlineStr">
        <is>
          <t>Bela Lukavcová</t>
        </is>
      </c>
      <c r="C262" s="3" t="inlineStr">
        <is>
          <t>Site Management</t>
        </is>
      </c>
      <c r="D262" s="3" t="inlineStr">
        <is>
          <t>Site Set-up Documentation</t>
        </is>
      </c>
      <c r="E262" s="3" t="inlineStr">
        <is>
          <t>Site Signature Sheet</t>
        </is>
      </c>
      <c r="F262" s="3" t="inlineStr">
        <is>
          <t>Training Log_Site Staff</t>
        </is>
      </c>
      <c r="G262" s="2" t="str">
        <f>HYPERLINK("https://vtmf.veevavault.com/ui/#doc_info/31328319/1/0", "VTMF-25264889")</f>
        <v>VTMF-25264889</v>
      </c>
      <c r="H262" s="3" t="inlineStr">
        <is>
          <t/>
        </is>
      </c>
      <c r="I262" s="3" t="inlineStr">
        <is>
          <t>System</t>
        </is>
      </c>
      <c r="J262" s="3" t="inlineStr">
        <is>
          <t>Bela Lukavcová</t>
        </is>
      </c>
      <c r="K262" s="4" t="n">
        <v>46114.447280092594</v>
      </c>
      <c r="L262" s="5" t="n">
        <v>46114.0</v>
      </c>
      <c r="M262" s="3" t="inlineStr">
        <is>
          <t>Approved</t>
        </is>
      </c>
      <c r="N262" s="3" t="inlineStr">
        <is>
          <t>Available for Distribution, CLIX Filing, Site Close, Study Start</t>
        </is>
      </c>
      <c r="O262" s="3" t="inlineStr">
        <is>
          <t>Czech Republic</t>
        </is>
      </c>
      <c r="P262" s="3" t="inlineStr">
        <is>
          <t>Z92-CZ10003</t>
        </is>
      </c>
      <c r="Q262" s="3" t="inlineStr">
        <is>
          <t>77242113UCO2001</t>
        </is>
      </c>
    </row>
    <row r="263">
      <c r="A263" s="2" t="str">
        <f>HYPERLINK("https://vtmf.veevavault.com/ui/#doc_info/27033454/1/0", "77242113UCO2001-CZE-Z92-CZ10003-Site Training Documentation-06 Dec 2023 (v1.0)")</f>
        <v>77242113UCO2001-CZE-Z92-CZ10003-Site Training Documentation-06 Dec 2023 (v1.0)</v>
      </c>
      <c r="B263" s="3" t="inlineStr">
        <is>
          <t>Lenka Placha</t>
        </is>
      </c>
      <c r="C263" s="3" t="inlineStr">
        <is>
          <t>Site Management</t>
        </is>
      </c>
      <c r="D263" s="3" t="inlineStr">
        <is>
          <t>Site Initiation</t>
        </is>
      </c>
      <c r="E263" s="3" t="inlineStr">
        <is>
          <t>Site Training Documentation</t>
        </is>
      </c>
      <c r="F263" s="3" t="inlineStr">
        <is>
          <t>IATA_SN Skodova Gabriela_Initial_ 06Dec23-06Dec25</t>
        </is>
      </c>
      <c r="G263" s="2" t="str">
        <f>HYPERLINK("https://vtmf.veevavault.com/ui/#doc_info/27033454/1/0", "VTMF-21673316")</f>
        <v>VTMF-21673316</v>
      </c>
      <c r="H263" s="3" t="inlineStr">
        <is>
          <t/>
        </is>
      </c>
      <c r="I263" s="3" t="inlineStr">
        <is>
          <t>Anthony Suarez (veeva.com)</t>
        </is>
      </c>
      <c r="J263" s="3" t="inlineStr">
        <is>
          <t>Lenka Placha</t>
        </is>
      </c>
      <c r="K263" s="4" t="n">
        <v>45544.37435185185</v>
      </c>
      <c r="L263" s="5" t="n">
        <v>45544.0</v>
      </c>
      <c r="M263" s="3" t="inlineStr">
        <is>
          <t>Approved</t>
        </is>
      </c>
      <c r="N263" s="3" t="inlineStr">
        <is>
          <t>Available for Distribution, CLIX Filing, Site Close</t>
        </is>
      </c>
      <c r="O263" s="3" t="inlineStr">
        <is>
          <t>Czech Republic</t>
        </is>
      </c>
      <c r="P263" s="3" t="inlineStr">
        <is>
          <t>Z92-CZ10003</t>
        </is>
      </c>
      <c r="Q263" s="3" t="inlineStr">
        <is>
          <t>77242113UCO2001</t>
        </is>
      </c>
    </row>
    <row r="264">
      <c r="A264" s="2" t="str">
        <f>HYPERLINK("https://vtmf.veevavault.com/ui/#doc_info/27033456/2/0", "77242113UCO2001-CZE-Z92-CZ10003-Site Training Documentation-08 Aug 2025 (v2.0)")</f>
        <v>77242113UCO2001-CZE-Z92-CZ10003-Site Training Documentation-08 Aug 2025 (v2.0)</v>
      </c>
      <c r="B264" s="3" t="inlineStr">
        <is>
          <t>Lenka Placha</t>
        </is>
      </c>
      <c r="C264" s="3" t="inlineStr">
        <is>
          <t>Site Management</t>
        </is>
      </c>
      <c r="D264" s="3" t="inlineStr">
        <is>
          <t>Site Initiation</t>
        </is>
      </c>
      <c r="E264" s="3" t="inlineStr">
        <is>
          <t>Site Training Documentation</t>
        </is>
      </c>
      <c r="F264" s="3" t="inlineStr">
        <is>
          <t>IATA_PI Siroky Milan Jr. _updated version_ 08Aug25-08Aug27</t>
        </is>
      </c>
      <c r="G264" s="2" t="str">
        <f>HYPERLINK("https://vtmf.veevavault.com/ui/#doc_info/27033456/2/0", "VTMF-21673318")</f>
        <v>VTMF-21673318</v>
      </c>
      <c r="H264" s="3" t="inlineStr">
        <is>
          <t/>
        </is>
      </c>
      <c r="I264" s="3" t="inlineStr">
        <is>
          <t>Anthony Suarez (veeva.com)</t>
        </is>
      </c>
      <c r="J264" s="3" t="inlineStr">
        <is>
          <t>Lenka Placha</t>
        </is>
      </c>
      <c r="K264" s="4" t="n">
        <v>45881.63244212963</v>
      </c>
      <c r="L264" s="5" t="n">
        <v>45881.0</v>
      </c>
      <c r="M264" s="3" t="inlineStr">
        <is>
          <t>Approved</t>
        </is>
      </c>
      <c r="N264" s="3" t="inlineStr">
        <is>
          <t>Available for Distribution, CLIX Filing, Site Close</t>
        </is>
      </c>
      <c r="O264" s="3" t="inlineStr">
        <is>
          <t>Czech Republic</t>
        </is>
      </c>
      <c r="P264" s="3" t="inlineStr">
        <is>
          <t>Z92-CZ10003</t>
        </is>
      </c>
      <c r="Q264" s="3" t="inlineStr">
        <is>
          <t>77242113UCO2001</t>
        </is>
      </c>
    </row>
    <row r="265">
      <c r="A265" s="2" t="str">
        <f>HYPERLINK("https://vtmf.veevavault.com/ui/#doc_info/27033457/2/0", "77242113UCO2001-CZE-Z92-CZ10003-Site Training Documentation-08 Aug 2025 (v2.0)")</f>
        <v>77242113UCO2001-CZE-Z92-CZ10003-Site Training Documentation-08 Aug 2025 (v2.0)</v>
      </c>
      <c r="B265" s="3" t="inlineStr">
        <is>
          <t>Lenka Placha</t>
        </is>
      </c>
      <c r="C265" s="3" t="inlineStr">
        <is>
          <t>Site Management</t>
        </is>
      </c>
      <c r="D265" s="3" t="inlineStr">
        <is>
          <t>Site Initiation</t>
        </is>
      </c>
      <c r="E265" s="3" t="inlineStr">
        <is>
          <t>Site Training Documentation</t>
        </is>
      </c>
      <c r="F265" s="3" t="inlineStr">
        <is>
          <t>IATA_SN Siroka Dana_updated version_08Aug25- 08Ag27</t>
        </is>
      </c>
      <c r="G265" s="2" t="str">
        <f>HYPERLINK("https://vtmf.veevavault.com/ui/#doc_info/27033457/2/0", "VTMF-21673319")</f>
        <v>VTMF-21673319</v>
      </c>
      <c r="H265" s="3" t="inlineStr">
        <is>
          <t/>
        </is>
      </c>
      <c r="I265" s="3" t="inlineStr">
        <is>
          <t>System</t>
        </is>
      </c>
      <c r="J265" s="3" t="inlineStr">
        <is>
          <t>Lenka Placha</t>
        </is>
      </c>
      <c r="K265" s="4" t="n">
        <v>45881.62857638889</v>
      </c>
      <c r="L265" s="5" t="n">
        <v>45881.0</v>
      </c>
      <c r="M265" s="3" t="inlineStr">
        <is>
          <t>Approved</t>
        </is>
      </c>
      <c r="N265" s="3" t="inlineStr">
        <is>
          <t>Available for Distribution, CLIX Filing, Site Close</t>
        </is>
      </c>
      <c r="O265" s="3" t="inlineStr">
        <is>
          <t>Czech Republic</t>
        </is>
      </c>
      <c r="P265" s="3" t="inlineStr">
        <is>
          <t>Z92-CZ10003</t>
        </is>
      </c>
      <c r="Q265" s="3" t="inlineStr">
        <is>
          <t>77242113UCO2001</t>
        </is>
      </c>
    </row>
    <row r="266">
      <c r="A266" s="2" t="str">
        <f>HYPERLINK("https://vtmf.veevavault.com/ui/#doc_info/27033386/2/0", "77242113UCO2001-CZE-Z92-CZ10003-Site Training Documentation-20 Aug 2025 (v2.0)")</f>
        <v>77242113UCO2001-CZE-Z92-CZ10003-Site Training Documentation-20 Aug 2025 (v2.0)</v>
      </c>
      <c r="B266" s="3" t="inlineStr">
        <is>
          <t>Lenka Placha</t>
        </is>
      </c>
      <c r="C266" s="3" t="inlineStr">
        <is>
          <t>Site Management</t>
        </is>
      </c>
      <c r="D266" s="3" t="inlineStr">
        <is>
          <t>Site Initiation</t>
        </is>
      </c>
      <c r="E266" s="3" t="inlineStr">
        <is>
          <t>Site Training Documentation</t>
        </is>
      </c>
      <c r="F266" s="3" t="inlineStr">
        <is>
          <t>CSSRS certificate PI_ Siroky Milan Jr._updated_ 20Aug25</t>
        </is>
      </c>
      <c r="G266" s="2" t="str">
        <f>HYPERLINK("https://vtmf.veevavault.com/ui/#doc_info/27033386/2/0", "VTMF-21673186")</f>
        <v>VTMF-21673186</v>
      </c>
      <c r="H266" s="3" t="inlineStr">
        <is>
          <t/>
        </is>
      </c>
      <c r="I266" s="3" t="inlineStr">
        <is>
          <t>Anthony Suarez (veeva.com)</t>
        </is>
      </c>
      <c r="J266" s="3" t="inlineStr">
        <is>
          <t>Lenka Placha</t>
        </is>
      </c>
      <c r="K266" s="4" t="n">
        <v>45894.374375</v>
      </c>
      <c r="L266" s="5" t="n">
        <v>45894.0</v>
      </c>
      <c r="M266" s="3" t="inlineStr">
        <is>
          <t>Approved</t>
        </is>
      </c>
      <c r="N266" s="3" t="inlineStr">
        <is>
          <t>Available for Distribution, CLIX Filing, Site Close</t>
        </is>
      </c>
      <c r="O266" s="3" t="inlineStr">
        <is>
          <t>Czech Republic</t>
        </is>
      </c>
      <c r="P266" s="3" t="inlineStr">
        <is>
          <t>Z92-CZ10003</t>
        </is>
      </c>
      <c r="Q266" s="3" t="inlineStr">
        <is>
          <t>77242113UCO2001</t>
        </is>
      </c>
    </row>
    <row r="267">
      <c r="A267" s="2" t="str">
        <f>HYPERLINK("https://vtmf.veevavault.com/ui/#doc_info/27033455/2/0", "77242113UCO2001-CZE-Z92-CZ10003-Site Training Documentation-21 Aug 2025 (v2.0)")</f>
        <v>77242113UCO2001-CZE-Z92-CZ10003-Site Training Documentation-21 Aug 2025 (v2.0)</v>
      </c>
      <c r="B267" s="3" t="inlineStr">
        <is>
          <t>Lenka Placha</t>
        </is>
      </c>
      <c r="C267" s="3" t="inlineStr">
        <is>
          <t>Site Management</t>
        </is>
      </c>
      <c r="D267" s="3" t="inlineStr">
        <is>
          <t>Site Initiation</t>
        </is>
      </c>
      <c r="E267" s="3" t="inlineStr">
        <is>
          <t>Site Training Documentation</t>
        </is>
      </c>
      <c r="F267" s="3" t="inlineStr">
        <is>
          <t>IATA_SN Vosoustova Petra _updated_21Aug25-21Aug27</t>
        </is>
      </c>
      <c r="G267" s="2" t="str">
        <f>HYPERLINK("https://vtmf.veevavault.com/ui/#doc_info/27033455/2/0", "VTMF-21673317")</f>
        <v>VTMF-21673317</v>
      </c>
      <c r="H267" s="3" t="inlineStr">
        <is>
          <t/>
        </is>
      </c>
      <c r="I267" s="3" t="inlineStr">
        <is>
          <t>System</t>
        </is>
      </c>
      <c r="J267" s="3" t="inlineStr">
        <is>
          <t>Lenka Placha</t>
        </is>
      </c>
      <c r="K267" s="4" t="n">
        <v>45894.37263888889</v>
      </c>
      <c r="L267" s="5" t="n">
        <v>45894.0</v>
      </c>
      <c r="M267" s="3" t="inlineStr">
        <is>
          <t>Approved</t>
        </is>
      </c>
      <c r="N267" s="3" t="inlineStr">
        <is>
          <t>Available for Distribution, CLIX Filing, Site Close</t>
        </is>
      </c>
      <c r="O267" s="3" t="inlineStr">
        <is>
          <t>Czech Republic</t>
        </is>
      </c>
      <c r="P267" s="3" t="inlineStr">
        <is>
          <t>Z92-CZ10003</t>
        </is>
      </c>
      <c r="Q267" s="3" t="inlineStr">
        <is>
          <t>77242113UCO2001</t>
        </is>
      </c>
    </row>
    <row r="268">
      <c r="A268" s="2" t="str">
        <f>HYPERLINK("https://vtmf.veevavault.com/ui/#doc_info/27033385/1/0", "77242113UCO2001-CZE-Z92-CZ10003-Site Training Documentation-22 Dec 2023 (v1.0)")</f>
        <v>77242113UCO2001-CZE-Z92-CZ10003-Site Training Documentation-22 Dec 2023 (v1.0)</v>
      </c>
      <c r="B268" s="3" t="inlineStr">
        <is>
          <t>Lenka Placha</t>
        </is>
      </c>
      <c r="C268" s="3" t="inlineStr">
        <is>
          <t>Site Management</t>
        </is>
      </c>
      <c r="D268" s="3" t="inlineStr">
        <is>
          <t>Site Initiation</t>
        </is>
      </c>
      <c r="E268" s="3" t="inlineStr">
        <is>
          <t>Site Training Documentation</t>
        </is>
      </c>
      <c r="F268" s="3" t="inlineStr">
        <is>
          <t>CSSRS certificate SI_ Siroky Milan_22Dec23</t>
        </is>
      </c>
      <c r="G268" s="2" t="str">
        <f>HYPERLINK("https://vtmf.veevavault.com/ui/#doc_info/27033385/1/0", "VTMF-21673185")</f>
        <v>VTMF-21673185</v>
      </c>
      <c r="H268" s="3" t="inlineStr">
        <is>
          <t/>
        </is>
      </c>
      <c r="I268" s="3" t="inlineStr">
        <is>
          <t>Anthony Suarez (veeva.com)</t>
        </is>
      </c>
      <c r="J268" s="3" t="inlineStr">
        <is>
          <t>Lenka Placha</t>
        </is>
      </c>
      <c r="K268" s="4" t="n">
        <v>45544.36208333333</v>
      </c>
      <c r="L268" s="5" t="n">
        <v>45544.0</v>
      </c>
      <c r="M268" s="3" t="inlineStr">
        <is>
          <t>Approved</t>
        </is>
      </c>
      <c r="N268" s="3" t="inlineStr">
        <is>
          <t>Available for Distribution, CLIX Filing, Site Close</t>
        </is>
      </c>
      <c r="O268" s="3" t="inlineStr">
        <is>
          <t>Czech Republic</t>
        </is>
      </c>
      <c r="P268" s="3" t="inlineStr">
        <is>
          <t>Z92-CZ10003</t>
        </is>
      </c>
      <c r="Q268" s="3" t="inlineStr">
        <is>
          <t>77242113UCO2001</t>
        </is>
      </c>
    </row>
    <row r="269">
      <c r="A269" s="2" t="str">
        <f>HYPERLINK("https://vtmf.veevavault.com/ui/#doc_info/24382913/1/0", "77242113UCO2001-CZE-Z92-CZ10003-Site Training Documentation-22 Feb 2023 (v1.0)")</f>
        <v>77242113UCO2001-CZE-Z92-CZ10003-Site Training Documentation-22 Feb 2023 (v1.0)</v>
      </c>
      <c r="B269" s="3" t="inlineStr">
        <is>
          <t>Marketa Zachova</t>
        </is>
      </c>
      <c r="C269" s="3" t="inlineStr">
        <is>
          <t>Site Management</t>
        </is>
      </c>
      <c r="D269" s="3" t="inlineStr">
        <is>
          <t>Site Initiation</t>
        </is>
      </c>
      <c r="E269" s="3" t="inlineStr">
        <is>
          <t>Site Training Documentation</t>
        </is>
      </c>
      <c r="F269" s="3" t="inlineStr">
        <is>
          <t>M1_GCP Siroky M_Gastroenterologie_CZ_ENG_77242113UCO2001_22Feb2023</t>
        </is>
      </c>
      <c r="G269" s="2" t="str">
        <f>HYPERLINK("https://vtmf.veevavault.com/ui/#doc_info/24382913/1/0", "VTMF-19364372")</f>
        <v>VTMF-19364372</v>
      </c>
      <c r="H269" s="3" t="inlineStr">
        <is>
          <t/>
        </is>
      </c>
      <c r="I269" s="3" t="inlineStr">
        <is>
          <t>Anthony Suarez (veeva.com)</t>
        </is>
      </c>
      <c r="J269" s="3" t="inlineStr">
        <is>
          <t>Marketa Zachova</t>
        </is>
      </c>
      <c r="K269" s="4" t="n">
        <v>45111.51342592593</v>
      </c>
      <c r="L269" s="5" t="n">
        <v>45111.0</v>
      </c>
      <c r="M269" s="3" t="inlineStr">
        <is>
          <t>Approved</t>
        </is>
      </c>
      <c r="N269" s="3" t="inlineStr">
        <is>
          <t>Available for Distribution, CLIX Filing, Site Close</t>
        </is>
      </c>
      <c r="O269" s="3" t="inlineStr">
        <is>
          <t>Czech Republic</t>
        </is>
      </c>
      <c r="P269" s="3" t="inlineStr">
        <is>
          <t>Z92-CZ10003</t>
        </is>
      </c>
      <c r="Q269" s="3" t="inlineStr">
        <is>
          <t>77242113UCO2001</t>
        </is>
      </c>
    </row>
    <row r="270">
      <c r="A270" s="2" t="str">
        <f>HYPERLINK("https://vtmf.veevavault.com/ui/#doc_info/24384569/1/0", "77242113UCO2001-CZE-Z92-CZ10003-Site Training Documentation-22 Feb 2023 (v1.0)")</f>
        <v>77242113UCO2001-CZE-Z92-CZ10003-Site Training Documentation-22 Feb 2023 (v1.0)</v>
      </c>
      <c r="B270" s="3" t="inlineStr">
        <is>
          <t>Jitka Kone</t>
        </is>
      </c>
      <c r="C270" s="3" t="inlineStr">
        <is>
          <t>Site Management</t>
        </is>
      </c>
      <c r="D270" s="3" t="inlineStr">
        <is>
          <t>Site Initiation</t>
        </is>
      </c>
      <c r="E270" s="3" t="inlineStr">
        <is>
          <t>Site Training Documentation</t>
        </is>
      </c>
      <c r="F270" s="3" t="inlineStr">
        <is>
          <t>REDACTED_M1_GCP Siroky M_Gastroenterologie_CZ_ENG_77242113UCO2001_22Feb2023</t>
        </is>
      </c>
      <c r="G270" s="2" t="str">
        <f>HYPERLINK("https://vtmf.veevavault.com/ui/#doc_info/24384569/1/0", "VTMF-19365759")</f>
        <v>VTMF-19365759</v>
      </c>
      <c r="H270" s="3" t="inlineStr">
        <is>
          <t/>
        </is>
      </c>
      <c r="I270" s="3" t="inlineStr">
        <is>
          <t>Anthony Suarez (veeva.com)</t>
        </is>
      </c>
      <c r="J270" s="3" t="inlineStr">
        <is>
          <t>Jitka Kone</t>
        </is>
      </c>
      <c r="K270" s="4" t="n">
        <v>45111.678981481484</v>
      </c>
      <c r="L270" s="5" t="n">
        <v>45111.0</v>
      </c>
      <c r="M270" s="3" t="inlineStr">
        <is>
          <t>Approved</t>
        </is>
      </c>
      <c r="N270" s="3" t="inlineStr">
        <is>
          <t>Available for Distribution, CLIX Filing, Site Close</t>
        </is>
      </c>
      <c r="O270" s="3" t="inlineStr">
        <is>
          <t>Czech Republic</t>
        </is>
      </c>
      <c r="P270" s="3" t="inlineStr">
        <is>
          <t>Z92-CZ10003</t>
        </is>
      </c>
      <c r="Q270" s="3" t="inlineStr">
        <is>
          <t>77242113UCO2001</t>
        </is>
      </c>
    </row>
    <row r="271">
      <c r="A271" s="2" t="str">
        <f>HYPERLINK("https://vtmf.veevavault.com/ui/#doc_info/24382869/1/0", "77242113UCO2001-CZE-Z92-CZ10003-Site/Staff Qualification Supporting Information (v1.0)")</f>
        <v>77242113UCO2001-CZE-Z92-CZ10003-Site/Staff Qualification Supporting Information (v1.0)</v>
      </c>
      <c r="B271" s="3" t="inlineStr">
        <is>
          <t>Marketa Zachova</t>
        </is>
      </c>
      <c r="C271" s="3" t="inlineStr">
        <is>
          <t>Site Management</t>
        </is>
      </c>
      <c r="D271" s="3" t="inlineStr">
        <is>
          <t>Site Set-up Documentation</t>
        </is>
      </c>
      <c r="E271" s="3" t="inlineStr">
        <is>
          <t>Site and Staff Qualification Supporting Information</t>
        </is>
      </c>
      <c r="F271" s="3" t="inlineStr">
        <is>
          <t>N1_Registration of Healthcare Facility Gastroenterologie_CZ_CZE_77242113UCO2001_v1_22Nov2006</t>
        </is>
      </c>
      <c r="G271" s="2" t="str">
        <f>HYPERLINK("https://vtmf.veevavault.com/ui/#doc_info/24382869/1/0", "VTMF-19364330")</f>
        <v>VTMF-19364330</v>
      </c>
      <c r="H271" s="3" t="inlineStr">
        <is>
          <t/>
        </is>
      </c>
      <c r="I271" s="3" t="inlineStr">
        <is>
          <t>Anthony Suarez (veeva.com)</t>
        </is>
      </c>
      <c r="J271" s="3" t="inlineStr">
        <is>
          <t>Marketa Zachova</t>
        </is>
      </c>
      <c r="K271" s="4" t="n">
        <v>45111.50997685185</v>
      </c>
      <c r="L271" s="5" t="n">
        <v>45111.0</v>
      </c>
      <c r="M271" s="3" t="inlineStr">
        <is>
          <t>Approved</t>
        </is>
      </c>
      <c r="N271" s="3" t="inlineStr">
        <is>
          <t>Available for Distribution, CLIX Filing, Site Close</t>
        </is>
      </c>
      <c r="O271" s="3" t="inlineStr">
        <is>
          <t>Czech Republic</t>
        </is>
      </c>
      <c r="P271" s="3" t="inlineStr">
        <is>
          <t>Z92-CZ10003</t>
        </is>
      </c>
      <c r="Q271" s="3" t="inlineStr">
        <is>
          <t>77242113UCO2001</t>
        </is>
      </c>
    </row>
    <row r="272">
      <c r="A272" s="2" t="str">
        <f>HYPERLINK("https://vtmf.veevavault.com/ui/#doc_info/24384874/1/0", "77242113UCO2001-CZE-Z92-CZ10003-Site/Staff Qualification Supporting Information (v1.0)")</f>
        <v>77242113UCO2001-CZE-Z92-CZ10003-Site/Staff Qualification Supporting Information (v1.0)</v>
      </c>
      <c r="B272" s="3" t="inlineStr">
        <is>
          <t>Jitka Kone</t>
        </is>
      </c>
      <c r="C272" s="3" t="inlineStr">
        <is>
          <t>Site Management</t>
        </is>
      </c>
      <c r="D272" s="3" t="inlineStr">
        <is>
          <t>Site Set-up Documentation</t>
        </is>
      </c>
      <c r="E272" s="3" t="inlineStr">
        <is>
          <t>Site and Staff Qualification Supporting Information</t>
        </is>
      </c>
      <c r="F272" s="3" t="inlineStr">
        <is>
          <t>REDACTED_N1_Registration of Facility Gastroenterologie CZ_CZE_77242113UCO2001_v1_22Nov2006</t>
        </is>
      </c>
      <c r="G272" s="2" t="str">
        <f>HYPERLINK("https://vtmf.veevavault.com/ui/#doc_info/24384874/1/0", "VTMF-19365972")</f>
        <v>VTMF-19365972</v>
      </c>
      <c r="H272" s="3" t="inlineStr">
        <is>
          <t/>
        </is>
      </c>
      <c r="I272" s="3" t="inlineStr">
        <is>
          <t>Anthony Suarez (veeva.com)</t>
        </is>
      </c>
      <c r="J272" s="3" t="inlineStr">
        <is>
          <t>Jitka Kone</t>
        </is>
      </c>
      <c r="K272" s="4" t="n">
        <v>45111.711909722224</v>
      </c>
      <c r="L272" s="5" t="n">
        <v>45111.0</v>
      </c>
      <c r="M272" s="3" t="inlineStr">
        <is>
          <t>Approved</t>
        </is>
      </c>
      <c r="N272" s="3" t="inlineStr">
        <is>
          <t>Available for Distribution, CLIX Filing, Site Close</t>
        </is>
      </c>
      <c r="O272" s="3" t="inlineStr">
        <is>
          <t>Czech Republic</t>
        </is>
      </c>
      <c r="P272" s="3" t="inlineStr">
        <is>
          <t>Z92-CZ10003</t>
        </is>
      </c>
      <c r="Q272" s="3" t="inlineStr">
        <is>
          <t>77242113UCO2001</t>
        </is>
      </c>
    </row>
    <row r="273">
      <c r="A273" s="2" t="str">
        <f>HYPERLINK("https://vtmf.veevavault.com/ui/#doc_info/24404958/1/0", "77242113UCO2001-CZE-Z92-CZ10003-Site/Staff Qualification Supporting Information (v1.0)")</f>
        <v>77242113UCO2001-CZE-Z92-CZ10003-Site/Staff Qualification Supporting Information (v1.0)</v>
      </c>
      <c r="B273" s="3" t="inlineStr">
        <is>
          <t>Marketa Zachova</t>
        </is>
      </c>
      <c r="C273" s="3" t="inlineStr">
        <is>
          <t>Site Management</t>
        </is>
      </c>
      <c r="D273" s="3" t="inlineStr">
        <is>
          <t>Site Set-up Documentation</t>
        </is>
      </c>
      <c r="E273" s="3" t="inlineStr">
        <is>
          <t>Site and Staff Qualification Supporting Information</t>
        </is>
      </c>
      <c r="F273" s="3" t="inlineStr">
        <is>
          <t>N1_Site Suitability Form Gastroenterologie_CZ_CZE_77242113UCO2001_v1_04Jul2023</t>
        </is>
      </c>
      <c r="G273" s="2" t="str">
        <f>HYPERLINK("https://vtmf.veevavault.com/ui/#doc_info/24404958/1/0", "VTMF-19382866")</f>
        <v>VTMF-19382866</v>
      </c>
      <c r="H273" s="3" t="inlineStr">
        <is>
          <t/>
        </is>
      </c>
      <c r="I273" s="3" t="inlineStr">
        <is>
          <t>Anthony Suarez (veeva.com)</t>
        </is>
      </c>
      <c r="J273" s="3" t="inlineStr">
        <is>
          <t>Marketa Zachova</t>
        </is>
      </c>
      <c r="K273" s="4" t="n">
        <v>45114.42105324074</v>
      </c>
      <c r="L273" s="5" t="n">
        <v>45114.0</v>
      </c>
      <c r="M273" s="3" t="inlineStr">
        <is>
          <t>Approved</t>
        </is>
      </c>
      <c r="N273" s="3" t="inlineStr">
        <is>
          <t>Available for Distribution, CLIX Filing, Site Close</t>
        </is>
      </c>
      <c r="O273" s="3" t="inlineStr">
        <is>
          <t>Czech Republic</t>
        </is>
      </c>
      <c r="P273" s="3" t="inlineStr">
        <is>
          <t>Z92-CZ10003</t>
        </is>
      </c>
      <c r="Q273" s="3" t="inlineStr">
        <is>
          <t>77242113UCO2001</t>
        </is>
      </c>
    </row>
    <row r="274">
      <c r="A274" s="2" t="str">
        <f>HYPERLINK("https://vtmf.veevavault.com/ui/#doc_info/24408034/1/0", "77242113UCO2001-CZE-Z92-CZ10003-Site/Staff Qualification Supporting Information (v1.0)")</f>
        <v>77242113UCO2001-CZE-Z92-CZ10003-Site/Staff Qualification Supporting Information (v1.0)</v>
      </c>
      <c r="B274" s="3" t="inlineStr">
        <is>
          <t>Marketa Zachova</t>
        </is>
      </c>
      <c r="C274" s="3" t="inlineStr">
        <is>
          <t>Site Management</t>
        </is>
      </c>
      <c r="D274" s="3" t="inlineStr">
        <is>
          <t>Site Set-up Documentation</t>
        </is>
      </c>
      <c r="E274" s="3" t="inlineStr">
        <is>
          <t>Site and Staff Qualification Supporting Information</t>
        </is>
      </c>
      <c r="F274" s="3" t="inlineStr">
        <is>
          <t>REDACTED_N1_Site Suitability Form Gastroenterologie_CZ_CZE_77242113UCO2001_v1_04Jul2023</t>
        </is>
      </c>
      <c r="G274" s="2" t="str">
        <f>HYPERLINK("https://vtmf.veevavault.com/ui/#doc_info/24408034/1/0", "VTMF-19385511")</f>
        <v>VTMF-19385511</v>
      </c>
      <c r="H274" s="3" t="inlineStr">
        <is>
          <t/>
        </is>
      </c>
      <c r="I274" s="3" t="inlineStr">
        <is>
          <t>Anthony Suarez (veeva.com)</t>
        </is>
      </c>
      <c r="J274" s="3" t="inlineStr">
        <is>
          <t>Marketa Zachova</t>
        </is>
      </c>
      <c r="K274" s="4" t="n">
        <v>45114.69739583333</v>
      </c>
      <c r="L274" s="5" t="n">
        <v>45114.0</v>
      </c>
      <c r="M274" s="3" t="inlineStr">
        <is>
          <t>Approved</t>
        </is>
      </c>
      <c r="N274" s="3" t="inlineStr">
        <is>
          <t>Available for Distribution, CLIX Filing, Site Close</t>
        </is>
      </c>
      <c r="O274" s="3" t="inlineStr">
        <is>
          <t>Czech Republic</t>
        </is>
      </c>
      <c r="P274" s="3" t="inlineStr">
        <is>
          <t>Z92-CZ10003</t>
        </is>
      </c>
      <c r="Q274" s="3" t="inlineStr">
        <is>
          <t>77242113UCO2001</t>
        </is>
      </c>
    </row>
    <row r="275">
      <c r="A275" s="2" t="str">
        <f>HYPERLINK("https://vtmf.veevavault.com/ui/#doc_info/29819371/1/0", "77242113UCO2001-CZE-Z92-CZ10003-Source Data-05 May 2025 (v1.0)")</f>
        <v>77242113UCO2001-CZE-Z92-CZ10003-Source Data-05 May 2025 (v1.0)</v>
      </c>
      <c r="B275" s="3" t="inlineStr">
        <is>
          <t>Lenka Placha</t>
        </is>
      </c>
      <c r="C275" s="3" t="inlineStr">
        <is>
          <t>Site Management</t>
        </is>
      </c>
      <c r="D275" s="3" t="inlineStr">
        <is>
          <t>Site Management</t>
        </is>
      </c>
      <c r="E275" s="3" t="inlineStr">
        <is>
          <t>Source Data</t>
        </is>
      </c>
      <c r="F275" s="3" t="inlineStr">
        <is>
          <t>Site confirmation video receipt form- ALIMENTIV_PI Siroky Milan Jr._05May2025</t>
        </is>
      </c>
      <c r="G275" s="2" t="str">
        <f>HYPERLINK("https://vtmf.veevavault.com/ui/#doc_info/29819371/1/0", "VTMF-23998422")</f>
        <v>VTMF-23998422</v>
      </c>
      <c r="H275" s="3" t="inlineStr">
        <is>
          <t/>
        </is>
      </c>
      <c r="I275" s="3" t="inlineStr">
        <is>
          <t>Lenka Placha</t>
        </is>
      </c>
      <c r="J275" s="3" t="inlineStr">
        <is>
          <t>Lenka Placha</t>
        </is>
      </c>
      <c r="K275" s="4" t="n">
        <v>45894.36130787037</v>
      </c>
      <c r="L275" s="5" t="n">
        <v>45894.0</v>
      </c>
      <c r="M275" s="3" t="inlineStr">
        <is>
          <t>Approved</t>
        </is>
      </c>
      <c r="N275" s="3" t="inlineStr">
        <is>
          <t>Available for Distribution, CLIX Filing, Site Start</t>
        </is>
      </c>
      <c r="O275" s="3" t="inlineStr">
        <is>
          <t>Czech Republic</t>
        </is>
      </c>
      <c r="P275" s="3" t="inlineStr">
        <is>
          <t>Z92-CZ10003</t>
        </is>
      </c>
      <c r="Q275" s="3" t="inlineStr">
        <is>
          <t>77242113UCO2001</t>
        </is>
      </c>
    </row>
    <row r="276">
      <c r="A276" s="2" t="str">
        <f>HYPERLINK("https://vtmf.veevavault.com/ui/#doc_info/25338933/1/0", "77242113UCO2001-CZE-Z92-CZ10003-Source Data-13 Dec 2023 (v1.0)")</f>
        <v>77242113UCO2001-CZE-Z92-CZ10003-Source Data-13 Dec 2023 (v1.0)</v>
      </c>
      <c r="B276" s="3" t="inlineStr">
        <is>
          <t>VI-2153 Enterprise RPA Bot</t>
        </is>
      </c>
      <c r="C276" s="3" t="inlineStr">
        <is>
          <t>Site Management</t>
        </is>
      </c>
      <c r="D276" s="3" t="inlineStr">
        <is>
          <t>Site Management</t>
        </is>
      </c>
      <c r="E276" s="3" t="inlineStr">
        <is>
          <t>Source Data</t>
        </is>
      </c>
      <c r="F276" s="3" t="inlineStr">
        <is>
          <t>SDIA</t>
        </is>
      </c>
      <c r="G276" s="2" t="str">
        <f>HYPERLINK("https://vtmf.veevavault.com/ui/#doc_info/25338933/1/0", "VTMF-20199237")</f>
        <v>VTMF-20199237</v>
      </c>
      <c r="H276" s="3" t="inlineStr">
        <is>
          <t/>
        </is>
      </c>
      <c r="I276" s="3" t="inlineStr">
        <is>
          <t>Anthony Suarez (veeva.com)</t>
        </is>
      </c>
      <c r="J276" s="3" t="inlineStr">
        <is>
          <t>VI-2153 Enterprise RPA Bot</t>
        </is>
      </c>
      <c r="K276" s="4" t="n">
        <v>45273.662881944445</v>
      </c>
      <c r="L276" s="5" t="n">
        <v>45274.0</v>
      </c>
      <c r="M276" s="3" t="inlineStr">
        <is>
          <t>Approved</t>
        </is>
      </c>
      <c r="N276" s="3" t="inlineStr">
        <is>
          <t>Available for Distribution, CLIX Filing, Site Close</t>
        </is>
      </c>
      <c r="O276" s="3" t="inlineStr">
        <is>
          <t>Czech Republic</t>
        </is>
      </c>
      <c r="P276" s="3" t="inlineStr">
        <is>
          <t>Z92-CZ10003</t>
        </is>
      </c>
      <c r="Q276" s="3" t="inlineStr">
        <is>
          <t>77242113UCO2001</t>
        </is>
      </c>
    </row>
    <row r="277">
      <c r="A277" s="2" t="str">
        <f>HYPERLINK("https://vtmf.veevavault.com/ui/#doc_info/27033624/1/0", "77242113UCO2001-CZE-Z92-CZ10003-Source Data-13 Dec 2023 (v1.0)")</f>
        <v>77242113UCO2001-CZE-Z92-CZ10003-Source Data-13 Dec 2023 (v1.0)</v>
      </c>
      <c r="B277" s="3" t="inlineStr">
        <is>
          <t>Lenka Placha</t>
        </is>
      </c>
      <c r="C277" s="3" t="inlineStr">
        <is>
          <t>Site Management</t>
        </is>
      </c>
      <c r="D277" s="3" t="inlineStr">
        <is>
          <t>Site Management</t>
        </is>
      </c>
      <c r="E277" s="3" t="inlineStr">
        <is>
          <t>Source Data</t>
        </is>
      </c>
      <c r="F277" s="3" t="inlineStr">
        <is>
          <t>PI statement- source documentation_13Dec23</t>
        </is>
      </c>
      <c r="G277" s="2" t="str">
        <f>HYPERLINK("https://vtmf.veevavault.com/ui/#doc_info/27033624/1/0", "VTMF-21673424")</f>
        <v>VTMF-21673424</v>
      </c>
      <c r="H277" s="3" t="inlineStr">
        <is>
          <t/>
        </is>
      </c>
      <c r="I277" s="3" t="inlineStr">
        <is>
          <t>Anthony Suarez (veeva.com)</t>
        </is>
      </c>
      <c r="J277" s="3" t="inlineStr">
        <is>
          <t>Lenka Placha</t>
        </is>
      </c>
      <c r="K277" s="4" t="n">
        <v>45544.3908912037</v>
      </c>
      <c r="L277" s="5" t="n">
        <v>45544.0</v>
      </c>
      <c r="M277" s="3" t="inlineStr">
        <is>
          <t>Approved</t>
        </is>
      </c>
      <c r="N277" s="3" t="inlineStr">
        <is>
          <t>Available for Distribution, CLIX Filing, Site Close</t>
        </is>
      </c>
      <c r="O277" s="3" t="inlineStr">
        <is>
          <t>Czech Republic</t>
        </is>
      </c>
      <c r="P277" s="3" t="inlineStr">
        <is>
          <t>Z92-CZ10003</t>
        </is>
      </c>
      <c r="Q277" s="3" t="inlineStr">
        <is>
          <t>77242113UCO2001</t>
        </is>
      </c>
    </row>
    <row r="278">
      <c r="A278" s="2" t="str">
        <f>HYPERLINK("https://vtmf.veevavault.com/ui/#doc_info/25939426/1/0", "77242113UCO2001-CZE-Z92-CZ10003-Sub-Investigator Curriculum Vitae-06 Dec 2023 (v1.0)")</f>
        <v>77242113UCO2001-CZE-Z92-CZ10003-Sub-Investigator Curriculum Vitae-06 Dec 2023 (v1.0)</v>
      </c>
      <c r="B278" s="3" t="inlineStr">
        <is>
          <t>Lenka Placha</t>
        </is>
      </c>
      <c r="C278" s="3" t="inlineStr">
        <is>
          <t>Site Management</t>
        </is>
      </c>
      <c r="D278" s="3" t="inlineStr">
        <is>
          <t>Site Set-up Documentation</t>
        </is>
      </c>
      <c r="E278" s="3" t="inlineStr">
        <is>
          <t>Sub-Investigator Curriculum Vitae</t>
        </is>
      </c>
      <c r="F278" s="3" t="inlineStr">
        <is>
          <t>CV_SI_EN_ Siroky Milan_initial_06Dec23</t>
        </is>
      </c>
      <c r="G278" s="2" t="str">
        <f>HYPERLINK("https://vtmf.veevavault.com/ui/#doc_info/25939426/1/0", "VTMF-20726458")</f>
        <v>VTMF-20726458</v>
      </c>
      <c r="H278" s="3" t="inlineStr">
        <is>
          <t/>
        </is>
      </c>
      <c r="I278" s="3" t="inlineStr">
        <is>
          <t>Anthony Suarez (veeva.com)</t>
        </is>
      </c>
      <c r="J278" s="3" t="inlineStr">
        <is>
          <t>Lenka Placha</t>
        </is>
      </c>
      <c r="K278" s="4" t="n">
        <v>45368.04142361111</v>
      </c>
      <c r="L278" s="5" t="n">
        <v>45367.0</v>
      </c>
      <c r="M278" s="3" t="inlineStr">
        <is>
          <t>Approved</t>
        </is>
      </c>
      <c r="N278" s="3" t="inlineStr">
        <is>
          <t>Available for Distribution, CLIX Filing, Site Close</t>
        </is>
      </c>
      <c r="O278" s="3" t="inlineStr">
        <is>
          <t>Czech Republic</t>
        </is>
      </c>
      <c r="P278" s="3" t="inlineStr">
        <is>
          <t>Z92-CZ10003</t>
        </is>
      </c>
      <c r="Q278" s="3" t="inlineStr">
        <is>
          <t>77242113UCO2001</t>
        </is>
      </c>
    </row>
    <row r="279">
      <c r="A279" s="2" t="str">
        <f>HYPERLINK("https://vtmf.veevavault.com/ui/#doc_info/29856058/1/0", "77242113UCO2001-CZE-Z92-CZ10003-Sub-Investigator Curriculum Vitae-29 Aug 2025 (v1.0)")</f>
        <v>77242113UCO2001-CZE-Z92-CZ10003-Sub-Investigator Curriculum Vitae-29 Aug 2025 (v1.0)</v>
      </c>
      <c r="B279" s="3" t="inlineStr">
        <is>
          <t>Agnesa Ruiz Kajtarova</t>
        </is>
      </c>
      <c r="C279" s="3" t="inlineStr">
        <is>
          <t>Site Management</t>
        </is>
      </c>
      <c r="D279" s="3" t="inlineStr">
        <is>
          <t>Site Set-up Documentation</t>
        </is>
      </c>
      <c r="E279" s="3" t="inlineStr">
        <is>
          <t>Sub-Investigator Curriculum Vitae</t>
        </is>
      </c>
      <c r="F279" s="3" t="inlineStr">
        <is>
          <t>CV_EN_Siroky Milan_Revised_29-Aug-2025</t>
        </is>
      </c>
      <c r="G279" s="2" t="str">
        <f>HYPERLINK("https://vtmf.veevavault.com/ui/#doc_info/29856058/1/0", "VTMF-24029686")</f>
        <v>VTMF-24029686</v>
      </c>
      <c r="H279" s="3" t="inlineStr">
        <is>
          <t/>
        </is>
      </c>
      <c r="I279" s="3" t="inlineStr">
        <is>
          <t>System</t>
        </is>
      </c>
      <c r="J279" s="3" t="inlineStr">
        <is>
          <t>Agnesa Ruiz Kajtarova</t>
        </is>
      </c>
      <c r="K279" s="4" t="n">
        <v>45898.48621527778</v>
      </c>
      <c r="L279" s="5" t="n">
        <v>45898.0</v>
      </c>
      <c r="M279" s="3" t="inlineStr">
        <is>
          <t>Approved</t>
        </is>
      </c>
      <c r="N279" s="3" t="inlineStr">
        <is>
          <t>Available for Distribution, CLIX Filing, IP Release, Site Start</t>
        </is>
      </c>
      <c r="O279" s="3" t="inlineStr">
        <is>
          <t>Czech Republic</t>
        </is>
      </c>
      <c r="P279" s="3" t="inlineStr">
        <is>
          <t>Z92-CZ10003</t>
        </is>
      </c>
      <c r="Q279" s="3" t="inlineStr">
        <is>
          <t>77242113UCO2001</t>
        </is>
      </c>
    </row>
    <row r="280">
      <c r="A280" s="2" t="str">
        <f>HYPERLINK("https://vtmf.veevavault.com/ui/#doc_info/31328079/1/0", "77242113UCO2001-CZE-Z92-CZ10003-Subject Screening Log-12 Mar 2026 (v1.0)")</f>
        <v>77242113UCO2001-CZE-Z92-CZ10003-Subject Screening Log-12 Mar 2026 (v1.0)</v>
      </c>
      <c r="B280" s="3" t="inlineStr">
        <is>
          <t>Bela Lukavcová</t>
        </is>
      </c>
      <c r="C280" s="3" t="inlineStr">
        <is>
          <t>Site Management</t>
        </is>
      </c>
      <c r="D280" s="3" t="inlineStr">
        <is>
          <t>Site Management</t>
        </is>
      </c>
      <c r="E280" s="3" t="inlineStr">
        <is>
          <t>Subject Screening Log</t>
        </is>
      </c>
      <c r="F280" s="3" t="inlineStr">
        <is>
          <t>Subject Screening Log</t>
        </is>
      </c>
      <c r="G280" s="2" t="str">
        <f>HYPERLINK("https://vtmf.veevavault.com/ui/#doc_info/31328079/1/0", "VTMF-25264781")</f>
        <v>VTMF-25264781</v>
      </c>
      <c r="H280" s="3" t="inlineStr">
        <is>
          <t/>
        </is>
      </c>
      <c r="I280" s="3" t="inlineStr">
        <is>
          <t>System</t>
        </is>
      </c>
      <c r="J280" s="3" t="inlineStr">
        <is>
          <t>Bela Lukavcová</t>
        </is>
      </c>
      <c r="K280" s="4" t="n">
        <v>46114.43788194445</v>
      </c>
      <c r="L280" s="5" t="n">
        <v>46114.0</v>
      </c>
      <c r="M280" s="3" t="inlineStr">
        <is>
          <t>Approved</t>
        </is>
      </c>
      <c r="N280" s="3" t="inlineStr">
        <is>
          <t>Available for Distribution, CLIX Filing, Site Close</t>
        </is>
      </c>
      <c r="O280" s="3" t="inlineStr">
        <is>
          <t>Czech Republic</t>
        </is>
      </c>
      <c r="P280" s="3" t="inlineStr">
        <is>
          <t>Z92-CZ10003</t>
        </is>
      </c>
      <c r="Q280" s="3" t="inlineStr">
        <is>
          <t>77242113UCO2001</t>
        </is>
      </c>
    </row>
    <row r="281">
      <c r="A281" s="2" t="str">
        <f>HYPERLINK("https://vtmf.veevavault.com/ui/#doc_info/27140987/1/0", "77242113UCO2001-CZE-Z92-CZ10003-Subject Screening Log-20 Sep 2024 (v1.0)")</f>
        <v>77242113UCO2001-CZE-Z92-CZ10003-Subject Screening Log-20 Sep 2024 (v1.0)</v>
      </c>
      <c r="B281" s="3" t="inlineStr">
        <is>
          <t>Lenka Placha</t>
        </is>
      </c>
      <c r="C281" s="3" t="inlineStr">
        <is>
          <t>Site Management</t>
        </is>
      </c>
      <c r="D281" s="3" t="inlineStr">
        <is>
          <t>Site Management</t>
        </is>
      </c>
      <c r="E281" s="3" t="inlineStr">
        <is>
          <t>Subject Screening Log</t>
        </is>
      </c>
      <c r="F281" s="3" t="inlineStr">
        <is>
          <t>ICF logs-site Z92-CZ10003_20Sep24</t>
        </is>
      </c>
      <c r="G281" s="2" t="str">
        <f>HYPERLINK("https://vtmf.veevavault.com/ui/#doc_info/27140987/1/0", "VTMF-21759009")</f>
        <v>VTMF-21759009</v>
      </c>
      <c r="H281" s="3" t="inlineStr">
        <is>
          <t/>
        </is>
      </c>
      <c r="I281" s="3" t="inlineStr">
        <is>
          <t>Anthony Suarez (veeva.com)</t>
        </is>
      </c>
      <c r="J281" s="3" t="inlineStr">
        <is>
          <t>Lenka Placha</t>
        </is>
      </c>
      <c r="K281" s="4" t="n">
        <v>45560.74921296296</v>
      </c>
      <c r="L281" s="5" t="n">
        <v>45560.0</v>
      </c>
      <c r="M281" s="3" t="inlineStr">
        <is>
          <t>Approved</t>
        </is>
      </c>
      <c r="N281" s="3" t="inlineStr">
        <is>
          <t>Available for Distribution, CLIX Filing, Site Close</t>
        </is>
      </c>
      <c r="O281" s="3" t="inlineStr">
        <is>
          <t>Czech Republic</t>
        </is>
      </c>
      <c r="P281" s="3" t="inlineStr">
        <is>
          <t>Z92-CZ10003</t>
        </is>
      </c>
      <c r="Q281" s="3" t="inlineStr">
        <is>
          <t>77242113UCO2001</t>
        </is>
      </c>
    </row>
    <row r="282">
      <c r="A282" s="2" t="str">
        <f>HYPERLINK("https://vtmf.veevavault.com/ui/#doc_info/27140997/1/0", "77242113UCO2001-CZE-Z92-CZ10003-Subject Screening Log-20 Sep 2024 (v1.0)")</f>
        <v>77242113UCO2001-CZE-Z92-CZ10003-Subject Screening Log-20 Sep 2024 (v1.0)</v>
      </c>
      <c r="B282" s="3" t="inlineStr">
        <is>
          <t>Lenka Placha</t>
        </is>
      </c>
      <c r="C282" s="3" t="inlineStr">
        <is>
          <t>Site Management</t>
        </is>
      </c>
      <c r="D282" s="3" t="inlineStr">
        <is>
          <t>Site Management</t>
        </is>
      </c>
      <c r="E282" s="3" t="inlineStr">
        <is>
          <t>Subject Screening Log</t>
        </is>
      </c>
      <c r="F282" s="3" t="inlineStr">
        <is>
          <t>Subj screening log- site Z92-CZ1003_20Sep24</t>
        </is>
      </c>
      <c r="G282" s="2" t="str">
        <f>HYPERLINK("https://vtmf.veevavault.com/ui/#doc_info/27140997/1/0", "VTMF-21759026")</f>
        <v>VTMF-21759026</v>
      </c>
      <c r="H282" s="3" t="inlineStr">
        <is>
          <t/>
        </is>
      </c>
      <c r="I282" s="3" t="inlineStr">
        <is>
          <t>Anthony Suarez (veeva.com)</t>
        </is>
      </c>
      <c r="J282" s="3" t="inlineStr">
        <is>
          <t>Lenka Placha</t>
        </is>
      </c>
      <c r="K282" s="4" t="n">
        <v>45560.75170138889</v>
      </c>
      <c r="L282" s="5" t="n">
        <v>45560.0</v>
      </c>
      <c r="M282" s="3" t="inlineStr">
        <is>
          <t>Approved</t>
        </is>
      </c>
      <c r="N282" s="3" t="inlineStr">
        <is>
          <t>Available for Distribution, CLIX Filing, Site Close</t>
        </is>
      </c>
      <c r="O282" s="3" t="inlineStr">
        <is>
          <t>Czech Republic</t>
        </is>
      </c>
      <c r="P282" s="3" t="inlineStr">
        <is>
          <t>Z92-CZ10003</t>
        </is>
      </c>
      <c r="Q282" s="3" t="inlineStr">
        <is>
          <t>77242113UCO2001</t>
        </is>
      </c>
    </row>
    <row r="283">
      <c r="A283" s="2" t="str">
        <f>HYPERLINK("https://vtmf.veevavault.com/ui/#doc_info/31328170/1/0", "77242113UCO2001-CZE-Z92-CZ10003-Temperature Log (v1.0)")</f>
        <v>77242113UCO2001-CZE-Z92-CZ10003-Temperature Log (v1.0)</v>
      </c>
      <c r="B283" s="3" t="inlineStr">
        <is>
          <t>Bela Lukavcová</t>
        </is>
      </c>
      <c r="C283" s="3" t="inlineStr">
        <is>
          <t>IP and Trial Supplies</t>
        </is>
      </c>
      <c r="D283" s="3" t="inlineStr">
        <is>
          <t>IP Documentation</t>
        </is>
      </c>
      <c r="E283" s="3" t="inlineStr">
        <is>
          <t>Temperature Log</t>
        </is>
      </c>
      <c r="F283" s="3" t="inlineStr">
        <is>
          <t>Temperature Log_Jan2024-Mar2025_KLT-24-K-1416</t>
        </is>
      </c>
      <c r="G283" s="2" t="str">
        <f>HYPERLINK("https://vtmf.veevavault.com/ui/#doc_info/31328170/1/0", "VTMF-25264815")</f>
        <v>VTMF-25264815</v>
      </c>
      <c r="H283" s="3" t="inlineStr">
        <is>
          <t/>
        </is>
      </c>
      <c r="I283" s="3" t="inlineStr">
        <is>
          <t>System</t>
        </is>
      </c>
      <c r="J283" s="3" t="inlineStr">
        <is>
          <t>Bela Lukavcová</t>
        </is>
      </c>
      <c r="K283" s="4" t="n">
        <v>46114.441145833334</v>
      </c>
      <c r="L283" s="5" t="n">
        <v>46114.0</v>
      </c>
      <c r="M283" s="3" t="inlineStr">
        <is>
          <t>Approved</t>
        </is>
      </c>
      <c r="N283" s="3" t="inlineStr">
        <is>
          <t>Site Close</t>
        </is>
      </c>
      <c r="O283" s="3" t="inlineStr">
        <is>
          <t>Czech Republic</t>
        </is>
      </c>
      <c r="P283" s="3" t="inlineStr">
        <is>
          <t>Z92-CZ10003</t>
        </is>
      </c>
      <c r="Q283" s="3" t="inlineStr">
        <is>
          <t>77242113UCO2001</t>
        </is>
      </c>
    </row>
    <row r="284">
      <c r="A284" s="2" t="str">
        <f>HYPERLINK("https://vtmf.veevavault.com/ui/#doc_info/31328198/1/0", "77242113UCO2001-CZE-Z92-CZ10003-Temperature Log (v1.0)")</f>
        <v>77242113UCO2001-CZE-Z92-CZ10003-Temperature Log (v1.0)</v>
      </c>
      <c r="B284" s="3" t="inlineStr">
        <is>
          <t>Bela Lukavcová</t>
        </is>
      </c>
      <c r="C284" s="3" t="inlineStr">
        <is>
          <t>IP and Trial Supplies</t>
        </is>
      </c>
      <c r="D284" s="3" t="inlineStr">
        <is>
          <t>IP Documentation</t>
        </is>
      </c>
      <c r="E284" s="3" t="inlineStr">
        <is>
          <t>Temperature Log</t>
        </is>
      </c>
      <c r="F284" s="3" t="inlineStr">
        <is>
          <t>Temperature Log_Oct2024-Mar2025_Termio107M22</t>
        </is>
      </c>
      <c r="G284" s="2" t="str">
        <f>HYPERLINK("https://vtmf.veevavault.com/ui/#doc_info/31328198/1/0", "VTMF-25264851")</f>
        <v>VTMF-25264851</v>
      </c>
      <c r="H284" s="3" t="inlineStr">
        <is>
          <t/>
        </is>
      </c>
      <c r="I284" s="3" t="inlineStr">
        <is>
          <t>System</t>
        </is>
      </c>
      <c r="J284" s="3" t="inlineStr">
        <is>
          <t>Bela Lukavcová</t>
        </is>
      </c>
      <c r="K284" s="4" t="n">
        <v>46114.443194444444</v>
      </c>
      <c r="L284" s="5" t="n">
        <v>46114.0</v>
      </c>
      <c r="M284" s="3" t="inlineStr">
        <is>
          <t>Approved</t>
        </is>
      </c>
      <c r="N284" s="3" t="inlineStr">
        <is>
          <t>Site Close</t>
        </is>
      </c>
      <c r="O284" s="3" t="inlineStr">
        <is>
          <t>Czech Republic</t>
        </is>
      </c>
      <c r="P284" s="3" t="inlineStr">
        <is>
          <t>Z92-CZ10003</t>
        </is>
      </c>
      <c r="Q284" s="3" t="inlineStr">
        <is>
          <t>77242113UCO2001</t>
        </is>
      </c>
    </row>
    <row r="285">
      <c r="A285" s="2" t="str">
        <f>HYPERLINK("https://vtmf.veevavault.com/ui/#doc_info/31328282/1/0", "77242113UCO2001-CZE-Z92-CZ10003-Temperature Log (v1.0)")</f>
        <v>77242113UCO2001-CZE-Z92-CZ10003-Temperature Log (v1.0)</v>
      </c>
      <c r="B285" s="3" t="inlineStr">
        <is>
          <t>Bela Lukavcová</t>
        </is>
      </c>
      <c r="C285" s="3" t="inlineStr">
        <is>
          <t>IP and Trial Supplies</t>
        </is>
      </c>
      <c r="D285" s="3" t="inlineStr">
        <is>
          <t>IP Documentation</t>
        </is>
      </c>
      <c r="E285" s="3" t="inlineStr">
        <is>
          <t>Temperature Log</t>
        </is>
      </c>
      <c r="F285" s="3" t="inlineStr">
        <is>
          <t>Temperature Log_Pharmacy_Jan2024-Feb2026</t>
        </is>
      </c>
      <c r="G285" s="2" t="str">
        <f>HYPERLINK("https://vtmf.veevavault.com/ui/#doc_info/31328282/1/0", "VTMF-25265036")</f>
        <v>VTMF-25265036</v>
      </c>
      <c r="H285" s="3" t="inlineStr">
        <is>
          <t/>
        </is>
      </c>
      <c r="I285" s="3" t="inlineStr">
        <is>
          <t>System</t>
        </is>
      </c>
      <c r="J285" s="3" t="inlineStr">
        <is>
          <t>Bela Lukavcová</t>
        </is>
      </c>
      <c r="K285" s="4" t="n">
        <v>46114.46302083333</v>
      </c>
      <c r="L285" s="5" t="n">
        <v>46114.0</v>
      </c>
      <c r="M285" s="3" t="inlineStr">
        <is>
          <t>Approved</t>
        </is>
      </c>
      <c r="N285" s="3" t="inlineStr">
        <is>
          <t>Site Close</t>
        </is>
      </c>
      <c r="O285" s="3" t="inlineStr">
        <is>
          <t>Czech Republic</t>
        </is>
      </c>
      <c r="P285" s="3" t="inlineStr">
        <is>
          <t>Z92-CZ10003</t>
        </is>
      </c>
      <c r="Q285" s="3" t="inlineStr">
        <is>
          <t>77242113UCO2001</t>
        </is>
      </c>
    </row>
    <row r="286">
      <c r="A286" s="2" t="str">
        <f>HYPERLINK("https://vtmf.veevavault.com/ui/#doc_info/29782808/1/0", "77242113UCO2001-CZE-Z92-CZ10003-Temperature Monitor Validation/Calibration Cert.-04 Aug 2025 (v1.0)")</f>
        <v>77242113UCO2001-CZE-Z92-CZ10003-Temperature Monitor Validation/Calibration Cert.-04 Aug 2025 (v1.0)</v>
      </c>
      <c r="B286" s="3" t="inlineStr">
        <is>
          <t>Jitka Kone</t>
        </is>
      </c>
      <c r="C286" s="3" t="inlineStr">
        <is>
          <t>IP and Trial Supplies</t>
        </is>
      </c>
      <c r="D286" s="3" t="inlineStr">
        <is>
          <t>Storage</t>
        </is>
      </c>
      <c r="E286" s="3" t="inlineStr">
        <is>
          <t>Temperature Monitor Validation/Calibration Certificates</t>
        </is>
      </c>
      <c r="F286" s="3" t="inlineStr">
        <is>
          <t>Calibration certificate KLT - 25K - 9000</t>
        </is>
      </c>
      <c r="G286" s="2" t="str">
        <f>HYPERLINK("https://vtmf.veevavault.com/ui/#doc_info/29782808/1/0", "VTMF-23966990")</f>
        <v>VTMF-23966990</v>
      </c>
      <c r="H286" s="3" t="inlineStr">
        <is>
          <t/>
        </is>
      </c>
      <c r="I286" s="3" t="inlineStr">
        <is>
          <t>System</t>
        </is>
      </c>
      <c r="J286" s="3" t="inlineStr">
        <is>
          <t>Jitka Kone</t>
        </is>
      </c>
      <c r="K286" s="4" t="n">
        <v>45887.713738425926</v>
      </c>
      <c r="L286" s="5" t="n">
        <v>45887.0</v>
      </c>
      <c r="M286" s="3" t="inlineStr">
        <is>
          <t>Approved</t>
        </is>
      </c>
      <c r="N286" s="3" t="inlineStr">
        <is>
          <t>Available for Distribution, CLIX Filing, Country Close, Site Close, Study Close</t>
        </is>
      </c>
      <c r="O286" s="3" t="inlineStr">
        <is>
          <t>Czech Republic</t>
        </is>
      </c>
      <c r="P286" s="3" t="inlineStr">
        <is>
          <t>Z92-CZ10003</t>
        </is>
      </c>
      <c r="Q286" s="3" t="inlineStr">
        <is>
          <t>77242113UCO2001</t>
        </is>
      </c>
    </row>
    <row r="287">
      <c r="A287" s="2" t="str">
        <f>HYPERLINK("https://vtmf.veevavault.com/ui/#doc_info/27114141/1/0", "77242113UCO2001-CZE-Z92-CZ10003-Temperature Monitor Validation/Calibration Cert.-27 Aug 2024 (v1.0)")</f>
        <v>77242113UCO2001-CZE-Z92-CZ10003-Temperature Monitor Validation/Calibration Cert.-27 Aug 2024 (v1.0)</v>
      </c>
      <c r="B287" s="3" t="inlineStr">
        <is>
          <t>Jitka Kone</t>
        </is>
      </c>
      <c r="C287" s="3" t="inlineStr">
        <is>
          <t>IP and Trial Supplies</t>
        </is>
      </c>
      <c r="D287" s="3" t="inlineStr">
        <is>
          <t>Storage</t>
        </is>
      </c>
      <c r="E287" s="3" t="inlineStr">
        <is>
          <t>Temperature Monitor Validation/Calibration Certificates</t>
        </is>
      </c>
      <c r="F287" s="3" t="inlineStr">
        <is>
          <t>Calibration certificate KLT-24K-7735</t>
        </is>
      </c>
      <c r="G287" s="2" t="str">
        <f>HYPERLINK("https://vtmf.veevavault.com/ui/#doc_info/27114141/1/0", "VTMF-21735934")</f>
        <v>VTMF-21735934</v>
      </c>
      <c r="H287" s="3" t="inlineStr">
        <is>
          <t/>
        </is>
      </c>
      <c r="I287" s="3" t="inlineStr">
        <is>
          <t>Anthony Suarez (veeva.com)</t>
        </is>
      </c>
      <c r="J287" s="3" t="inlineStr">
        <is>
          <t>Jitka Kone</t>
        </is>
      </c>
      <c r="K287" s="4" t="n">
        <v>45555.69425925926</v>
      </c>
      <c r="L287" s="5" t="n">
        <v>45555.0</v>
      </c>
      <c r="M287" s="3" t="inlineStr">
        <is>
          <t>Approved</t>
        </is>
      </c>
      <c r="N287" s="3" t="inlineStr">
        <is>
          <t>Available for Distribution, CLIX Filing, Site Close</t>
        </is>
      </c>
      <c r="O287" s="3" t="inlineStr">
        <is>
          <t>Czech Republic</t>
        </is>
      </c>
      <c r="P287" s="3" t="inlineStr">
        <is>
          <t>Z92-CZ10003</t>
        </is>
      </c>
      <c r="Q287" s="3" t="inlineStr">
        <is>
          <t>77242113UCO2001</t>
        </is>
      </c>
    </row>
    <row r="288">
      <c r="A288" s="2" t="str">
        <f>HYPERLINK("https://vtmf.veevavault.com/ui/#doc_info/31328042/1/0", "77242113UCO2001-CZE-Z92-CZ10003-Tracking Information-12 Mar 2026 (v1.0)")</f>
        <v>77242113UCO2001-CZE-Z92-CZ10003-Tracking Information-12 Mar 2026 (v1.0)</v>
      </c>
      <c r="B288" s="3" t="inlineStr">
        <is>
          <t>Bela Lukavcová</t>
        </is>
      </c>
      <c r="C288" s="3" t="inlineStr">
        <is>
          <t>Trial Management</t>
        </is>
      </c>
      <c r="D288" s="3" t="inlineStr">
        <is>
          <t>General</t>
        </is>
      </c>
      <c r="E288" s="3" t="inlineStr">
        <is>
          <t>Tracking Information</t>
        </is>
      </c>
      <c r="F288" s="3" t="inlineStr">
        <is>
          <t>ICF and Related Documents Log</t>
        </is>
      </c>
      <c r="G288" s="2" t="str">
        <f>HYPERLINK("https://vtmf.veevavault.com/ui/#doc_info/31328042/1/0", "VTMF-25264710")</f>
        <v>VTMF-25264710</v>
      </c>
      <c r="H288" s="3" t="inlineStr">
        <is>
          <t/>
        </is>
      </c>
      <c r="I288" s="3" t="inlineStr">
        <is>
          <t>System</t>
        </is>
      </c>
      <c r="J288" s="3" t="inlineStr">
        <is>
          <t>Bela Lukavcová</t>
        </is>
      </c>
      <c r="K288" s="4" t="n">
        <v>46114.43193287037</v>
      </c>
      <c r="L288" s="5" t="n">
        <v>46114.0</v>
      </c>
      <c r="M288" s="3" t="inlineStr">
        <is>
          <t>Approved</t>
        </is>
      </c>
      <c r="N288" s="3" t="inlineStr">
        <is>
          <t>Study Close</t>
        </is>
      </c>
      <c r="O288" s="3" t="inlineStr">
        <is>
          <t>Czech Republic</t>
        </is>
      </c>
      <c r="P288" s="3" t="inlineStr">
        <is>
          <t>Z92-CZ10003</t>
        </is>
      </c>
      <c r="Q288" s="3" t="inlineStr">
        <is>
          <t>77242113UCO2001</t>
        </is>
      </c>
    </row>
    <row r="289">
      <c r="A289" s="2" t="str">
        <f>HYPERLINK("https://vtmf.veevavault.com/ui/#doc_info/25420567/1/0", "77242113UCO2001-CZE-Z92-CZ10003-Trial Initiation Monitoring Report-14 Dec 2023 (v1.0)")</f>
        <v>77242113UCO2001-CZE-Z92-CZ10003-Trial Initiation Monitoring Report-14 Dec 2023 (v1.0)</v>
      </c>
      <c r="B289" s="3" t="inlineStr">
        <is>
          <t>Admin User Medidata</t>
        </is>
      </c>
      <c r="C289" s="3" t="inlineStr">
        <is>
          <t>Site Management</t>
        </is>
      </c>
      <c r="D289" s="3" t="inlineStr">
        <is>
          <t>Site Initiation</t>
        </is>
      </c>
      <c r="E289" s="3" t="inlineStr">
        <is>
          <t>Trial Initiation Monitoring Report</t>
        </is>
      </c>
      <c r="F289" s="3" t="inlineStr">
        <is>
          <t/>
        </is>
      </c>
      <c r="G289" s="2" t="str">
        <f>HYPERLINK("https://vtmf.veevavault.com/ui/#doc_info/25420567/1/0", "VTMF-20270279")</f>
        <v>VTMF-20270279</v>
      </c>
      <c r="H289" s="3" t="inlineStr">
        <is>
          <t/>
        </is>
      </c>
      <c r="I289" s="3" t="inlineStr">
        <is>
          <t>System</t>
        </is>
      </c>
      <c r="J289" s="3" t="inlineStr">
        <is>
          <t>Admin User Medidata</t>
        </is>
      </c>
      <c r="K289" s="4" t="n">
        <v>45288.722337962965</v>
      </c>
      <c r="L289" s="5" t="n">
        <v>45288.0</v>
      </c>
      <c r="M289" s="3" t="inlineStr">
        <is>
          <t>Approved</t>
        </is>
      </c>
      <c r="N289" s="3" t="inlineStr">
        <is>
          <t>Available for Distribution, CLIX Filing, Site Close</t>
        </is>
      </c>
      <c r="O289" s="3" t="inlineStr">
        <is>
          <t>Czech Republic</t>
        </is>
      </c>
      <c r="P289" s="3" t="inlineStr">
        <is>
          <t>Z92-CZ10003</t>
        </is>
      </c>
      <c r="Q289" s="3" t="inlineStr">
        <is>
          <t>77242113UCO2001</t>
        </is>
      </c>
    </row>
    <row r="290">
      <c r="A290" s="2" t="str">
        <f>HYPERLINK("https://vtmf.veevavault.com/ui/#doc_info/25939398/4/0", "77242113UCO2001-CZE-Z92-CZ10003-Visit Log (v4.0)")</f>
        <v>77242113UCO2001-CZE-Z92-CZ10003-Visit Log (v4.0)</v>
      </c>
      <c r="B290" s="3" t="inlineStr">
        <is>
          <t>Lenka Placha</t>
        </is>
      </c>
      <c r="C290" s="3" t="inlineStr">
        <is>
          <t>Site Management</t>
        </is>
      </c>
      <c r="D290" s="3" t="inlineStr">
        <is>
          <t>Site Management</t>
        </is>
      </c>
      <c r="E290" s="3" t="inlineStr">
        <is>
          <t>Visit Log</t>
        </is>
      </c>
      <c r="F290" s="3" t="inlineStr">
        <is>
          <t>TCVL_site_site Z92-CZ10003-20Aug25</t>
        </is>
      </c>
      <c r="G290" s="2" t="str">
        <f>HYPERLINK("https://vtmf.veevavault.com/ui/#doc_info/25939398/4/0", "VTMF-20726438")</f>
        <v>VTMF-20726438</v>
      </c>
      <c r="H290" s="3" t="inlineStr">
        <is>
          <t/>
        </is>
      </c>
      <c r="I290" s="3" t="inlineStr">
        <is>
          <t>Anthony Suarez (veeva.com)</t>
        </is>
      </c>
      <c r="J290" s="3" t="inlineStr">
        <is>
          <t>Lenka Placha</t>
        </is>
      </c>
      <c r="K290" s="4" t="n">
        <v>45894.36752314815</v>
      </c>
      <c r="L290" s="5" t="n">
        <v>45894.0</v>
      </c>
      <c r="M290" s="3" t="inlineStr">
        <is>
          <t>Approved</t>
        </is>
      </c>
      <c r="N290" s="3" t="inlineStr">
        <is>
          <t>Available for Distribution, CLIX Filing, Site Close</t>
        </is>
      </c>
      <c r="O290" s="3" t="inlineStr">
        <is>
          <t>Czech Republic</t>
        </is>
      </c>
      <c r="P290" s="3" t="inlineStr">
        <is>
          <t>Z92-CZ10003</t>
        </is>
      </c>
      <c r="Q290" s="3" t="inlineStr">
        <is>
          <t>77242113UCO2001</t>
        </is>
      </c>
    </row>
    <row r="291">
      <c r="A291" s="2" t="str">
        <f>HYPERLINK("https://vtmf.veevavault.com/ui/#doc_info/25939399/4/0", "77242113UCO2001-CZE-Z92-CZ10003-Visit Log (v4.0)")</f>
        <v>77242113UCO2001-CZE-Z92-CZ10003-Visit Log (v4.0)</v>
      </c>
      <c r="B291" s="3" t="inlineStr">
        <is>
          <t>Lenka Placha</t>
        </is>
      </c>
      <c r="C291" s="3" t="inlineStr">
        <is>
          <t>Site Management</t>
        </is>
      </c>
      <c r="D291" s="3" t="inlineStr">
        <is>
          <t>Site Management</t>
        </is>
      </c>
      <c r="E291" s="3" t="inlineStr">
        <is>
          <t>Visit Log</t>
        </is>
      </c>
      <c r="F291" s="3" t="inlineStr">
        <is>
          <t>TCVL_pharmacy_MV_site Z92-CZ10003-20Aug25</t>
        </is>
      </c>
      <c r="G291" s="2" t="str">
        <f>HYPERLINK("https://vtmf.veevavault.com/ui/#doc_info/25939399/4/0", "VTMF-20726439")</f>
        <v>VTMF-20726439</v>
      </c>
      <c r="H291" s="3" t="inlineStr">
        <is>
          <t/>
        </is>
      </c>
      <c r="I291" s="3" t="inlineStr">
        <is>
          <t>Anthony Suarez (veeva.com)</t>
        </is>
      </c>
      <c r="J291" s="3" t="inlineStr">
        <is>
          <t>Lenka Placha</t>
        </is>
      </c>
      <c r="K291" s="4" t="n">
        <v>45894.36927083333</v>
      </c>
      <c r="L291" s="5" t="n">
        <v>45894.0</v>
      </c>
      <c r="M291" s="3" t="inlineStr">
        <is>
          <t>Approved</t>
        </is>
      </c>
      <c r="N291" s="3" t="inlineStr">
        <is>
          <t>Available for Distribution, CLIX Filing, Site Close</t>
        </is>
      </c>
      <c r="O291" s="3" t="inlineStr">
        <is>
          <t>Czech Republic</t>
        </is>
      </c>
      <c r="P291" s="3" t="inlineStr">
        <is>
          <t>Z92-CZ10003</t>
        </is>
      </c>
      <c r="Q291" s="3" t="inlineStr">
        <is>
          <t>77242113UCO2001</t>
        </is>
      </c>
    </row>
    <row r="292">
      <c r="A292" s="2" t="str">
        <f>HYPERLINK("https://vtmf.veevavault.com/ui/#doc_info/31328327/1/0", "77242113UCO2001-CZE-Z92-CZ10003-Visit Log (v1.0)")</f>
        <v>77242113UCO2001-CZE-Z92-CZ10003-Visit Log (v1.0)</v>
      </c>
      <c r="B292" s="3" t="inlineStr">
        <is>
          <t>Bela Lukavcová</t>
        </is>
      </c>
      <c r="C292" s="3" t="inlineStr">
        <is>
          <t>Site Management</t>
        </is>
      </c>
      <c r="D292" s="3" t="inlineStr">
        <is>
          <t>Site Management</t>
        </is>
      </c>
      <c r="E292" s="3" t="inlineStr">
        <is>
          <t>Visit Log</t>
        </is>
      </c>
      <c r="F292" s="3" t="inlineStr">
        <is>
          <t>Trial Center Visit Log_Final</t>
        </is>
      </c>
      <c r="G292" s="2" t="str">
        <f>HYPERLINK("https://vtmf.veevavault.com/ui/#doc_info/31328327/1/0", "VTMF-25264906")</f>
        <v>VTMF-25264906</v>
      </c>
      <c r="H292" s="3" t="inlineStr">
        <is>
          <t/>
        </is>
      </c>
      <c r="I292" s="3" t="inlineStr">
        <is>
          <t>System</t>
        </is>
      </c>
      <c r="J292" s="3" t="inlineStr">
        <is>
          <t>Bela Lukavcová</t>
        </is>
      </c>
      <c r="K292" s="4" t="n">
        <v>46114.44883101852</v>
      </c>
      <c r="L292" s="5" t="n">
        <v>46114.0</v>
      </c>
      <c r="M292" s="3" t="inlineStr">
        <is>
          <t>Approved</t>
        </is>
      </c>
      <c r="N292" s="3" t="inlineStr">
        <is>
          <t>Available for Distribution, CLIX Filing, Site Close</t>
        </is>
      </c>
      <c r="O292" s="3" t="inlineStr">
        <is>
          <t>Czech Republic</t>
        </is>
      </c>
      <c r="P292" s="3" t="inlineStr">
        <is>
          <t>Z92-CZ10003</t>
        </is>
      </c>
      <c r="Q292" s="3" t="inlineStr">
        <is>
          <t>77242113UCO2001</t>
        </is>
      </c>
    </row>
    <row r="293">
      <c r="A293" s="2" t="str">
        <f>HYPERLINK("https://vtmf.veevavault.com/ui/#doc_info/31879254/1/0", "77242113UCO2001-CZE-Z92-CZ10003-Visit Log (v1.0)")</f>
        <v>77242113UCO2001-CZE-Z92-CZ10003-Visit Log (v1.0)</v>
      </c>
      <c r="B293" s="3" t="inlineStr">
        <is>
          <t>Agnesa Ruiz Kajtarova</t>
        </is>
      </c>
      <c r="C293" s="3" t="inlineStr">
        <is>
          <t>Site Management</t>
        </is>
      </c>
      <c r="D293" s="3" t="inlineStr">
        <is>
          <t>Site Management</t>
        </is>
      </c>
      <c r="E293" s="3" t="inlineStr">
        <is>
          <t>Visit Log</t>
        </is>
      </c>
      <c r="F293" s="3" t="inlineStr">
        <is>
          <t>Trial Visit Log_Final_Note to File_15JUN2026</t>
        </is>
      </c>
      <c r="G293" s="2" t="str">
        <f>HYPERLINK("https://vtmf.veevavault.com/ui/#doc_info/31879254/1/0", "VTMF-25736483")</f>
        <v>VTMF-25736483</v>
      </c>
      <c r="H293" s="3" t="inlineStr">
        <is>
          <t/>
        </is>
      </c>
      <c r="I293" s="3" t="inlineStr">
        <is>
          <t>System</t>
        </is>
      </c>
      <c r="J293" s="3" t="inlineStr">
        <is>
          <t>Agnesa Ruiz Kajtarova</t>
        </is>
      </c>
      <c r="K293" s="4" t="n">
        <v>46188.62925925926</v>
      </c>
      <c r="L293" s="5" t="n">
        <v>46188.0</v>
      </c>
      <c r="M293" s="3" t="inlineStr">
        <is>
          <t>Approved</t>
        </is>
      </c>
      <c r="N293" s="3" t="inlineStr">
        <is>
          <t>Available for Distribution, CLIX Filing, Site Close</t>
        </is>
      </c>
      <c r="O293" s="3" t="inlineStr">
        <is>
          <t>Czech Republic</t>
        </is>
      </c>
      <c r="P293" s="3" t="inlineStr">
        <is>
          <t>Z92-CZ10003</t>
        </is>
      </c>
      <c r="Q293" s="3" t="inlineStr">
        <is>
          <t>77242113UCO2001</t>
        </is>
      </c>
    </row>
    <row r="294">
      <c r="A294" s="2" t="str">
        <f>HYPERLINK("https://vtmf.veevavault.com/ui/#doc_info/25830715/1/0", "77242113UCO2001-CZE-Z92-CZ10003-Relevant Communications-01 Mar 2024 (v1.0)")</f>
        <v>77242113UCO2001-CZE-Z92-CZ10003-Relevant Communications-01 Mar 2024 (v1.0)</v>
      </c>
      <c r="B294" s="3" t="inlineStr">
        <is>
          <t>Lenka Placha</t>
        </is>
      </c>
      <c r="C294" s="3" t="inlineStr">
        <is>
          <t>Site Management</t>
        </is>
      </c>
      <c r="D294" s="3" t="inlineStr">
        <is>
          <t>General</t>
        </is>
      </c>
      <c r="E294" s="3" t="inlineStr">
        <is>
          <t>Relevant Communications</t>
        </is>
      </c>
      <c r="F294" s="3" t="inlineStr">
        <is>
          <t>email 01Mar24- information to site about triplicate ECG, sample processing stool sample WK12, urine pregnancy test Wk8_all sites</t>
        </is>
      </c>
      <c r="G294" s="2" t="str">
        <f>HYPERLINK("https://vtmf.veevavault.com/ui/#doc_info/25830715/1/0", "VTMF-20629709")</f>
        <v>VTMF-20629709</v>
      </c>
      <c r="H294" s="3" t="inlineStr">
        <is>
          <t/>
        </is>
      </c>
      <c r="I294" s="3" t="inlineStr">
        <is>
          <t>System</t>
        </is>
      </c>
      <c r="J294" s="3" t="inlineStr">
        <is>
          <t>Lenka Placha</t>
        </is>
      </c>
      <c r="K294" s="4" t="n">
        <v>45352.59583333333</v>
      </c>
      <c r="L294" s="5" t="n">
        <v>45352.0</v>
      </c>
      <c r="M294" s="3" t="inlineStr">
        <is>
          <t>Approved</t>
        </is>
      </c>
      <c r="N294" s="3" t="inlineStr">
        <is>
          <t>Available for Distribution, Country Close, Site Close, Study Close</t>
        </is>
      </c>
      <c r="O294" s="3" t="inlineStr">
        <is>
          <t>Czech Republic</t>
        </is>
      </c>
      <c r="P294" s="3" t="inlineStr">
        <is>
          <t>Z92-CZ10003, Z92-CZ10004, Z92-CZ10007, Z92-CZ10008, Z92-CZ10009</t>
        </is>
      </c>
      <c r="Q294" s="3" t="inlineStr">
        <is>
          <t>77242113UCO2001</t>
        </is>
      </c>
    </row>
    <row r="295">
      <c r="A295" s="2" t="str">
        <f>HYPERLINK("https://vtmf.veevavault.com/ui/#doc_info/25831747/1/0", "77242113UCO2001-CZE-Z92-CZ10003-Relevant Communications-01 Mar 2024 (v1.0)")</f>
        <v>77242113UCO2001-CZE-Z92-CZ10003-Relevant Communications-01 Mar 2024 (v1.0)</v>
      </c>
      <c r="B295" s="3" t="inlineStr">
        <is>
          <t>Lenka Placha</t>
        </is>
      </c>
      <c r="C295" s="3" t="inlineStr">
        <is>
          <t>Site Management</t>
        </is>
      </c>
      <c r="D295" s="3" t="inlineStr">
        <is>
          <t>General</t>
        </is>
      </c>
      <c r="E295" s="3" t="inlineStr">
        <is>
          <t>Relevant Communications</t>
        </is>
      </c>
      <c r="F295" s="3" t="inlineStr">
        <is>
          <t>email 01Mar24- information to site calculation Mayo score-all sites</t>
        </is>
      </c>
      <c r="G295" s="2" t="str">
        <f>HYPERLINK("https://vtmf.veevavault.com/ui/#doc_info/25831747/1/0", "VTMF-20630638")</f>
        <v>VTMF-20630638</v>
      </c>
      <c r="H295" s="3" t="inlineStr">
        <is>
          <t/>
        </is>
      </c>
      <c r="I295" s="3" t="inlineStr">
        <is>
          <t>System</t>
        </is>
      </c>
      <c r="J295" s="3" t="inlineStr">
        <is>
          <t>Lenka Placha</t>
        </is>
      </c>
      <c r="K295" s="4" t="n">
        <v>45352.668912037036</v>
      </c>
      <c r="L295" s="5" t="n">
        <v>45352.0</v>
      </c>
      <c r="M295" s="3" t="inlineStr">
        <is>
          <t>Approved</t>
        </is>
      </c>
      <c r="N295" s="3" t="inlineStr">
        <is>
          <t>Available for Distribution, Country Close, Site Close, Study Close</t>
        </is>
      </c>
      <c r="O295" s="3" t="inlineStr">
        <is>
          <t>Czech Republic</t>
        </is>
      </c>
      <c r="P295" s="3" t="inlineStr">
        <is>
          <t>Z92-CZ10003, Z92-CZ10004, Z92-CZ10007, Z92-CZ10008, Z92-CZ10009</t>
        </is>
      </c>
      <c r="Q295" s="3" t="inlineStr">
        <is>
          <t>77242113UCO2001</t>
        </is>
      </c>
    </row>
    <row r="296">
      <c r="A296" s="2" t="str">
        <f>HYPERLINK("https://vtmf.veevavault.com/ui/#doc_info/26067181/1/0", "77242113UCO2001-CZE-Z92-CZ10003-Relevant Communications-04 Apr 2024 (v1.0)")</f>
        <v>77242113UCO2001-CZE-Z92-CZ10003-Relevant Communications-04 Apr 2024 (v1.0)</v>
      </c>
      <c r="B296" s="3" t="inlineStr">
        <is>
          <t>Lenka Placha</t>
        </is>
      </c>
      <c r="C296" s="3" t="inlineStr">
        <is>
          <t>Site Management</t>
        </is>
      </c>
      <c r="D296" s="3" t="inlineStr">
        <is>
          <t>General</t>
        </is>
      </c>
      <c r="E296" s="3" t="inlineStr">
        <is>
          <t>Relevant Communications</t>
        </is>
      </c>
      <c r="F296" s="3" t="inlineStr">
        <is>
          <t>email 04Apr24- site information -ECG time to be updated due to daylight saving time change_all sites</t>
        </is>
      </c>
      <c r="G296" s="2" t="str">
        <f>HYPERLINK("https://vtmf.veevavault.com/ui/#doc_info/26067181/1/0", "VTMF-20839059")</f>
        <v>VTMF-20839059</v>
      </c>
      <c r="H296" s="3" t="inlineStr">
        <is>
          <t/>
        </is>
      </c>
      <c r="I296" s="3" t="inlineStr">
        <is>
          <t>System</t>
        </is>
      </c>
      <c r="J296" s="3" t="inlineStr">
        <is>
          <t>Lenka Placha</t>
        </is>
      </c>
      <c r="K296" s="4" t="n">
        <v>45386.79761574074</v>
      </c>
      <c r="L296" s="5" t="n">
        <v>45386.0</v>
      </c>
      <c r="M296" s="3" t="inlineStr">
        <is>
          <t>Approved</t>
        </is>
      </c>
      <c r="N296" s="3" t="inlineStr">
        <is>
          <t>Available for Distribution, Country Close, Site Close, Study Close</t>
        </is>
      </c>
      <c r="O296" s="3" t="inlineStr">
        <is>
          <t>Czech Republic</t>
        </is>
      </c>
      <c r="P296" s="3" t="inlineStr">
        <is>
          <t>Z92-CZ10003, Z92-CZ10004, Z92-CZ10007, Z92-CZ10008, Z92-CZ10009</t>
        </is>
      </c>
      <c r="Q296" s="3" t="inlineStr">
        <is>
          <t>77242113UCO2001</t>
        </is>
      </c>
    </row>
    <row r="297">
      <c r="A297" s="2" t="str">
        <f>HYPERLINK("https://vtmf.veevavault.com/ui/#doc_info/25861065/1/0", "77242113UCO2001-CZE-Z92-CZ10003-Relevant Communications-05 Mar 2024 (v1.0)")</f>
        <v>77242113UCO2001-CZE-Z92-CZ10003-Relevant Communications-05 Mar 2024 (v1.0)</v>
      </c>
      <c r="B297" s="3" t="inlineStr">
        <is>
          <t>Lenka Placha</t>
        </is>
      </c>
      <c r="C297" s="3" t="inlineStr">
        <is>
          <t>Site Management</t>
        </is>
      </c>
      <c r="D297" s="3" t="inlineStr">
        <is>
          <t>General</t>
        </is>
      </c>
      <c r="E297" s="3" t="inlineStr">
        <is>
          <t>Relevant Communications</t>
        </is>
      </c>
      <c r="F297" s="3" t="inlineStr">
        <is>
          <t>email 05Mar24- information to site- request to back up the endoscopy record_all sites</t>
        </is>
      </c>
      <c r="G297" s="2" t="str">
        <f>HYPERLINK("https://vtmf.veevavault.com/ui/#doc_info/25861065/1/0", "VTMF-20656723")</f>
        <v>VTMF-20656723</v>
      </c>
      <c r="H297" s="3" t="inlineStr">
        <is>
          <t/>
        </is>
      </c>
      <c r="I297" s="3" t="inlineStr">
        <is>
          <t>System</t>
        </is>
      </c>
      <c r="J297" s="3" t="inlineStr">
        <is>
          <t>Lenka Placha</t>
        </is>
      </c>
      <c r="K297" s="4" t="n">
        <v>45357.470034722224</v>
      </c>
      <c r="L297" s="5" t="n">
        <v>45357.0</v>
      </c>
      <c r="M297" s="3" t="inlineStr">
        <is>
          <t>Approved</t>
        </is>
      </c>
      <c r="N297" s="3" t="inlineStr">
        <is>
          <t>Available for Distribution, Country Close, Site Close, Study Close</t>
        </is>
      </c>
      <c r="O297" s="3" t="inlineStr">
        <is>
          <t>Czech Republic</t>
        </is>
      </c>
      <c r="P297" s="3" t="inlineStr">
        <is>
          <t>Z92-CZ10003, Z92-CZ10004, Z92-CZ10007, Z92-CZ10008, Z92-CZ10009</t>
        </is>
      </c>
      <c r="Q297" s="3" t="inlineStr">
        <is>
          <t>77242113UCO2001</t>
        </is>
      </c>
    </row>
    <row r="298">
      <c r="A298" s="2" t="str">
        <f>HYPERLINK("https://vtmf.veevavault.com/ui/#doc_info/25904216/1/0", "77242113UCO2001-CZE-Z92-CZ10003-Relevant Communications-12 Mar 2024 (v1.0)")</f>
        <v>77242113UCO2001-CZE-Z92-CZ10003-Relevant Communications-12 Mar 2024 (v1.0)</v>
      </c>
      <c r="B298" s="3" t="inlineStr">
        <is>
          <t>Lenka Placha</t>
        </is>
      </c>
      <c r="C298" s="3" t="inlineStr">
        <is>
          <t>Site Management</t>
        </is>
      </c>
      <c r="D298" s="3" t="inlineStr">
        <is>
          <t>General</t>
        </is>
      </c>
      <c r="E298" s="3" t="inlineStr">
        <is>
          <t>Relevant Communications</t>
        </is>
      </c>
      <c r="F298" s="3" t="inlineStr">
        <is>
          <t>email 12Mar24- information to site how to order ECG electrodes and large box for dry ice_all CZ sites</t>
        </is>
      </c>
      <c r="G298" s="2" t="str">
        <f>HYPERLINK("https://vtmf.veevavault.com/ui/#doc_info/25904216/1/0", "VTMF-20695009")</f>
        <v>VTMF-20695009</v>
      </c>
      <c r="H298" s="3" t="inlineStr">
        <is>
          <t/>
        </is>
      </c>
      <c r="I298" s="3" t="inlineStr">
        <is>
          <t>System</t>
        </is>
      </c>
      <c r="J298" s="3" t="inlineStr">
        <is>
          <t>Lenka Placha</t>
        </is>
      </c>
      <c r="K298" s="4" t="n">
        <v>45363.784317129626</v>
      </c>
      <c r="L298" s="5" t="n">
        <v>45363.0</v>
      </c>
      <c r="M298" s="3" t="inlineStr">
        <is>
          <t>Approved</t>
        </is>
      </c>
      <c r="N298" s="3" t="inlineStr">
        <is>
          <t>Available for Distribution, Country Close, Site Close, Study Close</t>
        </is>
      </c>
      <c r="O298" s="3" t="inlineStr">
        <is>
          <t>Czech Republic</t>
        </is>
      </c>
      <c r="P298" s="3" t="inlineStr">
        <is>
          <t>Z92-CZ10003, Z92-CZ10004, Z92-CZ10007, Z92-CZ10008, Z92-CZ10009</t>
        </is>
      </c>
      <c r="Q298" s="3" t="inlineStr">
        <is>
          <t>77242113UCO2001</t>
        </is>
      </c>
    </row>
    <row r="299">
      <c r="A299" s="2" t="str">
        <f>HYPERLINK("https://vtmf.veevavault.com/ui/#doc_info/26152988/1/0", "77242113UCO2001-CZE-Z92-CZ10003-Relevant Communications-17 Apr 2024 (v1.0)")</f>
        <v>77242113UCO2001-CZE-Z92-CZ10003-Relevant Communications-17 Apr 2024 (v1.0)</v>
      </c>
      <c r="B299" s="3" t="inlineStr">
        <is>
          <t>Lenka Placha</t>
        </is>
      </c>
      <c r="C299" s="3" t="inlineStr">
        <is>
          <t>Site Management</t>
        </is>
      </c>
      <c r="D299" s="3" t="inlineStr">
        <is>
          <t>General</t>
        </is>
      </c>
      <c r="E299" s="3" t="inlineStr">
        <is>
          <t>Relevant Communications</t>
        </is>
      </c>
      <c r="F299" s="3" t="inlineStr">
        <is>
          <t>email 17Apr24- ANTHEM- updated information Mayo score calculation for visits Wk 0_ Wk 12_ Wk 16 and Wk 28_all sites</t>
        </is>
      </c>
      <c r="G299" s="2" t="str">
        <f>HYPERLINK("https://vtmf.veevavault.com/ui/#doc_info/26152988/1/0", "VTMF-20914874")</f>
        <v>VTMF-20914874</v>
      </c>
      <c r="H299" s="3" t="inlineStr">
        <is>
          <t/>
        </is>
      </c>
      <c r="I299" s="3" t="inlineStr">
        <is>
          <t>System</t>
        </is>
      </c>
      <c r="J299" s="3" t="inlineStr">
        <is>
          <t>Lenka Placha</t>
        </is>
      </c>
      <c r="K299" s="4" t="n">
        <v>45399.952893518515</v>
      </c>
      <c r="L299" s="5" t="n">
        <v>45399.0</v>
      </c>
      <c r="M299" s="3" t="inlineStr">
        <is>
          <t>Approved</t>
        </is>
      </c>
      <c r="N299" s="3" t="inlineStr">
        <is>
          <t>Available for Distribution, Country Close, Site Close, Study Close</t>
        </is>
      </c>
      <c r="O299" s="3" t="inlineStr">
        <is>
          <t>Czech Republic</t>
        </is>
      </c>
      <c r="P299" s="3" t="inlineStr">
        <is>
          <t>Z92-CZ10003, Z92-CZ10004, Z92-CZ10007, Z92-CZ10008, Z92-CZ10009</t>
        </is>
      </c>
      <c r="Q299" s="3" t="inlineStr">
        <is>
          <t>77242113UCO2001</t>
        </is>
      </c>
    </row>
    <row r="300">
      <c r="A300" s="2" t="str">
        <f>HYPERLINK("https://vtmf.veevavault.com/ui/#doc_info/26715013/1/0", "77242113UCO2001-CZE-Z92-CZ10003-Relevant Communications-01 Jul 2024 (v1.0)")</f>
        <v>77242113UCO2001-CZE-Z92-CZ10003-Relevant Communications-01 Jul 2024 (v1.0)</v>
      </c>
      <c r="B300" s="3" t="inlineStr">
        <is>
          <t>Lenka Placha</t>
        </is>
      </c>
      <c r="C300" s="3" t="inlineStr">
        <is>
          <t>Site Management</t>
        </is>
      </c>
      <c r="D300" s="3" t="inlineStr">
        <is>
          <t>General</t>
        </is>
      </c>
      <c r="E300" s="3" t="inlineStr">
        <is>
          <t>Relevant Communications</t>
        </is>
      </c>
      <c r="F300" s="3" t="inlineStr">
        <is>
          <t>email 01Jul24- information to all site how to generate additional IP kit</t>
        </is>
      </c>
      <c r="G300" s="2" t="str">
        <f>HYPERLINK("https://vtmf.veevavault.com/ui/#doc_info/26715013/1/0", "VTMF-21405713")</f>
        <v>VTMF-21405713</v>
      </c>
      <c r="H300" s="3" t="inlineStr">
        <is>
          <t/>
        </is>
      </c>
      <c r="I300" s="3" t="inlineStr">
        <is>
          <t>Lenka Placha</t>
        </is>
      </c>
      <c r="J300" s="3" t="inlineStr">
        <is>
          <t>Lenka Placha</t>
        </is>
      </c>
      <c r="K300" s="4" t="n">
        <v>45489.474444444444</v>
      </c>
      <c r="L300" s="5" t="n">
        <v>45489.0</v>
      </c>
      <c r="M300" s="3" t="inlineStr">
        <is>
          <t>Approved</t>
        </is>
      </c>
      <c r="N300" s="3" t="inlineStr">
        <is>
          <t>Available for Distribution, Country Close, Site Close, Study Close</t>
        </is>
      </c>
      <c r="O300" s="3" t="inlineStr">
        <is>
          <t>Czech Republic</t>
        </is>
      </c>
      <c r="P300" s="3" t="inlineStr">
        <is>
          <t>Z92-CZ10003, Z92-CZ10004, Z92-CZ10008, Z92-CZ10009</t>
        </is>
      </c>
      <c r="Q300" s="3" t="inlineStr">
        <is>
          <t>77242113UCO2001</t>
        </is>
      </c>
    </row>
    <row r="301">
      <c r="A301" s="2" t="str">
        <f>HYPERLINK("https://vtmf.veevavault.com/ui/#doc_info/26715014/1/0", "77242113UCO2001-CZE-Z92-CZ10003-Relevant Communications-01 Jul 2024 (v1.0)")</f>
        <v>77242113UCO2001-CZE-Z92-CZ10003-Relevant Communications-01 Jul 2024 (v1.0)</v>
      </c>
      <c r="B301" s="3" t="inlineStr">
        <is>
          <t>Lenka Placha</t>
        </is>
      </c>
      <c r="C301" s="3" t="inlineStr">
        <is>
          <t>Site Management</t>
        </is>
      </c>
      <c r="D301" s="3" t="inlineStr">
        <is>
          <t>General</t>
        </is>
      </c>
      <c r="E301" s="3" t="inlineStr">
        <is>
          <t>Relevant Communications</t>
        </is>
      </c>
      <c r="F301" s="3" t="inlineStr">
        <is>
          <t>email 01Jul24- information to all site with Inadequate Response Criteria and Clinical Response Worksheet</t>
        </is>
      </c>
      <c r="G301" s="2" t="str">
        <f>HYPERLINK("https://vtmf.veevavault.com/ui/#doc_info/26715014/1/0", "VTMF-21405714")</f>
        <v>VTMF-21405714</v>
      </c>
      <c r="H301" s="3" t="inlineStr">
        <is>
          <t/>
        </is>
      </c>
      <c r="I301" s="3" t="inlineStr">
        <is>
          <t>System</t>
        </is>
      </c>
      <c r="J301" s="3" t="inlineStr">
        <is>
          <t>Lenka Placha</t>
        </is>
      </c>
      <c r="K301" s="4" t="n">
        <v>45489.474444444444</v>
      </c>
      <c r="L301" s="5" t="n">
        <v>45489.0</v>
      </c>
      <c r="M301" s="3" t="inlineStr">
        <is>
          <t>Approved</t>
        </is>
      </c>
      <c r="N301" s="3" t="inlineStr">
        <is>
          <t>Available for Distribution, Country Close, Site Close, Study Close</t>
        </is>
      </c>
      <c r="O301" s="3" t="inlineStr">
        <is>
          <t>Czech Republic</t>
        </is>
      </c>
      <c r="P301" s="3" t="inlineStr">
        <is>
          <t>Z92-CZ10003, Z92-CZ10004, Z92-CZ10008, Z92-CZ10009</t>
        </is>
      </c>
      <c r="Q301" s="3" t="inlineStr">
        <is>
          <t>77242113UCO2001</t>
        </is>
      </c>
    </row>
    <row r="302">
      <c r="A302" s="2" t="str">
        <f>HYPERLINK("https://vtmf.veevavault.com/ui/#doc_info/27214517/1/0", "77242113UCO2001-CZE-Z92-CZ10003-Relevant Communications-08 Oct 2024 (v1.0)")</f>
        <v>77242113UCO2001-CZE-Z92-CZ10003-Relevant Communications-08 Oct 2024 (v1.0)</v>
      </c>
      <c r="B302" s="3" t="inlineStr">
        <is>
          <t>Lenka Placha</t>
        </is>
      </c>
      <c r="C302" s="3" t="inlineStr">
        <is>
          <t>Site Management</t>
        </is>
      </c>
      <c r="D302" s="3" t="inlineStr">
        <is>
          <t>General</t>
        </is>
      </c>
      <c r="E302" s="3" t="inlineStr">
        <is>
          <t>Relevant Communications</t>
        </is>
      </c>
      <c r="F302" s="3" t="inlineStr">
        <is>
          <t>email 08Oct24- IDMC recommendations sent to all CZ sites</t>
        </is>
      </c>
      <c r="G302" s="2" t="str">
        <f>HYPERLINK("https://vtmf.veevavault.com/ui/#doc_info/27214517/1/0", "VTMF-21823344")</f>
        <v>VTMF-21823344</v>
      </c>
      <c r="H302" s="3" t="inlineStr">
        <is>
          <t/>
        </is>
      </c>
      <c r="I302" s="3" t="inlineStr">
        <is>
          <t>System</t>
        </is>
      </c>
      <c r="J302" s="3" t="inlineStr">
        <is>
          <t>Lenka Placha</t>
        </is>
      </c>
      <c r="K302" s="4" t="n">
        <v>45573.424722222226</v>
      </c>
      <c r="L302" s="5" t="n">
        <v>45573.0</v>
      </c>
      <c r="M302" s="3" t="inlineStr">
        <is>
          <t>Approved</t>
        </is>
      </c>
      <c r="N302" s="3" t="inlineStr">
        <is>
          <t>Available for Distribution, Country Close, Site Close, Study Close</t>
        </is>
      </c>
      <c r="O302" s="3" t="inlineStr">
        <is>
          <t>Czech Republic</t>
        </is>
      </c>
      <c r="P302" s="3" t="inlineStr">
        <is>
          <t>Z92-CZ10003, Z92-CZ10004, Z92-CZ10008, Z92-CZ10009</t>
        </is>
      </c>
      <c r="Q302" s="3" t="inlineStr">
        <is>
          <t>77242113UCO2001</t>
        </is>
      </c>
    </row>
    <row r="303">
      <c r="A303" s="2" t="str">
        <f>HYPERLINK("https://vtmf.veevavault.com/ui/#doc_info/26580389/1/0", "77242113UCO2001-CZE-Z92-CZ10003-Relevant Communications-24 Jun 2024 (v1.0)")</f>
        <v>77242113UCO2001-CZE-Z92-CZ10003-Relevant Communications-24 Jun 2024 (v1.0)</v>
      </c>
      <c r="B303" s="3" t="inlineStr">
        <is>
          <t>Lenka Placha</t>
        </is>
      </c>
      <c r="C303" s="3" t="inlineStr">
        <is>
          <t>Site Management</t>
        </is>
      </c>
      <c r="D303" s="3" t="inlineStr">
        <is>
          <t>General</t>
        </is>
      </c>
      <c r="E303" s="3" t="inlineStr">
        <is>
          <t>Relevant Communications</t>
        </is>
      </c>
      <c r="F303" s="3" t="inlineStr">
        <is>
          <t>24Jun24- email to sites and pharmacies- PAM3 should not be implemented now</t>
        </is>
      </c>
      <c r="G303" s="2" t="str">
        <f>HYPERLINK("https://vtmf.veevavault.com/ui/#doc_info/26580389/1/0", "VTMF-21288351")</f>
        <v>VTMF-21288351</v>
      </c>
      <c r="H303" s="3" t="inlineStr">
        <is>
          <t/>
        </is>
      </c>
      <c r="I303" s="3" t="inlineStr">
        <is>
          <t>System</t>
        </is>
      </c>
      <c r="J303" s="3" t="inlineStr">
        <is>
          <t>Lenka Placha</t>
        </is>
      </c>
      <c r="K303" s="4" t="n">
        <v>45467.65094907407</v>
      </c>
      <c r="L303" s="5" t="n">
        <v>45467.0</v>
      </c>
      <c r="M303" s="3" t="inlineStr">
        <is>
          <t>Approved</t>
        </is>
      </c>
      <c r="N303" s="3" t="inlineStr">
        <is>
          <t>Available for Distribution, Country Close, Site Close, Study Close</t>
        </is>
      </c>
      <c r="O303" s="3" t="inlineStr">
        <is>
          <t>Czech Republic</t>
        </is>
      </c>
      <c r="P303" s="3" t="inlineStr">
        <is>
          <t>Z92-CZ10003, Z92-CZ10004, Z92-CZ10008, Z92-CZ10009</t>
        </is>
      </c>
      <c r="Q303" s="3" t="inlineStr">
        <is>
          <t>77242113UCO2001</t>
        </is>
      </c>
    </row>
    <row r="304">
      <c r="A304" s="2" t="str">
        <f>HYPERLINK("https://vtmf.veevavault.com/ui/#doc_info/26581809/1/0", "77242113UCO2001-CZE-Z92-CZ10003-Relevant Communications-24 Jun 2024 (v1.0)")</f>
        <v>77242113UCO2001-CZE-Z92-CZ10003-Relevant Communications-24 Jun 2024 (v1.0)</v>
      </c>
      <c r="B304" s="3" t="inlineStr">
        <is>
          <t>Lenka Placha</t>
        </is>
      </c>
      <c r="C304" s="3" t="inlineStr">
        <is>
          <t>Site Management</t>
        </is>
      </c>
      <c r="D304" s="3" t="inlineStr">
        <is>
          <t>General</t>
        </is>
      </c>
      <c r="E304" s="3" t="inlineStr">
        <is>
          <t>Relevant Communications</t>
        </is>
      </c>
      <c r="F304" s="3" t="inlineStr">
        <is>
          <t>email 24Jun24- information to site - corticosteroid tapering</t>
        </is>
      </c>
      <c r="G304" s="2" t="str">
        <f>HYPERLINK("https://vtmf.veevavault.com/ui/#doc_info/26581809/1/0", "VTMF-21289465")</f>
        <v>VTMF-21289465</v>
      </c>
      <c r="H304" s="3" t="inlineStr">
        <is>
          <t/>
        </is>
      </c>
      <c r="I304" s="3" t="inlineStr">
        <is>
          <t>System</t>
        </is>
      </c>
      <c r="J304" s="3" t="inlineStr">
        <is>
          <t>Lenka Placha</t>
        </is>
      </c>
      <c r="K304" s="4" t="n">
        <v>45467.70606481482</v>
      </c>
      <c r="L304" s="5" t="n">
        <v>45467.0</v>
      </c>
      <c r="M304" s="3" t="inlineStr">
        <is>
          <t>Approved</t>
        </is>
      </c>
      <c r="N304" s="3" t="inlineStr">
        <is>
          <t>Available for Distribution, Country Close, Site Close, Study Close</t>
        </is>
      </c>
      <c r="O304" s="3" t="inlineStr">
        <is>
          <t>Czech Republic</t>
        </is>
      </c>
      <c r="P304" s="3" t="inlineStr">
        <is>
          <t>Z92-CZ10003, Z92-CZ10004, Z92-CZ10008, Z92-CZ10009</t>
        </is>
      </c>
      <c r="Q304" s="3" t="inlineStr">
        <is>
          <t>77242113UCO2001</t>
        </is>
      </c>
    </row>
    <row r="305">
      <c r="A305" s="2" t="str">
        <f>HYPERLINK("https://vtmf.veevavault.com/ui/#doc_info/29167484/1/0", "77242113UCO2001-CZE-Z92-CZ10003-Relevant Communications-25 Apr 2025 (v1.0)")</f>
        <v>77242113UCO2001-CZE-Z92-CZ10003-Relevant Communications-25 Apr 2025 (v1.0)</v>
      </c>
      <c r="B305" s="3" t="inlineStr">
        <is>
          <t>Lenka Placha</t>
        </is>
      </c>
      <c r="C305" s="3" t="inlineStr">
        <is>
          <t>Site Management</t>
        </is>
      </c>
      <c r="D305" s="3" t="inlineStr">
        <is>
          <t>General</t>
        </is>
      </c>
      <c r="E305" s="3" t="inlineStr">
        <is>
          <t>Relevant Communications</t>
        </is>
      </c>
      <c r="F305" s="3" t="inlineStr">
        <is>
          <t>email 25Apr25- site information about patients used placebo and next process in LTE phase</t>
        </is>
      </c>
      <c r="G305" s="2" t="str">
        <f>HYPERLINK("https://vtmf.veevavault.com/ui/#doc_info/29167484/1/0", "VTMF-23443244")</f>
        <v>VTMF-23443244</v>
      </c>
      <c r="H305" s="3" t="inlineStr">
        <is>
          <t/>
        </is>
      </c>
      <c r="I305" s="3" t="inlineStr">
        <is>
          <t>System</t>
        </is>
      </c>
      <c r="J305" s="3" t="inlineStr">
        <is>
          <t>Lenka Placha</t>
        </is>
      </c>
      <c r="K305" s="4" t="n">
        <v>45798.92275462963</v>
      </c>
      <c r="L305" s="5" t="n">
        <v>45798.0</v>
      </c>
      <c r="M305" s="3" t="inlineStr">
        <is>
          <t>Approved</t>
        </is>
      </c>
      <c r="N305" s="3" t="inlineStr">
        <is>
          <t>Available for Distribution, Country Close, Site Close, Study Close</t>
        </is>
      </c>
      <c r="O305" s="3" t="inlineStr">
        <is>
          <t>Czech Republic</t>
        </is>
      </c>
      <c r="P305" s="3" t="inlineStr">
        <is>
          <t>Z92-CZ10003, Z92-CZ10004, Z92-CZ10008, Z92-CZ10009</t>
        </is>
      </c>
      <c r="Q305" s="3" t="inlineStr">
        <is>
          <t>77242113UCO2001</t>
        </is>
      </c>
    </row>
    <row r="306">
      <c r="A306" s="2" t="str">
        <f>HYPERLINK("https://vtmf.veevavault.com/ui/#doc_info/29842763/1/0", "77242113UCO2001-CZE-Z92-CZ10003-Relevant Communications-25 Aug 2025 (v1.0)")</f>
        <v>77242113UCO2001-CZE-Z92-CZ10003-Relevant Communications-25 Aug 2025 (v1.0)</v>
      </c>
      <c r="B306" s="3" t="inlineStr">
        <is>
          <t>Lenka Placha</t>
        </is>
      </c>
      <c r="C306" s="3" t="inlineStr">
        <is>
          <t>Site Management</t>
        </is>
      </c>
      <c r="D306" s="3" t="inlineStr">
        <is>
          <t>General</t>
        </is>
      </c>
      <c r="E306" s="3" t="inlineStr">
        <is>
          <t>Relevant Communications</t>
        </is>
      </c>
      <c r="F306" s="3" t="inlineStr">
        <is>
          <t>email 25Aug25- information to site staff- Clario/IWRS visit specification WK76 and SFU</t>
        </is>
      </c>
      <c r="G306" s="2" t="str">
        <f>HYPERLINK("https://vtmf.veevavault.com/ui/#doc_info/29842763/1/0", "VTMF-24018359")</f>
        <v>VTMF-24018359</v>
      </c>
      <c r="H306" s="3" t="inlineStr">
        <is>
          <t/>
        </is>
      </c>
      <c r="I306" s="3" t="inlineStr">
        <is>
          <t>System</t>
        </is>
      </c>
      <c r="J306" s="3" t="inlineStr">
        <is>
          <t>Lenka Placha</t>
        </is>
      </c>
      <c r="K306" s="4" t="n">
        <v>45896.91878472222</v>
      </c>
      <c r="L306" s="5" t="n">
        <v>45896.0</v>
      </c>
      <c r="M306" s="3" t="inlineStr">
        <is>
          <t>Approved</t>
        </is>
      </c>
      <c r="N306" s="3" t="inlineStr">
        <is>
          <t>Available for Distribution, Country Close, Site Close, Study Close</t>
        </is>
      </c>
      <c r="O306" s="3" t="inlineStr">
        <is>
          <t>Czech Republic</t>
        </is>
      </c>
      <c r="P306" s="3" t="inlineStr">
        <is>
          <t>Z92-CZ10003, Z92-CZ10004, Z92-CZ10008, Z92-CZ10009</t>
        </is>
      </c>
      <c r="Q306" s="3" t="inlineStr">
        <is>
          <t>77242113UCO2001</t>
        </is>
      </c>
    </row>
    <row r="307">
      <c r="A307" s="2" t="str">
        <f>HYPERLINK("https://vtmf.veevavault.com/ui/#doc_info/27170218/1/0", "77242113UCO2001-CZE-Z92-CZ10003-Relevant Communications-30 Sep 2024 (v1.0)")</f>
        <v>77242113UCO2001-CZE-Z92-CZ10003-Relevant Communications-30 Sep 2024 (v1.0)</v>
      </c>
      <c r="B307" s="3" t="inlineStr">
        <is>
          <t>Lenka Placha</t>
        </is>
      </c>
      <c r="C307" s="3" t="inlineStr">
        <is>
          <t>Site Management</t>
        </is>
      </c>
      <c r="D307" s="3" t="inlineStr">
        <is>
          <t>General</t>
        </is>
      </c>
      <c r="E307" s="3" t="inlineStr">
        <is>
          <t>Relevant Communications</t>
        </is>
      </c>
      <c r="F307" s="3" t="inlineStr">
        <is>
          <t>email 30Sep24- alternate eCOA web back-up link_all sites</t>
        </is>
      </c>
      <c r="G307" s="2" t="str">
        <f>HYPERLINK("https://vtmf.veevavault.com/ui/#doc_info/27170218/1/0", "VTMF-21784516")</f>
        <v>VTMF-21784516</v>
      </c>
      <c r="H307" s="3" t="inlineStr">
        <is>
          <t/>
        </is>
      </c>
      <c r="I307" s="3" t="inlineStr">
        <is>
          <t>System</t>
        </is>
      </c>
      <c r="J307" s="3" t="inlineStr">
        <is>
          <t>Lenka Placha</t>
        </is>
      </c>
      <c r="K307" s="4" t="n">
        <v>45565.89319444444</v>
      </c>
      <c r="L307" s="5" t="n">
        <v>45565.0</v>
      </c>
      <c r="M307" s="3" t="inlineStr">
        <is>
          <t>Approved</t>
        </is>
      </c>
      <c r="N307" s="3" t="inlineStr">
        <is>
          <t>Available for Distribution, Country Close, Site Close, Study Close</t>
        </is>
      </c>
      <c r="O307" s="3" t="inlineStr">
        <is>
          <t>Czech Republic</t>
        </is>
      </c>
      <c r="P307" s="3" t="inlineStr">
        <is>
          <t>Z92-CZ10003, Z92-CZ10004, Z92-CZ10008, Z92-CZ10009</t>
        </is>
      </c>
      <c r="Q307" s="3" t="inlineStr">
        <is>
          <t>77242113UCO2001</t>
        </is>
      </c>
    </row>
    <row r="308">
      <c r="A308" s="2" t="str">
        <f>HYPERLINK("https://vtmf.veevavault.com/ui/#doc_info/29669810/1/0", "77242113UCO2001-CZE-Z92-CZ10003-Relevant Communications-31 Jul 2025 (v1.0)")</f>
        <v>77242113UCO2001-CZE-Z92-CZ10003-Relevant Communications-31 Jul 2025 (v1.0)</v>
      </c>
      <c r="B308" s="3" t="inlineStr">
        <is>
          <t>Lenka Placha</t>
        </is>
      </c>
      <c r="C308" s="3" t="inlineStr">
        <is>
          <t>Safety Reporting</t>
        </is>
      </c>
      <c r="D308" s="3" t="inlineStr">
        <is>
          <t>General</t>
        </is>
      </c>
      <c r="E308" s="3" t="inlineStr">
        <is>
          <t>Relevant Communications</t>
        </is>
      </c>
      <c r="F308" s="3" t="inlineStr">
        <is>
          <t>email 31Jul25- PI information- transmission issue with JEISR- Comments field</t>
        </is>
      </c>
      <c r="G308" s="2" t="str">
        <f>HYPERLINK("https://vtmf.veevavault.com/ui/#doc_info/29669810/1/0", "VTMF-23870139")</f>
        <v>VTMF-23870139</v>
      </c>
      <c r="H308" s="3" t="inlineStr">
        <is>
          <t/>
        </is>
      </c>
      <c r="I308" s="3" t="inlineStr">
        <is>
          <t>System</t>
        </is>
      </c>
      <c r="J308" s="3" t="inlineStr">
        <is>
          <t>Lenka Placha</t>
        </is>
      </c>
      <c r="K308" s="4" t="n">
        <v>45869.4558912037</v>
      </c>
      <c r="L308" s="5" t="n">
        <v>45869.0</v>
      </c>
      <c r="M308" s="3" t="inlineStr">
        <is>
          <t>Approved</t>
        </is>
      </c>
      <c r="N308" s="3" t="inlineStr">
        <is>
          <t>Country Close, Site Close, Study Close</t>
        </is>
      </c>
      <c r="O308" s="3" t="inlineStr">
        <is>
          <t>Czech Republic</t>
        </is>
      </c>
      <c r="P308" s="3" t="inlineStr">
        <is>
          <t>Z92-CZ10003, Z92-CZ10004, Z92-CZ10008, Z92-CZ10009</t>
        </is>
      </c>
      <c r="Q308" s="3" t="inlineStr">
        <is>
          <t>77242113UCO2001</t>
        </is>
      </c>
    </row>
    <row r="309">
      <c r="A309" s="2" t="str">
        <f>HYPERLINK("https://vtmf.veevavault.com/ui/#doc_info/29418577/1/0", "77242113UCO2001-USA-Z92-CZ10003-Record of Retained Body Fluids/Tissue Samples-05 Aug 2024 (v1.0)")</f>
        <v>77242113UCO2001-USA-Z92-CZ10003-Record of Retained Body Fluids/Tissue Samples-05 Aug 2024 (v1.0)</v>
      </c>
      <c r="B309" s="3" t="inlineStr">
        <is>
          <t>Christelle Carteron</t>
        </is>
      </c>
      <c r="C309" s="3" t="inlineStr">
        <is>
          <t>Centralized Testing</t>
        </is>
      </c>
      <c r="D309" s="3" t="inlineStr">
        <is>
          <t>Sample Documentation</t>
        </is>
      </c>
      <c r="E309" s="3" t="inlineStr">
        <is>
          <t>Record of Retained Samples</t>
        </is>
      </c>
      <c r="F309" s="3" t="inlineStr">
        <is>
          <t>certificate of destruction DNA samples incorrectly taken at screening</t>
        </is>
      </c>
      <c r="G309" s="2" t="str">
        <f>HYPERLINK("https://vtmf.veevavault.com/ui/#doc_info/29418577/1/0", "VTMF-23655743")</f>
        <v>VTMF-23655743</v>
      </c>
      <c r="H309" s="3" t="inlineStr">
        <is>
          <t/>
        </is>
      </c>
      <c r="I309" s="3" t="inlineStr">
        <is>
          <t>System</t>
        </is>
      </c>
      <c r="J309" s="3" t="inlineStr">
        <is>
          <t>Christelle Carteron</t>
        </is>
      </c>
      <c r="K309" s="4" t="n">
        <v>45831.272141203706</v>
      </c>
      <c r="L309" s="5" t="n">
        <v>45831.0</v>
      </c>
      <c r="M309" s="3" t="inlineStr">
        <is>
          <t>Approved</t>
        </is>
      </c>
      <c r="N309" s="3" t="inlineStr">
        <is>
          <t>Site Close, Study Close</t>
        </is>
      </c>
      <c r="O309" s="3" t="inlineStr">
        <is>
          <t>Czech Republic, United States</t>
        </is>
      </c>
      <c r="P309" s="3" t="inlineStr">
        <is>
          <t>Z92-CZ10003, Z92-US10026</t>
        </is>
      </c>
      <c r="Q309" s="3" t="inlineStr">
        <is>
          <t>77242113UCO2001</t>
        </is>
      </c>
    </row>
    <row r="310">
      <c r="A310" s="2" t="str">
        <f>HYPERLINK("https://vtmf.veevavault.com/ui/#doc_info/25842535/1/0", "77242113UCO2001-CZE-Z92-CZ10004-Acceptance of Investigator Brochure-07 Feb 2024 (v1.0)")</f>
        <v>77242113UCO2001-CZE-Z92-CZ10004-Acceptance of Investigator Brochure-07 Feb 2024 (v1.0)</v>
      </c>
      <c r="B310" s="3" t="inlineStr">
        <is>
          <t>Jitka Kone</t>
        </is>
      </c>
      <c r="C310" s="3" t="inlineStr">
        <is>
          <t>Site Management</t>
        </is>
      </c>
      <c r="D310" s="3" t="inlineStr">
        <is>
          <t>Site Set-up Documentation</t>
        </is>
      </c>
      <c r="E310" s="3" t="inlineStr">
        <is>
          <t>Acceptance of Investigator Brochure</t>
        </is>
      </c>
      <c r="F310" s="3" t="inlineStr">
        <is>
          <t>IB Acceptance Pharmacy_JNJ-77242113_
IB Ed. 4 , dated 21Dec22+ Add.1 to IB Ed.4, dated 05May22_07Feb24</t>
        </is>
      </c>
      <c r="G310" s="2" t="str">
        <f>HYPERLINK("https://vtmf.veevavault.com/ui/#doc_info/25842535/1/0", "VTMF-20640219")</f>
        <v>VTMF-20640219</v>
      </c>
      <c r="H310" s="3" t="inlineStr">
        <is>
          <t/>
        </is>
      </c>
      <c r="I310" s="3" t="inlineStr">
        <is>
          <t>Anthony Suarez (veeva.com)</t>
        </is>
      </c>
      <c r="J310" s="3" t="inlineStr">
        <is>
          <t>Jitka Kone</t>
        </is>
      </c>
      <c r="K310" s="4" t="n">
        <v>45355.58399305555</v>
      </c>
      <c r="L310" s="5" t="n">
        <v>45355.0</v>
      </c>
      <c r="M310" s="3" t="inlineStr">
        <is>
          <t>Approved</t>
        </is>
      </c>
      <c r="N310" s="3" t="inlineStr">
        <is>
          <t>Available for Distribution, CLIX Filing, Site Close</t>
        </is>
      </c>
      <c r="O310" s="3" t="inlineStr">
        <is>
          <t>Czech Republic</t>
        </is>
      </c>
      <c r="P310" s="3" t="inlineStr">
        <is>
          <t>Z92-CZ10004</t>
        </is>
      </c>
      <c r="Q310" s="3" t="inlineStr">
        <is>
          <t>77242113UCO2001</t>
        </is>
      </c>
    </row>
    <row r="311">
      <c r="A311" s="2" t="str">
        <f>HYPERLINK("https://vtmf.veevavault.com/ui/#doc_info/25853613/1/0", "77242113UCO2001-CZE-Z92-CZ10004-Acceptance of Investigator Brochure-07 Feb 2024 (v1.0)")</f>
        <v>77242113UCO2001-CZE-Z92-CZ10004-Acceptance of Investigator Brochure-07 Feb 2024 (v1.0)</v>
      </c>
      <c r="B311" s="3" t="inlineStr">
        <is>
          <t>Jitka Kone</t>
        </is>
      </c>
      <c r="C311" s="3" t="inlineStr">
        <is>
          <t>Site Management</t>
        </is>
      </c>
      <c r="D311" s="3" t="inlineStr">
        <is>
          <t>Site Set-up Documentation</t>
        </is>
      </c>
      <c r="E311" s="3" t="inlineStr">
        <is>
          <t>Acceptance of Investigator Brochure</t>
        </is>
      </c>
      <c r="F311" s="3" t="inlineStr">
        <is>
          <t>IB Acceptance Site_JNJ-77242113_
IB Ed. 4 , dated 21Dec22+ Add.1 to IB Ed.4, dated 05May22_07Feb24</t>
        </is>
      </c>
      <c r="G311" s="2" t="str">
        <f>HYPERLINK("https://vtmf.veevavault.com/ui/#doc_info/25853613/1/0", "VTMF-20650062")</f>
        <v>VTMF-20650062</v>
      </c>
      <c r="H311" s="3" t="inlineStr">
        <is>
          <t/>
        </is>
      </c>
      <c r="I311" s="3" t="inlineStr">
        <is>
          <t>Anthony Suarez (veeva.com)</t>
        </is>
      </c>
      <c r="J311" s="3" t="inlineStr">
        <is>
          <t>Jitka Kone</t>
        </is>
      </c>
      <c r="K311" s="4" t="n">
        <v>45356.68493055556</v>
      </c>
      <c r="L311" s="5" t="n">
        <v>45356.0</v>
      </c>
      <c r="M311" s="3" t="inlineStr">
        <is>
          <t>Approved</t>
        </is>
      </c>
      <c r="N311" s="3" t="inlineStr">
        <is>
          <t>Available for Distribution, CLIX Filing, Site Close</t>
        </is>
      </c>
      <c r="O311" s="3" t="inlineStr">
        <is>
          <t>Czech Republic</t>
        </is>
      </c>
      <c r="P311" s="3" t="inlineStr">
        <is>
          <t>Z92-CZ10004</t>
        </is>
      </c>
      <c r="Q311" s="3" t="inlineStr">
        <is>
          <t>77242113UCO2001</t>
        </is>
      </c>
    </row>
    <row r="312">
      <c r="A312" s="2" t="str">
        <f>HYPERLINK("https://vtmf.veevavault.com/ui/#doc_info/28282155/1/0", "77242113UCO2001-CZE-Z92-CZ10004-Acceptance of Investigator Brochure-11 Feb 2025 (v1.0)")</f>
        <v>77242113UCO2001-CZE-Z92-CZ10004-Acceptance of Investigator Brochure-11 Feb 2025 (v1.0)</v>
      </c>
      <c r="B312" s="3" t="inlineStr">
        <is>
          <t>Jitka Kone</t>
        </is>
      </c>
      <c r="C312" s="3" t="inlineStr">
        <is>
          <t>Site Management</t>
        </is>
      </c>
      <c r="D312" s="3" t="inlineStr">
        <is>
          <t>Site Set-up Documentation</t>
        </is>
      </c>
      <c r="E312" s="3" t="inlineStr">
        <is>
          <t>Acceptance of Investigator Brochure</t>
        </is>
      </c>
      <c r="F312" s="3" t="inlineStr">
        <is>
          <t>IB acceptance site_JNJ-77242113_IB Ed. 6 dated 16Dec2024_11Feb2025</t>
        </is>
      </c>
      <c r="G312" s="2" t="str">
        <f>HYPERLINK("https://vtmf.veevavault.com/ui/#doc_info/28282155/1/0", "VTMF-22687441")</f>
        <v>VTMF-22687441</v>
      </c>
      <c r="H312" s="3" t="inlineStr">
        <is>
          <t/>
        </is>
      </c>
      <c r="I312" s="3" t="inlineStr">
        <is>
          <t>Anthony Suarez (veeva.com)</t>
        </is>
      </c>
      <c r="J312" s="3" t="inlineStr">
        <is>
          <t>Jitka Kone</t>
        </is>
      </c>
      <c r="K312" s="4" t="n">
        <v>45700.612280092595</v>
      </c>
      <c r="L312" s="5" t="n">
        <v>45700.0</v>
      </c>
      <c r="M312" s="3" t="inlineStr">
        <is>
          <t>Approved</t>
        </is>
      </c>
      <c r="N312" s="3" t="inlineStr">
        <is>
          <t>Available for Distribution, CLIX Filing, IP Release, Site Start</t>
        </is>
      </c>
      <c r="O312" s="3" t="inlineStr">
        <is>
          <t>Czech Republic</t>
        </is>
      </c>
      <c r="P312" s="3" t="inlineStr">
        <is>
          <t>Z92-CZ10004</t>
        </is>
      </c>
      <c r="Q312" s="3" t="inlineStr">
        <is>
          <t>77242113UCO2001</t>
        </is>
      </c>
    </row>
    <row r="313">
      <c r="A313" s="2" t="str">
        <f>HYPERLINK("https://vtmf.veevavault.com/ui/#doc_info/29780572/1/0", "77242113UCO2001-CZE-Z92-CZ10004-Acceptance of Investigator Brochure-14 Aug 2025 (v1.0)")</f>
        <v>77242113UCO2001-CZE-Z92-CZ10004-Acceptance of Investigator Brochure-14 Aug 2025 (v1.0)</v>
      </c>
      <c r="B313" s="3" t="inlineStr">
        <is>
          <t>Jitka Kone</t>
        </is>
      </c>
      <c r="C313" s="3" t="inlineStr">
        <is>
          <t>Site Management</t>
        </is>
      </c>
      <c r="D313" s="3" t="inlineStr">
        <is>
          <t>Site Set-up Documentation</t>
        </is>
      </c>
      <c r="E313" s="3" t="inlineStr">
        <is>
          <t>Acceptance of Investigator Brochure</t>
        </is>
      </c>
      <c r="F313" s="3" t="inlineStr">
        <is>
          <t>IB acceptance site_JNJ-77242113_Add. 1 to IB Ed. 6, dated 16Jul2025_14Aug2025</t>
        </is>
      </c>
      <c r="G313" s="2" t="str">
        <f>HYPERLINK("https://vtmf.veevavault.com/ui/#doc_info/29780572/1/0", "VTMF-23965090")</f>
        <v>VTMF-23965090</v>
      </c>
      <c r="H313" s="3" t="inlineStr">
        <is>
          <t/>
        </is>
      </c>
      <c r="I313" s="3" t="inlineStr">
        <is>
          <t>Anthony Suarez (veeva.com)</t>
        </is>
      </c>
      <c r="J313" s="3" t="inlineStr">
        <is>
          <t>Jitka Kone</t>
        </is>
      </c>
      <c r="K313" s="4" t="n">
        <v>45887.44841435185</v>
      </c>
      <c r="L313" s="5" t="n">
        <v>45887.0</v>
      </c>
      <c r="M313" s="3" t="inlineStr">
        <is>
          <t>Approved</t>
        </is>
      </c>
      <c r="N313" s="3" t="inlineStr">
        <is>
          <t>Available for Distribution, CLIX Filing, IP Release, Site Start</t>
        </is>
      </c>
      <c r="O313" s="3" t="inlineStr">
        <is>
          <t>Czech Republic</t>
        </is>
      </c>
      <c r="P313" s="3" t="inlineStr">
        <is>
          <t>Z92-CZ10004</t>
        </is>
      </c>
      <c r="Q313" s="3" t="inlineStr">
        <is>
          <t>77242113UCO2001</t>
        </is>
      </c>
    </row>
    <row r="314">
      <c r="A314" s="2" t="str">
        <f>HYPERLINK("https://vtmf.veevavault.com/ui/#doc_info/26452434/1/0", "77242113UCO2001-CZE-Z92-CZ10004-Acceptance of Investigator Brochure-30 May 2024 (v1.0)")</f>
        <v>77242113UCO2001-CZE-Z92-CZ10004-Acceptance of Investigator Brochure-30 May 2024 (v1.0)</v>
      </c>
      <c r="B314" s="3" t="inlineStr">
        <is>
          <t>Jitka Kone</t>
        </is>
      </c>
      <c r="C314" s="3" t="inlineStr">
        <is>
          <t>Site Management</t>
        </is>
      </c>
      <c r="D314" s="3" t="inlineStr">
        <is>
          <t>Site Set-up Documentation</t>
        </is>
      </c>
      <c r="E314" s="3" t="inlineStr">
        <is>
          <t>Acceptance of Investigator Brochure</t>
        </is>
      </c>
      <c r="F314" s="3" t="inlineStr">
        <is>
          <t>IB Acceptance site_JNJ-77242113_IB Ed. 4 Add2, dated 31Oct22+  IB Ed.5, dated 19Dec23_30May24</t>
        </is>
      </c>
      <c r="G314" s="2" t="str">
        <f>HYPERLINK("https://vtmf.veevavault.com/ui/#doc_info/26452434/1/0", "VTMF-21175533")</f>
        <v>VTMF-21175533</v>
      </c>
      <c r="H314" s="3" t="inlineStr">
        <is>
          <t/>
        </is>
      </c>
      <c r="I314" s="3" t="inlineStr">
        <is>
          <t>Anthony Suarez (veeva.com)</t>
        </is>
      </c>
      <c r="J314" s="3" t="inlineStr">
        <is>
          <t>Jitka Kone</t>
        </is>
      </c>
      <c r="K314" s="4" t="n">
        <v>45447.614224537036</v>
      </c>
      <c r="L314" s="5" t="n">
        <v>45447.0</v>
      </c>
      <c r="M314" s="3" t="inlineStr">
        <is>
          <t>Approved</t>
        </is>
      </c>
      <c r="N314" s="3" t="inlineStr">
        <is>
          <t>Available for Distribution, CLIX Filing, Site Close</t>
        </is>
      </c>
      <c r="O314" s="3" t="inlineStr">
        <is>
          <t>Czech Republic</t>
        </is>
      </c>
      <c r="P314" s="3" t="inlineStr">
        <is>
          <t>Z92-CZ10004</t>
        </is>
      </c>
      <c r="Q314" s="3" t="inlineStr">
        <is>
          <t>77242113UCO2001</t>
        </is>
      </c>
    </row>
    <row r="315">
      <c r="A315" s="2" t="str">
        <f>HYPERLINK("https://vtmf.veevavault.com/ui/#doc_info/27057043/1/0", "77242113UCO2001-CZE-Z92-CZ10004-Acceptance of Investigator Brochure-31 May 2024 (v1.0)")</f>
        <v>77242113UCO2001-CZE-Z92-CZ10004-Acceptance of Investigator Brochure-31 May 2024 (v1.0)</v>
      </c>
      <c r="B315" s="3" t="inlineStr">
        <is>
          <t>Lenka Placha</t>
        </is>
      </c>
      <c r="C315" s="3" t="inlineStr">
        <is>
          <t>Site Management</t>
        </is>
      </c>
      <c r="D315" s="3" t="inlineStr">
        <is>
          <t>Site Set-up Documentation</t>
        </is>
      </c>
      <c r="E315" s="3" t="inlineStr">
        <is>
          <t>Acceptance of Investigator Brochure</t>
        </is>
      </c>
      <c r="F315" s="3" t="inlineStr">
        <is>
          <t>IB Acceptance pharmacy_JNJ-77242113_ IB Ed4 Add2, dated 31Oct23 + IB Ed5, dated 19Dec23_signed 31May24</t>
        </is>
      </c>
      <c r="G315" s="2" t="str">
        <f>HYPERLINK("https://vtmf.veevavault.com/ui/#doc_info/27057043/1/0", "VTMF-21687939")</f>
        <v>VTMF-21687939</v>
      </c>
      <c r="H315" s="3" t="inlineStr">
        <is>
          <t/>
        </is>
      </c>
      <c r="I315" s="3" t="inlineStr">
        <is>
          <t>Anthony Suarez (veeva.com)</t>
        </is>
      </c>
      <c r="J315" s="3" t="inlineStr">
        <is>
          <t>Lenka Placha</t>
        </is>
      </c>
      <c r="K315" s="4" t="n">
        <v>45546.56049768518</v>
      </c>
      <c r="L315" s="5" t="n">
        <v>45546.0</v>
      </c>
      <c r="M315" s="3" t="inlineStr">
        <is>
          <t>Approved</t>
        </is>
      </c>
      <c r="N315" s="3" t="inlineStr">
        <is>
          <t>Available for Distribution, CLIX Filing, Site Close</t>
        </is>
      </c>
      <c r="O315" s="3" t="inlineStr">
        <is>
          <t>Czech Republic</t>
        </is>
      </c>
      <c r="P315" s="3" t="inlineStr">
        <is>
          <t>Z92-CZ10004</t>
        </is>
      </c>
      <c r="Q315" s="3" t="inlineStr">
        <is>
          <t>77242113UCO2001</t>
        </is>
      </c>
    </row>
    <row r="316">
      <c r="A316" s="2" t="str">
        <f>HYPERLINK("https://vtmf.veevavault.com/ui/#doc_info/25731016/1/0", "77242113UCO2001-CZE-Z92-CZ10004-Clinical Trial Agreement-07 Feb 2024 (v1.0)")</f>
        <v>77242113UCO2001-CZE-Z92-CZ10004-Clinical Trial Agreement-07 Feb 2024 (v1.0)</v>
      </c>
      <c r="B316" s="3" t="inlineStr">
        <is>
          <t>Lenka Placha</t>
        </is>
      </c>
      <c r="C316" s="3" t="inlineStr">
        <is>
          <t>Site Management</t>
        </is>
      </c>
      <c r="D316" s="3" t="inlineStr">
        <is>
          <t>Site Set-up Documentation</t>
        </is>
      </c>
      <c r="E316" s="3" t="inlineStr">
        <is>
          <t>Clinical Trial Agreement</t>
        </is>
      </c>
      <c r="F316" s="3" t="inlineStr">
        <is>
          <t>PI meal voucher statement_site Z92-CZ10004_07Feb24</t>
        </is>
      </c>
      <c r="G316" s="2" t="str">
        <f>HYPERLINK("https://vtmf.veevavault.com/ui/#doc_info/25731016/1/0", "VTMF-20542447")</f>
        <v>VTMF-20542447</v>
      </c>
      <c r="H316" s="3" t="inlineStr">
        <is>
          <t/>
        </is>
      </c>
      <c r="I316" s="3" t="inlineStr">
        <is>
          <t>System</t>
        </is>
      </c>
      <c r="J316" s="3" t="inlineStr">
        <is>
          <t>Lenka Placha</t>
        </is>
      </c>
      <c r="K316" s="4" t="n">
        <v>45338.42978009259</v>
      </c>
      <c r="L316" s="5" t="n">
        <v>45338.0</v>
      </c>
      <c r="M316" s="3" t="inlineStr">
        <is>
          <t>Approved</t>
        </is>
      </c>
      <c r="N316" s="3" t="inlineStr">
        <is>
          <t>Available for Distribution, Site Start</t>
        </is>
      </c>
      <c r="O316" s="3" t="inlineStr">
        <is>
          <t>Czech Republic</t>
        </is>
      </c>
      <c r="P316" s="3" t="inlineStr">
        <is>
          <t>Z92-CZ10004</t>
        </is>
      </c>
      <c r="Q316" s="3" t="inlineStr">
        <is>
          <t>77242113UCO2001</t>
        </is>
      </c>
    </row>
    <row r="317">
      <c r="A317" s="2" t="str">
        <f>HYPERLINK("https://vtmf.veevavault.com/ui/#doc_info/25700313/1/0", "77242113UCO2001-CZE-Z92-CZ10004-Clinical Trial Agreement-23 Oct 2023 (v1.0)")</f>
        <v>77242113UCO2001-CZE-Z92-CZ10004-Clinical Trial Agreement-23 Oct 2023 (v1.0)</v>
      </c>
      <c r="B317" s="3" t="inlineStr">
        <is>
          <t>Jitka Kone</t>
        </is>
      </c>
      <c r="C317" s="3" t="inlineStr">
        <is>
          <t>Site Management</t>
        </is>
      </c>
      <c r="D317" s="3" t="inlineStr">
        <is>
          <t>Site Set-up Documentation</t>
        </is>
      </c>
      <c r="E317" s="3" t="inlineStr">
        <is>
          <t>Clinical Trial Agreement</t>
        </is>
      </c>
      <c r="F317" s="3" t="inlineStr">
        <is>
          <t>Vaňásek_Hepato Gastroenterologie contract_document uploaded in ICD_Nr. 1946927</t>
        </is>
      </c>
      <c r="G317" s="2" t="str">
        <f>HYPERLINK("https://vtmf.veevavault.com/ui/#doc_info/25700313/1/0", "VTMF-20515536")</f>
        <v>VTMF-20515536</v>
      </c>
      <c r="H317" s="3" t="inlineStr">
        <is>
          <t/>
        </is>
      </c>
      <c r="I317" s="3" t="inlineStr">
        <is>
          <t>Lenka Placha</t>
        </is>
      </c>
      <c r="J317" s="3" t="inlineStr">
        <is>
          <t>Jitka Kone</t>
        </is>
      </c>
      <c r="K317" s="4" t="n">
        <v>45334.714583333334</v>
      </c>
      <c r="L317" s="5" t="n">
        <v>45334.0</v>
      </c>
      <c r="M317" s="3" t="inlineStr">
        <is>
          <t>Approved</t>
        </is>
      </c>
      <c r="N317" s="3" t="inlineStr">
        <is>
          <t>Available for Distribution, Site Start</t>
        </is>
      </c>
      <c r="O317" s="3" t="inlineStr">
        <is>
          <t>Czech Republic</t>
        </is>
      </c>
      <c r="P317" s="3" t="inlineStr">
        <is>
          <t>Z92-CZ10004</t>
        </is>
      </c>
      <c r="Q317" s="3" t="inlineStr">
        <is>
          <t>77242113UCO2001</t>
        </is>
      </c>
    </row>
    <row r="318">
      <c r="A318" s="2" t="str">
        <f>HYPERLINK("https://vtmf.veevavault.com/ui/#doc_info/24158197/1/0", "77242113UCO2001-CZE-Z92-CZ10004-Confidentiality Agreement-18 May 2023 (v1.0)")</f>
        <v>77242113UCO2001-CZE-Z92-CZ10004-Confidentiality Agreement-18 May 2023 (v1.0)</v>
      </c>
      <c r="B318" s="3" t="inlineStr">
        <is>
          <t>Lucie Duskova</t>
        </is>
      </c>
      <c r="C318" s="3" t="inlineStr">
        <is>
          <t>Site Management</t>
        </is>
      </c>
      <c r="D318" s="3" t="inlineStr">
        <is>
          <t>Site Selection</t>
        </is>
      </c>
      <c r="E318" s="3" t="inlineStr">
        <is>
          <t>Confidentiality Agreement</t>
        </is>
      </c>
      <c r="F318" s="3" t="inlineStr">
        <is>
          <t>Confidentiality Disclosure Agreement_Vanasek Tomas_HepatoGastro HK_18MAY2023</t>
        </is>
      </c>
      <c r="G318" s="2" t="str">
        <f>HYPERLINK("https://vtmf.veevavault.com/ui/#doc_info/24158197/1/0", "VTMF-19168862")</f>
        <v>VTMF-19168862</v>
      </c>
      <c r="H318" s="3" t="inlineStr">
        <is>
          <t/>
        </is>
      </c>
      <c r="I318" s="3" t="inlineStr">
        <is>
          <t>System</t>
        </is>
      </c>
      <c r="J318" s="3" t="inlineStr">
        <is>
          <t>Lucie Duskova</t>
        </is>
      </c>
      <c r="K318" s="4" t="n">
        <v>45075.65351851852</v>
      </c>
      <c r="L318" s="5" t="n">
        <v>45075.0</v>
      </c>
      <c r="M318" s="3" t="inlineStr">
        <is>
          <t>Approved</t>
        </is>
      </c>
      <c r="N318" s="3" t="inlineStr">
        <is>
          <t>Available for Distribution, Site Start</t>
        </is>
      </c>
      <c r="O318" s="3" t="inlineStr">
        <is>
          <t>Czech Republic</t>
        </is>
      </c>
      <c r="P318" s="3" t="inlineStr">
        <is>
          <t>Z92-CZ10004</t>
        </is>
      </c>
      <c r="Q318" s="3" t="inlineStr">
        <is>
          <t>77242113UCO2001</t>
        </is>
      </c>
    </row>
    <row r="319">
      <c r="A319" s="2" t="str">
        <f>HYPERLINK("https://vtmf.veevavault.com/ui/#doc_info/31815348/1/0", "77242113UCO2001-CZE-Z92-CZ10004-CRF Completion Requirements-03 Jun 2026 (v1.0)")</f>
        <v>77242113UCO2001-CZE-Z92-CZ10004-CRF Completion Requirements-03 Jun 2026 (v1.0)</v>
      </c>
      <c r="B319" s="3" t="inlineStr">
        <is>
          <t>Jitka Kone</t>
        </is>
      </c>
      <c r="C319" s="3" t="inlineStr">
        <is>
          <t>Data Management</t>
        </is>
      </c>
      <c r="D319" s="3" t="inlineStr">
        <is>
          <t>Data Capture</t>
        </is>
      </c>
      <c r="E319" s="3" t="inlineStr">
        <is>
          <t>CRF Completion Requirements</t>
        </is>
      </c>
      <c r="F319" s="3" t="inlineStr">
        <is>
          <t>Archive Readibility Email Confirmation Receipt_V. 03-JUN-2026</t>
        </is>
      </c>
      <c r="G319" s="2" t="str">
        <f>HYPERLINK("https://vtmf.veevavault.com/ui/#doc_info/31815348/1/0", "VTMF-25682217")</f>
        <v>VTMF-25682217</v>
      </c>
      <c r="H319" s="3" t="inlineStr">
        <is>
          <t/>
        </is>
      </c>
      <c r="I319" s="3" t="inlineStr">
        <is>
          <t>System</t>
        </is>
      </c>
      <c r="J319" s="3" t="inlineStr">
        <is>
          <t>Jitka Kone</t>
        </is>
      </c>
      <c r="K319" s="4" t="n">
        <v>46177.57880787037</v>
      </c>
      <c r="L319" s="5" t="n">
        <v>46177.0</v>
      </c>
      <c r="M319" s="3" t="inlineStr">
        <is>
          <t>Approved</t>
        </is>
      </c>
      <c r="N319" s="3" t="inlineStr">
        <is>
          <t>Available for Distribution, CLIX Filing, Study Start</t>
        </is>
      </c>
      <c r="O319" s="3" t="inlineStr">
        <is>
          <t>Czech Republic</t>
        </is>
      </c>
      <c r="P319" s="3" t="inlineStr">
        <is>
          <t>Z92-CZ10004</t>
        </is>
      </c>
      <c r="Q319" s="3" t="inlineStr">
        <is>
          <t>77242113UCO2001</t>
        </is>
      </c>
    </row>
    <row r="320">
      <c r="A320" s="2" t="str">
        <f>HYPERLINK("https://vtmf.veevavault.com/ui/#doc_info/31277284/1/0", "77242113UCO2001-CZE-Z92-CZ10004-Drug Accountability Form-18 Mar 2026 (v1.0)")</f>
        <v>77242113UCO2001-CZE-Z92-CZ10004-Drug Accountability Form-18 Mar 2026 (v1.0)</v>
      </c>
      <c r="B320" s="3" t="inlineStr">
        <is>
          <t>Michaela Sapíková</t>
        </is>
      </c>
      <c r="C320" s="3" t="inlineStr">
        <is>
          <t>IP and Trial Supplies</t>
        </is>
      </c>
      <c r="D320" s="3" t="inlineStr">
        <is>
          <t>IP Documentation</t>
        </is>
      </c>
      <c r="E320" s="3" t="inlineStr">
        <is>
          <t>Drug Accountability Form</t>
        </is>
      </c>
      <c r="F320" s="3" t="inlineStr">
        <is>
          <t>Drug Accountability Form_Single_CZ100040002_18Mar2026_Missing tablets ticked in "Lowest Unit of Measure"</t>
        </is>
      </c>
      <c r="G320" s="2" t="str">
        <f>HYPERLINK("https://vtmf.veevavault.com/ui/#doc_info/31277284/1/0", "VTMF-25224711")</f>
        <v>VTMF-25224711</v>
      </c>
      <c r="H320" s="3" t="inlineStr">
        <is>
          <t/>
        </is>
      </c>
      <c r="I320" s="3" t="inlineStr">
        <is>
          <t>System</t>
        </is>
      </c>
      <c r="J320" s="3" t="inlineStr">
        <is>
          <t>Michaela Sapíková</t>
        </is>
      </c>
      <c r="K320" s="4" t="n">
        <v>46107.4405787037</v>
      </c>
      <c r="L320" s="5" t="n">
        <v>46107.0</v>
      </c>
      <c r="M320" s="3" t="inlineStr">
        <is>
          <t>Approved</t>
        </is>
      </c>
      <c r="N320" s="3" t="inlineStr">
        <is>
          <t>Site Close</t>
        </is>
      </c>
      <c r="O320" s="3" t="inlineStr">
        <is>
          <t>Czech Republic</t>
        </is>
      </c>
      <c r="P320" s="3" t="inlineStr">
        <is>
          <t>Z92-CZ10004</t>
        </is>
      </c>
      <c r="Q320" s="3" t="inlineStr">
        <is>
          <t>77242113UCO2001</t>
        </is>
      </c>
    </row>
    <row r="321">
      <c r="A321" s="2" t="str">
        <f>HYPERLINK("https://vtmf.veevavault.com/ui/#doc_info/31277343/1/0", "77242113UCO2001-CZE-Z92-CZ10004-Drug Accountability Form-18 Mar 2026 (v1.0)")</f>
        <v>77242113UCO2001-CZE-Z92-CZ10004-Drug Accountability Form-18 Mar 2026 (v1.0)</v>
      </c>
      <c r="B321" s="3" t="inlineStr">
        <is>
          <t>Michaela Sapíková</t>
        </is>
      </c>
      <c r="C321" s="3" t="inlineStr">
        <is>
          <t>IP and Trial Supplies</t>
        </is>
      </c>
      <c r="D321" s="3" t="inlineStr">
        <is>
          <t>IP Documentation</t>
        </is>
      </c>
      <c r="E321" s="3" t="inlineStr">
        <is>
          <t>Drug Accountability Form</t>
        </is>
      </c>
      <c r="F321" s="3" t="inlineStr">
        <is>
          <t>Drug Accountability Form_Single_CZ100040001_18Mar2026_Missing tablets ticked in "Lowest Unit of Measure"</t>
        </is>
      </c>
      <c r="G321" s="2" t="str">
        <f>HYPERLINK("https://vtmf.veevavault.com/ui/#doc_info/31277343/1/0", "VTMF-25224750")</f>
        <v>VTMF-25224750</v>
      </c>
      <c r="H321" s="3" t="inlineStr">
        <is>
          <t/>
        </is>
      </c>
      <c r="I321" s="3" t="inlineStr">
        <is>
          <t>System</t>
        </is>
      </c>
      <c r="J321" s="3" t="inlineStr">
        <is>
          <t>Michaela Sapíková</t>
        </is>
      </c>
      <c r="K321" s="4" t="n">
        <v>46107.44416666667</v>
      </c>
      <c r="L321" s="5" t="n">
        <v>46107.0</v>
      </c>
      <c r="M321" s="3" t="inlineStr">
        <is>
          <t>Approved</t>
        </is>
      </c>
      <c r="N321" s="3" t="inlineStr">
        <is>
          <t>Site Close</t>
        </is>
      </c>
      <c r="O321" s="3" t="inlineStr">
        <is>
          <t>Czech Republic</t>
        </is>
      </c>
      <c r="P321" s="3" t="inlineStr">
        <is>
          <t>Z92-CZ10004</t>
        </is>
      </c>
      <c r="Q321" s="3" t="inlineStr">
        <is>
          <t>77242113UCO2001</t>
        </is>
      </c>
    </row>
    <row r="322">
      <c r="A322" s="2" t="str">
        <f>HYPERLINK("https://vtmf.veevavault.com/ui/#doc_info/31277369/1/0", "77242113UCO2001-CZE-Z92-CZ10004-Drug Accountability Form-18 Mar 2026 (v1.0)")</f>
        <v>77242113UCO2001-CZE-Z92-CZ10004-Drug Accountability Form-18 Mar 2026 (v1.0)</v>
      </c>
      <c r="B322" s="3" t="inlineStr">
        <is>
          <t>Michaela Sapíková</t>
        </is>
      </c>
      <c r="C322" s="3" t="inlineStr">
        <is>
          <t>IP and Trial Supplies</t>
        </is>
      </c>
      <c r="D322" s="3" t="inlineStr">
        <is>
          <t>IP Documentation</t>
        </is>
      </c>
      <c r="E322" s="3" t="inlineStr">
        <is>
          <t>Drug Accountability Form</t>
        </is>
      </c>
      <c r="F322" s="3" t="inlineStr">
        <is>
          <t>Drug Accountability Form_Multiple_CZ100040001_CZ1000040002_18Mar2026</t>
        </is>
      </c>
      <c r="G322" s="2" t="str">
        <f>HYPERLINK("https://vtmf.veevavault.com/ui/#doc_info/31277369/1/0", "VTMF-25224808")</f>
        <v>VTMF-25224808</v>
      </c>
      <c r="H322" s="3" t="inlineStr">
        <is>
          <t/>
        </is>
      </c>
      <c r="I322" s="3" t="inlineStr">
        <is>
          <t>System</t>
        </is>
      </c>
      <c r="J322" s="3" t="inlineStr">
        <is>
          <t>Michaela Sapíková</t>
        </is>
      </c>
      <c r="K322" s="4" t="n">
        <v>46107.452731481484</v>
      </c>
      <c r="L322" s="5" t="n">
        <v>46107.0</v>
      </c>
      <c r="M322" s="3" t="inlineStr">
        <is>
          <t>Approved</t>
        </is>
      </c>
      <c r="N322" s="3" t="inlineStr">
        <is>
          <t>Site Close</t>
        </is>
      </c>
      <c r="O322" s="3" t="inlineStr">
        <is>
          <t>Czech Republic</t>
        </is>
      </c>
      <c r="P322" s="3" t="inlineStr">
        <is>
          <t>Z92-CZ10004</t>
        </is>
      </c>
      <c r="Q322" s="3" t="inlineStr">
        <is>
          <t>77242113UCO2001</t>
        </is>
      </c>
    </row>
    <row r="323">
      <c r="A323" s="2" t="str">
        <f>HYPERLINK("https://vtmf.veevavault.com/ui/#doc_info/31277375/1/0", "77242113UCO2001-CZE-Z92-CZ10004-Drug Accountability Form-18 Mar 2026 (v1.0)")</f>
        <v>77242113UCO2001-CZE-Z92-CZ10004-Drug Accountability Form-18 Mar 2026 (v1.0)</v>
      </c>
      <c r="B323" s="3" t="inlineStr">
        <is>
          <t>Michaela Sapíková</t>
        </is>
      </c>
      <c r="C323" s="3" t="inlineStr">
        <is>
          <t>IP and Trial Supplies</t>
        </is>
      </c>
      <c r="D323" s="3" t="inlineStr">
        <is>
          <t>IP Documentation</t>
        </is>
      </c>
      <c r="E323" s="3" t="inlineStr">
        <is>
          <t>Drug Accountability Form</t>
        </is>
      </c>
      <c r="F323" s="3" t="inlineStr">
        <is>
          <t>Drug Accountability Form_Multiple_CZ100040001 and CZ100040002_18Mar2026</t>
        </is>
      </c>
      <c r="G323" s="2" t="str">
        <f>HYPERLINK("https://vtmf.veevavault.com/ui/#doc_info/31277375/1/0", "VTMF-25224821")</f>
        <v>VTMF-25224821</v>
      </c>
      <c r="H323" s="3" t="inlineStr">
        <is>
          <t/>
        </is>
      </c>
      <c r="I323" s="3" t="inlineStr">
        <is>
          <t>System</t>
        </is>
      </c>
      <c r="J323" s="3" t="inlineStr">
        <is>
          <t>Michaela Sapíková</t>
        </is>
      </c>
      <c r="K323" s="4" t="n">
        <v>46107.45446759259</v>
      </c>
      <c r="L323" s="5" t="n">
        <v>46107.0</v>
      </c>
      <c r="M323" s="3" t="inlineStr">
        <is>
          <t>Approved</t>
        </is>
      </c>
      <c r="N323" s="3" t="inlineStr">
        <is>
          <t>Site Close</t>
        </is>
      </c>
      <c r="O323" s="3" t="inlineStr">
        <is>
          <t>Czech Republic</t>
        </is>
      </c>
      <c r="P323" s="3" t="inlineStr">
        <is>
          <t>Z92-CZ10004</t>
        </is>
      </c>
      <c r="Q323" s="3" t="inlineStr">
        <is>
          <t>77242113UCO2001</t>
        </is>
      </c>
    </row>
    <row r="324">
      <c r="A324" s="2" t="str">
        <f>HYPERLINK("https://vtmf.veevavault.com/ui/#doc_info/24275101/1/0", "77242113UCO2001-CZE-Z92-CZ10004-Feasibility Documentation-16 Jun 2023 (v1.0)")</f>
        <v>77242113UCO2001-CZE-Z92-CZ10004-Feasibility Documentation-16 Jun 2023 (v1.0)</v>
      </c>
      <c r="B324" s="3" t="inlineStr">
        <is>
          <t>Vladimir Buzalka</t>
        </is>
      </c>
      <c r="C324" s="3" t="inlineStr">
        <is>
          <t>Site Management</t>
        </is>
      </c>
      <c r="D324" s="3" t="inlineStr">
        <is>
          <t>Site Selection</t>
        </is>
      </c>
      <c r="E324" s="3" t="inlineStr">
        <is>
          <t>Feasibility Documentation</t>
        </is>
      </c>
      <c r="F324" s="3" t="inlineStr">
        <is>
          <t>Site selection notification 16JUN2023</t>
        </is>
      </c>
      <c r="G324" s="2" t="str">
        <f>HYPERLINK("https://vtmf.veevavault.com/ui/#doc_info/24275101/1/0", "VTMF-19271011")</f>
        <v>VTMF-19271011</v>
      </c>
      <c r="H324" s="3" t="inlineStr">
        <is>
          <t/>
        </is>
      </c>
      <c r="I324" s="3" t="inlineStr">
        <is>
          <t>Anthony Suarez (veeva.com)</t>
        </is>
      </c>
      <c r="J324" s="3" t="inlineStr">
        <is>
          <t>Vladimir Buzalka</t>
        </is>
      </c>
      <c r="K324" s="4" t="n">
        <v>45093.40023148148</v>
      </c>
      <c r="L324" s="5" t="n">
        <v>45093.0</v>
      </c>
      <c r="M324" s="3" t="inlineStr">
        <is>
          <t>Approved</t>
        </is>
      </c>
      <c r="N324" s="3" t="inlineStr">
        <is>
          <t>Available for Distribution, CLIX Filing, Site Close</t>
        </is>
      </c>
      <c r="O324" s="3" t="inlineStr">
        <is>
          <t>Czech Republic</t>
        </is>
      </c>
      <c r="P324" s="3" t="inlineStr">
        <is>
          <t>Z92-CZ10004</t>
        </is>
      </c>
      <c r="Q324" s="3" t="inlineStr">
        <is>
          <t>77242113UCO2001</t>
        </is>
      </c>
    </row>
    <row r="325">
      <c r="A325" s="2" t="str">
        <f>HYPERLINK("https://vtmf.veevavault.com/ui/#doc_info/31278129/1/0", "77242113UCO2001-CZE-Z92-CZ10004-Final Trial Close Out Monitoring Report-18 Mar 2026 (v1.0)")</f>
        <v>77242113UCO2001-CZE-Z92-CZ10004-Final Trial Close Out Monitoring Report-18 Mar 2026 (v1.0)</v>
      </c>
      <c r="B325" s="3" t="inlineStr">
        <is>
          <t>Admin User Medidata</t>
        </is>
      </c>
      <c r="C325" s="3" t="inlineStr">
        <is>
          <t>Site Management</t>
        </is>
      </c>
      <c r="D325" s="3" t="inlineStr">
        <is>
          <t>Site Management</t>
        </is>
      </c>
      <c r="E325" s="3" t="inlineStr">
        <is>
          <t>Final Trial Close Out Monitoring Report</t>
        </is>
      </c>
      <c r="F325" s="3" t="inlineStr">
        <is>
          <t/>
        </is>
      </c>
      <c r="G325" s="2" t="str">
        <f>HYPERLINK("https://vtmf.veevavault.com/ui/#doc_info/31278129/1/0", "VTMF-25225370")</f>
        <v>VTMF-25225370</v>
      </c>
      <c r="H325" s="3" t="inlineStr">
        <is>
          <t/>
        </is>
      </c>
      <c r="I325" s="3" t="inlineStr">
        <is>
          <t>System</t>
        </is>
      </c>
      <c r="J325" s="3" t="inlineStr">
        <is>
          <t>Admin User Medidata</t>
        </is>
      </c>
      <c r="K325" s="4" t="n">
        <v>46107.518645833334</v>
      </c>
      <c r="L325" s="5" t="n">
        <v>46107.0</v>
      </c>
      <c r="M325" s="3" t="inlineStr">
        <is>
          <t>Approved</t>
        </is>
      </c>
      <c r="N325" s="3" t="inlineStr">
        <is>
          <t>Site Close</t>
        </is>
      </c>
      <c r="O325" s="3" t="inlineStr">
        <is>
          <t>Czech Republic</t>
        </is>
      </c>
      <c r="P325" s="3" t="inlineStr">
        <is>
          <t>Z92-CZ10004</t>
        </is>
      </c>
      <c r="Q325" s="3" t="inlineStr">
        <is>
          <t>77242113UCO2001</t>
        </is>
      </c>
    </row>
    <row r="326">
      <c r="A326" s="2" t="str">
        <f>HYPERLINK("https://vtmf.veevavault.com/ui/#doc_info/25709565/1/0", "77242113UCO2001-CZE-Z92-CZ10004-Financial Disclosure Form-07 Feb 2024 (v1.0)")</f>
        <v>77242113UCO2001-CZE-Z92-CZ10004-Financial Disclosure Form-07 Feb 2024 (v1.0)</v>
      </c>
      <c r="B326" s="3" t="inlineStr">
        <is>
          <t>Lenka Placha</t>
        </is>
      </c>
      <c r="C326" s="3" t="inlineStr">
        <is>
          <t>Site Management</t>
        </is>
      </c>
      <c r="D326" s="3" t="inlineStr">
        <is>
          <t>Site Set-up Documentation</t>
        </is>
      </c>
      <c r="E326" s="3" t="inlineStr">
        <is>
          <t>Financial Disclosure Form</t>
        </is>
      </c>
      <c r="F326" s="3" t="inlineStr">
        <is>
          <t>IFDF_SI Gabrisova Paula_initial_site_CZ92-CZ10004_07Feb24</t>
        </is>
      </c>
      <c r="G326" s="2" t="str">
        <f>HYPERLINK("https://vtmf.veevavault.com/ui/#doc_info/25709565/1/0", "VTMF-20523694")</f>
        <v>VTMF-20523694</v>
      </c>
      <c r="H326" s="3" t="inlineStr">
        <is>
          <t/>
        </is>
      </c>
      <c r="I326" s="3" t="inlineStr">
        <is>
          <t>Anthony Suarez (veeva.com)</t>
        </is>
      </c>
      <c r="J326" s="3" t="inlineStr">
        <is>
          <t>Lenka Placha</t>
        </is>
      </c>
      <c r="K326" s="4" t="n">
        <v>45335.757627314815</v>
      </c>
      <c r="L326" s="5" t="n">
        <v>45335.0</v>
      </c>
      <c r="M326" s="3" t="inlineStr">
        <is>
          <t>Approved</t>
        </is>
      </c>
      <c r="N326" s="3" t="inlineStr">
        <is>
          <t>Available for Distribution, IP Release, Ready for TMF Lock, Site Start</t>
        </is>
      </c>
      <c r="O326" s="3" t="inlineStr">
        <is>
          <t>Czech Republic</t>
        </is>
      </c>
      <c r="P326" s="3" t="inlineStr">
        <is>
          <t>Z92-CZ10004</t>
        </is>
      </c>
      <c r="Q326" s="3" t="inlineStr">
        <is>
          <t>77242113UCO2001</t>
        </is>
      </c>
    </row>
    <row r="327">
      <c r="A327" s="2" t="str">
        <f>HYPERLINK("https://vtmf.veevavault.com/ui/#doc_info/25709567/1/0", "77242113UCO2001-CZE-Z92-CZ10004-Financial Disclosure Form-07 Feb 2024 (v1.0)")</f>
        <v>77242113UCO2001-CZE-Z92-CZ10004-Financial Disclosure Form-07 Feb 2024 (v1.0)</v>
      </c>
      <c r="B327" s="3" t="inlineStr">
        <is>
          <t>Lenka Placha</t>
        </is>
      </c>
      <c r="C327" s="3" t="inlineStr">
        <is>
          <t>Site Management</t>
        </is>
      </c>
      <c r="D327" s="3" t="inlineStr">
        <is>
          <t>Site Set-up Documentation</t>
        </is>
      </c>
      <c r="E327" s="3" t="inlineStr">
        <is>
          <t>Financial Disclosure Form</t>
        </is>
      </c>
      <c r="F327" s="3" t="inlineStr">
        <is>
          <t>IFDF_SI Volfova Miroslava_initial_site_CZ92-CZ10004_07Feb24</t>
        </is>
      </c>
      <c r="G327" s="2" t="str">
        <f>HYPERLINK("https://vtmf.veevavault.com/ui/#doc_info/25709567/1/0", "VTMF-20523696")</f>
        <v>VTMF-20523696</v>
      </c>
      <c r="H327" s="3" t="inlineStr">
        <is>
          <t/>
        </is>
      </c>
      <c r="I327" s="3" t="inlineStr">
        <is>
          <t>Anthony Suarez (veeva.com)</t>
        </is>
      </c>
      <c r="J327" s="3" t="inlineStr">
        <is>
          <t>Lenka Placha</t>
        </is>
      </c>
      <c r="K327" s="4" t="n">
        <v>45335.757627314815</v>
      </c>
      <c r="L327" s="5" t="n">
        <v>45335.0</v>
      </c>
      <c r="M327" s="3" t="inlineStr">
        <is>
          <t>Approved</t>
        </is>
      </c>
      <c r="N327" s="3" t="inlineStr">
        <is>
          <t>Available for Distribution, IP Release, Ready for TMF Lock, Site Start</t>
        </is>
      </c>
      <c r="O327" s="3" t="inlineStr">
        <is>
          <t>Czech Republic</t>
        </is>
      </c>
      <c r="P327" s="3" t="inlineStr">
        <is>
          <t>Z92-CZ10004</t>
        </is>
      </c>
      <c r="Q327" s="3" t="inlineStr">
        <is>
          <t>77242113UCO2001</t>
        </is>
      </c>
    </row>
    <row r="328">
      <c r="A328" s="2" t="str">
        <f>HYPERLINK("https://vtmf.veevavault.com/ui/#doc_info/25965624/1/0", "77242113UCO2001-CZE-Z92-CZ10004-Financial Disclosure Form-07 Feb 2024 (v1.0)")</f>
        <v>77242113UCO2001-CZE-Z92-CZ10004-Financial Disclosure Form-07 Feb 2024 (v1.0)</v>
      </c>
      <c r="B328" s="3" t="inlineStr">
        <is>
          <t>Lenka Placha</t>
        </is>
      </c>
      <c r="C328" s="3" t="inlineStr">
        <is>
          <t>Site Management</t>
        </is>
      </c>
      <c r="D328" s="3" t="inlineStr">
        <is>
          <t>Site Set-up Documentation</t>
        </is>
      </c>
      <c r="E328" s="3" t="inlineStr">
        <is>
          <t>Financial Disclosure Form</t>
        </is>
      </c>
      <c r="F328" s="3" t="inlineStr">
        <is>
          <t>IFDF_SI Zimandlova Dana_initial_site_CZ92-CZ10004_07Feb24</t>
        </is>
      </c>
      <c r="G328" s="2" t="str">
        <f>HYPERLINK("https://vtmf.veevavault.com/ui/#doc_info/25965624/1/0", "VTMF-20749240")</f>
        <v>VTMF-20749240</v>
      </c>
      <c r="H328" s="3" t="inlineStr">
        <is>
          <t/>
        </is>
      </c>
      <c r="I328" s="3" t="inlineStr">
        <is>
          <t>Anthony Suarez (veeva.com)</t>
        </is>
      </c>
      <c r="J328" s="3" t="inlineStr">
        <is>
          <t>Lenka Placha</t>
        </is>
      </c>
      <c r="K328" s="4" t="n">
        <v>45371.83806712963</v>
      </c>
      <c r="L328" s="5" t="n">
        <v>45371.0</v>
      </c>
      <c r="M328" s="3" t="inlineStr">
        <is>
          <t>Approved</t>
        </is>
      </c>
      <c r="N328" s="3" t="inlineStr">
        <is>
          <t>Available for Distribution, IP Release, Ready for TMF Lock, Site Start</t>
        </is>
      </c>
      <c r="O328" s="3" t="inlineStr">
        <is>
          <t>Czech Republic</t>
        </is>
      </c>
      <c r="P328" s="3" t="inlineStr">
        <is>
          <t>Z92-CZ10004</t>
        </is>
      </c>
      <c r="Q328" s="3" t="inlineStr">
        <is>
          <t>77242113UCO2001</t>
        </is>
      </c>
    </row>
    <row r="329">
      <c r="A329" s="2" t="str">
        <f>HYPERLINK("https://vtmf.veevavault.com/ui/#doc_info/24106734/2/0", "77242113UCO2001-CZE-Z92-CZ10004-Form FDA1572-21 Feb 2024 (v2.0)")</f>
        <v>77242113UCO2001-CZE-Z92-CZ10004-Form FDA1572-21 Feb 2024 (v2.0)</v>
      </c>
      <c r="B329" s="3" t="inlineStr">
        <is>
          <t>EDL Admin</t>
        </is>
      </c>
      <c r="C329" s="3" t="inlineStr">
        <is>
          <t>Site Management</t>
        </is>
      </c>
      <c r="D329" s="3" t="inlineStr">
        <is>
          <t>Site Set-up Documentation</t>
        </is>
      </c>
      <c r="E329" s="3" t="inlineStr">
        <is>
          <t>Form FDA1572</t>
        </is>
      </c>
      <c r="F329" s="3" t="inlineStr">
        <is>
          <t>FDA 1572_Vanasek Tomas_initial_05Feb24_not signed_update 21Feb24</t>
        </is>
      </c>
      <c r="G329" s="2" t="str">
        <f>HYPERLINK("https://vtmf.veevavault.com/ui/#doc_info/24106734/2/0", "VTMF-19121345")</f>
        <v>VTMF-19121345</v>
      </c>
      <c r="H329" s="3" t="inlineStr">
        <is>
          <t/>
        </is>
      </c>
      <c r="I329" s="3" t="inlineStr">
        <is>
          <t>Anthony Suarez (veeva.com)</t>
        </is>
      </c>
      <c r="J329" s="3" t="inlineStr">
        <is>
          <t>Lenka Placha</t>
        </is>
      </c>
      <c r="K329" s="4" t="n">
        <v>45343.96728009259</v>
      </c>
      <c r="L329" s="5" t="n">
        <v>45343.0</v>
      </c>
      <c r="M329" s="3" t="inlineStr">
        <is>
          <t>Approved</t>
        </is>
      </c>
      <c r="N329" s="3" t="inlineStr">
        <is>
          <t>Available for Distribution, CLIX Filing, Site Close</t>
        </is>
      </c>
      <c r="O329" s="3" t="inlineStr">
        <is>
          <t>Czech Republic</t>
        </is>
      </c>
      <c r="P329" s="3" t="inlineStr">
        <is>
          <t>Z92-CZ10004</t>
        </is>
      </c>
      <c r="Q329" s="3" t="inlineStr">
        <is>
          <t>77242113UCO2001</t>
        </is>
      </c>
    </row>
    <row r="330">
      <c r="A330" s="2" t="str">
        <f>HYPERLINK("https://vtmf.veevavault.com/ui/#doc_info/29857135/1/0", "77242113UCO2001-CZE-Z92-CZ10004-Handover Document/Transition Checklist-29 Aug 2025 (v1.0)")</f>
        <v>77242113UCO2001-CZE-Z92-CZ10004-Handover Document/Transition Checklist-29 Aug 2025 (v1.0)</v>
      </c>
      <c r="B330" s="3" t="inlineStr">
        <is>
          <t>Lenka Placha</t>
        </is>
      </c>
      <c r="C330" s="3" t="inlineStr">
        <is>
          <t>Trial Management</t>
        </is>
      </c>
      <c r="D330" s="3" t="inlineStr">
        <is>
          <t>Trial Team</t>
        </is>
      </c>
      <c r="E330" s="3" t="inlineStr">
        <is>
          <t>Handover Document/Transition Checklist</t>
        </is>
      </c>
      <c r="F330" s="3" t="inlineStr">
        <is>
          <t>handover_77242113UCO2001_ site Z92-CZ10004_ Placha Lenka_Ruiz Kajtarova Agnesa _29Aug25</t>
        </is>
      </c>
      <c r="G330" s="2" t="str">
        <f>HYPERLINK("https://vtmf.veevavault.com/ui/#doc_info/29857135/1/0", "VTMF-24030643")</f>
        <v>VTMF-24030643</v>
      </c>
      <c r="H330" s="3" t="inlineStr">
        <is>
          <t/>
        </is>
      </c>
      <c r="I330" s="3" t="inlineStr">
        <is>
          <t>System</t>
        </is>
      </c>
      <c r="J330" s="3" t="inlineStr">
        <is>
          <t>Lenka Placha</t>
        </is>
      </c>
      <c r="K330" s="4" t="n">
        <v>45898.61273148148</v>
      </c>
      <c r="L330" s="5" t="n">
        <v>45898.0</v>
      </c>
      <c r="M330" s="3" t="inlineStr">
        <is>
          <t>Approved</t>
        </is>
      </c>
      <c r="N330" s="3" t="inlineStr">
        <is>
          <t>Not associated to a milestone</t>
        </is>
      </c>
      <c r="O330" s="3" t="inlineStr">
        <is>
          <t>Czech Republic</t>
        </is>
      </c>
      <c r="P330" s="3" t="inlineStr">
        <is>
          <t>Z92-CZ10004</t>
        </is>
      </c>
      <c r="Q330" s="3" t="inlineStr">
        <is>
          <t>77242113UCO2001</t>
        </is>
      </c>
    </row>
    <row r="331">
      <c r="A331" s="2" t="str">
        <f>HYPERLINK("https://vtmf.veevavault.com/ui/#doc_info/30776087/1/0", "77242113UCO2001-CZE-Z92-CZ10004-IP Destruction Form-05 Dec 2025 (v1.0)")</f>
        <v>77242113UCO2001-CZE-Z92-CZ10004-IP Destruction Form-05 Dec 2025 (v1.0)</v>
      </c>
      <c r="B331" s="3" t="inlineStr">
        <is>
          <t>Jitka Kone</t>
        </is>
      </c>
      <c r="C331" s="3" t="inlineStr">
        <is>
          <t>IP and Trial Supplies</t>
        </is>
      </c>
      <c r="D331" s="3" t="inlineStr">
        <is>
          <t>IP Documentation</t>
        </is>
      </c>
      <c r="E331" s="3" t="inlineStr">
        <is>
          <t>IP Destruction Form</t>
        </is>
      </c>
      <c r="F331" s="3" t="inlineStr">
        <is>
          <t>Destruction form CZ-DESTR-102-2025</t>
        </is>
      </c>
      <c r="G331" s="2" t="str">
        <f>HYPERLINK("https://vtmf.veevavault.com/ui/#doc_info/30776087/1/0", "VTMF-24800195")</f>
        <v>VTMF-24800195</v>
      </c>
      <c r="H331" s="3" t="inlineStr">
        <is>
          <t/>
        </is>
      </c>
      <c r="I331" s="3" t="inlineStr">
        <is>
          <t>System</t>
        </is>
      </c>
      <c r="J331" s="3" t="inlineStr">
        <is>
          <t>Jitka Kone</t>
        </is>
      </c>
      <c r="K331" s="4" t="n">
        <v>46036.528958333336</v>
      </c>
      <c r="L331" s="5" t="n">
        <v>46036.0</v>
      </c>
      <c r="M331" s="3" t="inlineStr">
        <is>
          <t>Approved</t>
        </is>
      </c>
      <c r="N331" s="3" t="inlineStr">
        <is>
          <t>Available for Distribution, CLIX Filing, Country Close, Site Close</t>
        </is>
      </c>
      <c r="O331" s="3" t="inlineStr">
        <is>
          <t>Czech Republic</t>
        </is>
      </c>
      <c r="P331" s="3" t="inlineStr">
        <is>
          <t>Z92-CZ10004</t>
        </is>
      </c>
      <c r="Q331" s="3" t="inlineStr">
        <is>
          <t>77242113UCO2001</t>
        </is>
      </c>
    </row>
    <row r="332">
      <c r="A332" s="2" t="str">
        <f>HYPERLINK("https://vtmf.veevavault.com/ui/#doc_info/31168041/1/0", "77242113UCO2001-CZE-Z92-CZ10004-IP Destruction Form-16 Jan 2026 (v1.0)")</f>
        <v>77242113UCO2001-CZE-Z92-CZ10004-IP Destruction Form-16 Jan 2026 (v1.0)</v>
      </c>
      <c r="B332" s="3" t="inlineStr">
        <is>
          <t>Jitka Kone</t>
        </is>
      </c>
      <c r="C332" s="3" t="inlineStr">
        <is>
          <t>IP and Trial Supplies</t>
        </is>
      </c>
      <c r="D332" s="3" t="inlineStr">
        <is>
          <t>IP Documentation</t>
        </is>
      </c>
      <c r="E332" s="3" t="inlineStr">
        <is>
          <t>IP Destruction Form</t>
        </is>
      </c>
      <c r="F332" s="3" t="inlineStr">
        <is>
          <t>Destruction form CZ-DESTR-003-2026</t>
        </is>
      </c>
      <c r="G332" s="2" t="str">
        <f>HYPERLINK("https://vtmf.veevavault.com/ui/#doc_info/31168041/1/0", "VTMF-25131246")</f>
        <v>VTMF-25131246</v>
      </c>
      <c r="H332" s="3" t="inlineStr">
        <is>
          <t/>
        </is>
      </c>
      <c r="I332" s="3" t="inlineStr">
        <is>
          <t>System</t>
        </is>
      </c>
      <c r="J332" s="3" t="inlineStr">
        <is>
          <t>Jitka Kone</t>
        </is>
      </c>
      <c r="K332" s="4" t="n">
        <v>46093.358831018515</v>
      </c>
      <c r="L332" s="5" t="n">
        <v>46093.0</v>
      </c>
      <c r="M332" s="3" t="inlineStr">
        <is>
          <t>Approved</t>
        </is>
      </c>
      <c r="N332" s="3" t="inlineStr">
        <is>
          <t>Available for Distribution, CLIX Filing, Country Close, Site Close</t>
        </is>
      </c>
      <c r="O332" s="3" t="inlineStr">
        <is>
          <t>Czech Republic</t>
        </is>
      </c>
      <c r="P332" s="3" t="inlineStr">
        <is>
          <t>Z92-CZ10004</t>
        </is>
      </c>
      <c r="Q332" s="3" t="inlineStr">
        <is>
          <t>77242113UCO2001</t>
        </is>
      </c>
    </row>
    <row r="333">
      <c r="A333" s="2" t="str">
        <f>HYPERLINK("https://vtmf.veevavault.com/ui/#doc_info/29533480/1/0", "77242113UCO2001-CZE-Z92-CZ10004-IP Destruction Form-17 Jun 2025 (v1.0)")</f>
        <v>77242113UCO2001-CZE-Z92-CZ10004-IP Destruction Form-17 Jun 2025 (v1.0)</v>
      </c>
      <c r="B333" s="3" t="inlineStr">
        <is>
          <t>Jitka Kone</t>
        </is>
      </c>
      <c r="C333" s="3" t="inlineStr">
        <is>
          <t>IP and Trial Supplies</t>
        </is>
      </c>
      <c r="D333" s="3" t="inlineStr">
        <is>
          <t>IP Documentation</t>
        </is>
      </c>
      <c r="E333" s="3" t="inlineStr">
        <is>
          <t>IP Destruction Form</t>
        </is>
      </c>
      <c r="F333" s="3" t="inlineStr">
        <is>
          <t>Destruction log_CZ-DESTR-046-2025</t>
        </is>
      </c>
      <c r="G333" s="2" t="str">
        <f>HYPERLINK("https://vtmf.veevavault.com/ui/#doc_info/29533480/1/0", "VTMF-23753814")</f>
        <v>VTMF-23753814</v>
      </c>
      <c r="H333" s="3" t="inlineStr">
        <is>
          <t/>
        </is>
      </c>
      <c r="I333" s="3" t="inlineStr">
        <is>
          <t>System</t>
        </is>
      </c>
      <c r="J333" s="3" t="inlineStr">
        <is>
          <t>Jitka Kone</t>
        </is>
      </c>
      <c r="K333" s="4" t="n">
        <v>45848.66131944444</v>
      </c>
      <c r="L333" s="5" t="n">
        <v>45848.0</v>
      </c>
      <c r="M333" s="3" t="inlineStr">
        <is>
          <t>Approved</t>
        </is>
      </c>
      <c r="N333" s="3" t="inlineStr">
        <is>
          <t>Available for Distribution, CLIX Filing, Country Close, Site Close</t>
        </is>
      </c>
      <c r="O333" s="3" t="inlineStr">
        <is>
          <t>Czech Republic</t>
        </is>
      </c>
      <c r="P333" s="3" t="inlineStr">
        <is>
          <t>Z92-CZ10004</t>
        </is>
      </c>
      <c r="Q333" s="3" t="inlineStr">
        <is>
          <t>77242113UCO2001</t>
        </is>
      </c>
    </row>
    <row r="334">
      <c r="A334" s="2" t="str">
        <f>HYPERLINK("https://vtmf.veevavault.com/ui/#doc_info/27780836/1/0", "77242113UCO2001-CZE-Z92-CZ10004-IP Destruction Form-18 Oct 2024 (v1.0)")</f>
        <v>77242113UCO2001-CZE-Z92-CZ10004-IP Destruction Form-18 Oct 2024 (v1.0)</v>
      </c>
      <c r="B334" s="3" t="inlineStr">
        <is>
          <t>Jitka Kone</t>
        </is>
      </c>
      <c r="C334" s="3" t="inlineStr">
        <is>
          <t>IP and Trial Supplies</t>
        </is>
      </c>
      <c r="D334" s="3" t="inlineStr">
        <is>
          <t>IP Documentation</t>
        </is>
      </c>
      <c r="E334" s="3" t="inlineStr">
        <is>
          <t>IP Destruction Form</t>
        </is>
      </c>
      <c r="F334" s="3" t="inlineStr">
        <is>
          <t>Destruction log_CZ-DESTR-091-2024</t>
        </is>
      </c>
      <c r="G334" s="2" t="str">
        <f>HYPERLINK("https://vtmf.veevavault.com/ui/#doc_info/27780836/1/0", "VTMF-22276283")</f>
        <v>VTMF-22276283</v>
      </c>
      <c r="H334" s="3" t="inlineStr">
        <is>
          <t/>
        </is>
      </c>
      <c r="I334" s="3" t="inlineStr">
        <is>
          <t>System</t>
        </is>
      </c>
      <c r="J334" s="3" t="inlineStr">
        <is>
          <t>Jitka Kone</t>
        </is>
      </c>
      <c r="K334" s="4" t="n">
        <v>45628.66673611111</v>
      </c>
      <c r="L334" s="5" t="n">
        <v>45628.0</v>
      </c>
      <c r="M334" s="3" t="inlineStr">
        <is>
          <t>Approved</t>
        </is>
      </c>
      <c r="N334" s="3" t="inlineStr">
        <is>
          <t>Available for Distribution, CLIX Filing, Country Close, Site Close</t>
        </is>
      </c>
      <c r="O334" s="3" t="inlineStr">
        <is>
          <t>Czech Republic</t>
        </is>
      </c>
      <c r="P334" s="3" t="inlineStr">
        <is>
          <t>Z92-CZ10004</t>
        </is>
      </c>
      <c r="Q334" s="3" t="inlineStr">
        <is>
          <t>77242113UCO2001</t>
        </is>
      </c>
    </row>
    <row r="335">
      <c r="A335" s="2" t="str">
        <f>HYPERLINK("https://vtmf.veevavault.com/ui/#doc_info/28691275/1/0", "77242113UCO2001-CZE-Z92-CZ10004-IP Destruction Form-24 Feb 2025 (v1.0)")</f>
        <v>77242113UCO2001-CZE-Z92-CZ10004-IP Destruction Form-24 Feb 2025 (v1.0)</v>
      </c>
      <c r="B335" s="3" t="inlineStr">
        <is>
          <t>Jitka Kone</t>
        </is>
      </c>
      <c r="C335" s="3" t="inlineStr">
        <is>
          <t>IP and Trial Supplies</t>
        </is>
      </c>
      <c r="D335" s="3" t="inlineStr">
        <is>
          <t>IP Documentation</t>
        </is>
      </c>
      <c r="E335" s="3" t="inlineStr">
        <is>
          <t>IP Destruction Form</t>
        </is>
      </c>
      <c r="F335" s="3" t="inlineStr">
        <is>
          <t>Destructon log CZ-DESTR-010-2025</t>
        </is>
      </c>
      <c r="G335" s="2" t="str">
        <f>HYPERLINK("https://vtmf.veevavault.com/ui/#doc_info/28691275/1/0", "VTMF-23047267")</f>
        <v>VTMF-23047267</v>
      </c>
      <c r="H335" s="3" t="inlineStr">
        <is>
          <t/>
        </is>
      </c>
      <c r="I335" s="3" t="inlineStr">
        <is>
          <t>System</t>
        </is>
      </c>
      <c r="J335" s="3" t="inlineStr">
        <is>
          <t>Jitka Kone</t>
        </is>
      </c>
      <c r="K335" s="4" t="n">
        <v>45734.530324074076</v>
      </c>
      <c r="L335" s="5" t="n">
        <v>45734.0</v>
      </c>
      <c r="M335" s="3" t="inlineStr">
        <is>
          <t>Approved</t>
        </is>
      </c>
      <c r="N335" s="3" t="inlineStr">
        <is>
          <t>Available for Distribution, CLIX Filing, Country Close, Site Close</t>
        </is>
      </c>
      <c r="O335" s="3" t="inlineStr">
        <is>
          <t>Czech Republic</t>
        </is>
      </c>
      <c r="P335" s="3" t="inlineStr">
        <is>
          <t>Z92-CZ10004</t>
        </is>
      </c>
      <c r="Q335" s="3" t="inlineStr">
        <is>
          <t>77242113UCO2001</t>
        </is>
      </c>
    </row>
    <row r="336">
      <c r="A336" s="2" t="str">
        <f>HYPERLINK("https://vtmf.veevavault.com/ui/#doc_info/25709473/1/0", "77242113UCO2001-CZE-Z92-CZ10004-IP Site Release Documentation-13 Feb 2024 (v1.0)")</f>
        <v>77242113UCO2001-CZE-Z92-CZ10004-IP Site Release Documentation-13 Feb 2024 (v1.0)</v>
      </c>
      <c r="B336" s="3" t="inlineStr">
        <is>
          <t>Lenka Placha</t>
        </is>
      </c>
      <c r="C336" s="3" t="inlineStr">
        <is>
          <t>Site Management</t>
        </is>
      </c>
      <c r="D336" s="3" t="inlineStr">
        <is>
          <t>Site Set-up Documentation</t>
        </is>
      </c>
      <c r="E336" s="3" t="inlineStr">
        <is>
          <t>IP Site Release Documentation</t>
        </is>
      </c>
      <c r="F336" s="3" t="inlineStr">
        <is>
          <t>IP shipment approval form_site Z92-CZ10004_ 13Feb2024</t>
        </is>
      </c>
      <c r="G336" s="2" t="str">
        <f>HYPERLINK("https://vtmf.veevavault.com/ui/#doc_info/25709473/1/0", "VTMF-20523615")</f>
        <v>VTMF-20523615</v>
      </c>
      <c r="H336" s="3" t="inlineStr">
        <is>
          <t/>
        </is>
      </c>
      <c r="I336" s="3" t="inlineStr">
        <is>
          <t>Anthony Suarez (veeva.com)</t>
        </is>
      </c>
      <c r="J336" s="3" t="inlineStr">
        <is>
          <t>Lenka Placha</t>
        </is>
      </c>
      <c r="K336" s="4" t="n">
        <v>45335.74717592593</v>
      </c>
      <c r="L336" s="5" t="n">
        <v>45336.0</v>
      </c>
      <c r="M336" s="3" t="inlineStr">
        <is>
          <t>Approved</t>
        </is>
      </c>
      <c r="N336" s="3" t="inlineStr">
        <is>
          <t>Available for Distribution, Site Start</t>
        </is>
      </c>
      <c r="O336" s="3" t="inlineStr">
        <is>
          <t>Czech Republic</t>
        </is>
      </c>
      <c r="P336" s="3" t="inlineStr">
        <is>
          <t>Z92-CZ10004</t>
        </is>
      </c>
      <c r="Q336" s="3" t="inlineStr">
        <is>
          <t>77242113UCO2001</t>
        </is>
      </c>
    </row>
    <row r="337">
      <c r="A337" s="2" t="str">
        <f>HYPERLINK("https://vtmf.veevavault.com/ui/#doc_info/24106749/1/0", "77242113UCO2001-CZE-Z92-CZ10004-IRB/IEC Composition-12 Feb 2024 (v1.0)")</f>
        <v>77242113UCO2001-CZE-Z92-CZ10004-IRB/IEC Composition-12 Feb 2024 (v1.0)</v>
      </c>
      <c r="B337" s="3" t="inlineStr">
        <is>
          <t>EDL Admin</t>
        </is>
      </c>
      <c r="C337" s="3" t="inlineStr">
        <is>
          <t>IRB/IEC and other Approvals</t>
        </is>
      </c>
      <c r="D337" s="3" t="inlineStr">
        <is>
          <t>IRB/IEC Trial Approval</t>
        </is>
      </c>
      <c r="E337" s="3" t="inlineStr">
        <is>
          <t>IRB/IEC Composition</t>
        </is>
      </c>
      <c r="F337" s="3" t="inlineStr">
        <is>
          <t>NTF _list of IRB_IEC membership_12Feb24_site Z92-CZ10004</t>
        </is>
      </c>
      <c r="G337" s="2" t="str">
        <f>HYPERLINK("https://vtmf.veevavault.com/ui/#doc_info/24106749/1/0", "VTMF-19121360")</f>
        <v>VTMF-19121360</v>
      </c>
      <c r="H337" s="3" t="inlineStr">
        <is>
          <t/>
        </is>
      </c>
      <c r="I337" s="3" t="inlineStr">
        <is>
          <t>System</t>
        </is>
      </c>
      <c r="J337" s="3" t="inlineStr">
        <is>
          <t>Lenka Placha</t>
        </is>
      </c>
      <c r="K337" s="4" t="n">
        <v>45335.72252314815</v>
      </c>
      <c r="L337" s="5" t="n">
        <v>45335.0</v>
      </c>
      <c r="M337" s="3" t="inlineStr">
        <is>
          <t>Approved</t>
        </is>
      </c>
      <c r="N337" s="3" t="inlineStr">
        <is>
          <t>Available for Distribution, Country Start, Site Start</t>
        </is>
      </c>
      <c r="O337" s="3" t="inlineStr">
        <is>
          <t>Czech Republic</t>
        </is>
      </c>
      <c r="P337" s="3" t="inlineStr">
        <is>
          <t>Z92-CZ10004</t>
        </is>
      </c>
      <c r="Q337" s="3" t="inlineStr">
        <is>
          <t>77242113UCO2001</t>
        </is>
      </c>
    </row>
    <row r="338">
      <c r="A338" s="2" t="str">
        <f>HYPERLINK("https://vtmf.veevavault.com/ui/#doc_info/25709292/1/0", "77242113UCO2001-CZE-Z92-CZ10004-IRB/IEC Documentation of Non-Voting Status-12 Feb 2024 (v1.0)")</f>
        <v>77242113UCO2001-CZE-Z92-CZ10004-IRB/IEC Documentation of Non-Voting Status-12 Feb 2024 (v1.0)</v>
      </c>
      <c r="B338" s="3" t="inlineStr">
        <is>
          <t>Lenka Placha</t>
        </is>
      </c>
      <c r="C338" s="3" t="inlineStr">
        <is>
          <t>IRB/IEC and other Approvals</t>
        </is>
      </c>
      <c r="D338" s="3" t="inlineStr">
        <is>
          <t>IRB/IEC Trial Approval</t>
        </is>
      </c>
      <c r="E338" s="3" t="inlineStr">
        <is>
          <t>IRB/IEC Documentation of Non-Voting Status</t>
        </is>
      </c>
      <c r="F338" s="3" t="inlineStr">
        <is>
          <t>NTF _IRB-IEC Documentation of Non-Voting Status_12Feb24_site Z92-CZ10004</t>
        </is>
      </c>
      <c r="G338" s="2" t="str">
        <f>HYPERLINK("https://vtmf.veevavault.com/ui/#doc_info/25709292/1/0", "VTMF-20523483")</f>
        <v>VTMF-20523483</v>
      </c>
      <c r="H338" s="3" t="inlineStr">
        <is>
          <t/>
        </is>
      </c>
      <c r="I338" s="3" t="inlineStr">
        <is>
          <t>System</t>
        </is>
      </c>
      <c r="J338" s="3" t="inlineStr">
        <is>
          <t>Lenka Placha</t>
        </is>
      </c>
      <c r="K338" s="4" t="n">
        <v>45335.72902777778</v>
      </c>
      <c r="L338" s="5" t="n">
        <v>45335.0</v>
      </c>
      <c r="M338" s="3" t="inlineStr">
        <is>
          <t>Approved</t>
        </is>
      </c>
      <c r="N338" s="3" t="inlineStr">
        <is>
          <t>Available for Distribution, Country Start, Site Start</t>
        </is>
      </c>
      <c r="O338" s="3" t="inlineStr">
        <is>
          <t>Czech Republic</t>
        </is>
      </c>
      <c r="P338" s="3" t="inlineStr">
        <is>
          <t>Z92-CZ10004</t>
        </is>
      </c>
      <c r="Q338" s="3" t="inlineStr">
        <is>
          <t>77242113UCO2001</t>
        </is>
      </c>
    </row>
    <row r="339">
      <c r="A339" s="2" t="str">
        <f>HYPERLINK("https://vtmf.veevavault.com/ui/#doc_info/24106750/1/0", "77242113UCO2001-CZE-Z92-CZ10004-IRB/IEC GCP Compliance Statement-12 Feb 2024 (v1.0)")</f>
        <v>77242113UCO2001-CZE-Z92-CZ10004-IRB/IEC GCP Compliance Statement-12 Feb 2024 (v1.0)</v>
      </c>
      <c r="B339" s="3" t="inlineStr">
        <is>
          <t>EDL Admin</t>
        </is>
      </c>
      <c r="C339" s="3" t="inlineStr">
        <is>
          <t>IRB/IEC and other Approvals</t>
        </is>
      </c>
      <c r="D339" s="3" t="inlineStr">
        <is>
          <t>IRB/IEC Trial Approval</t>
        </is>
      </c>
      <c r="E339" s="3" t="inlineStr">
        <is>
          <t>IRB/IEC GCP Compliance Statement</t>
        </is>
      </c>
      <c r="F339" s="3" t="inlineStr">
        <is>
          <t>NTF_IEC GCP Compliance Statement-12Feb24_site Z92-CZ10004</t>
        </is>
      </c>
      <c r="G339" s="2" t="str">
        <f>HYPERLINK("https://vtmf.veevavault.com/ui/#doc_info/24106750/1/0", "VTMF-19121361")</f>
        <v>VTMF-19121361</v>
      </c>
      <c r="H339" s="3" t="inlineStr">
        <is>
          <t/>
        </is>
      </c>
      <c r="I339" s="3" t="inlineStr">
        <is>
          <t>System</t>
        </is>
      </c>
      <c r="J339" s="3" t="inlineStr">
        <is>
          <t>Lenka Placha</t>
        </is>
      </c>
      <c r="K339" s="4" t="n">
        <v>45335.72516203704</v>
      </c>
      <c r="L339" s="5" t="n">
        <v>45335.0</v>
      </c>
      <c r="M339" s="3" t="inlineStr">
        <is>
          <t>Approved</t>
        </is>
      </c>
      <c r="N339" s="3" t="inlineStr">
        <is>
          <t>Available for Distribution, Country Start, IP Release, Site Start</t>
        </is>
      </c>
      <c r="O339" s="3" t="inlineStr">
        <is>
          <t>Czech Republic</t>
        </is>
      </c>
      <c r="P339" s="3" t="inlineStr">
        <is>
          <t>Z92-CZ10004</t>
        </is>
      </c>
      <c r="Q339" s="3" t="inlineStr">
        <is>
          <t>77242113UCO2001</t>
        </is>
      </c>
    </row>
    <row r="340">
      <c r="A340" s="2" t="str">
        <f>HYPERLINK("https://vtmf.veevavault.com/ui/#doc_info/31286894/1/0", "77242113UCO2001-CZE-Z92-CZ10004-Monitoring Visit Follow-up Letter-SCVR_FL-18 Mar 2026 (v1.0)")</f>
        <v>77242113UCO2001-CZE-Z92-CZ10004-Monitoring Visit Follow-up Letter-SCVR_FL-18 Mar 2026 (v1.0)</v>
      </c>
      <c r="B340" s="3" t="inlineStr">
        <is>
          <t>Admin User Medidata</t>
        </is>
      </c>
      <c r="C340" s="3" t="inlineStr">
        <is>
          <t>Site Management</t>
        </is>
      </c>
      <c r="D340" s="3" t="inlineStr">
        <is>
          <t>Site Management</t>
        </is>
      </c>
      <c r="E340" s="3" t="inlineStr">
        <is>
          <t>Monitoring Visit Follow-up Letter</t>
        </is>
      </c>
      <c r="F340" s="3" t="inlineStr">
        <is>
          <t/>
        </is>
      </c>
      <c r="G340" s="2" t="str">
        <f>HYPERLINK("https://vtmf.veevavault.com/ui/#doc_info/31286894/1/0", "VTMF-25233110")</f>
        <v>VTMF-25233110</v>
      </c>
      <c r="H340" s="3" t="inlineStr">
        <is>
          <t/>
        </is>
      </c>
      <c r="I340" s="3" t="inlineStr">
        <is>
          <t>System</t>
        </is>
      </c>
      <c r="J340" s="3" t="inlineStr">
        <is>
          <t>Admin User Medidata</t>
        </is>
      </c>
      <c r="K340" s="4" t="n">
        <v>46108.51660879629</v>
      </c>
      <c r="L340" s="5" t="n">
        <v>46108.0</v>
      </c>
      <c r="M340" s="3" t="inlineStr">
        <is>
          <t>Approved</t>
        </is>
      </c>
      <c r="N340" s="3" t="inlineStr">
        <is>
          <t>Available for Distribution, CLIX Filing, Not associated to a milestone</t>
        </is>
      </c>
      <c r="O340" s="3" t="inlineStr">
        <is>
          <t>Czech Republic</t>
        </is>
      </c>
      <c r="P340" s="3" t="inlineStr">
        <is>
          <t>Z92-CZ10004</t>
        </is>
      </c>
      <c r="Q340" s="3" t="inlineStr">
        <is>
          <t>77242113UCO2001</t>
        </is>
      </c>
    </row>
    <row r="341">
      <c r="A341" s="2" t="str">
        <f>HYPERLINK("https://vtmf.veevavault.com/ui/#doc_info/25771887/1/0", "77242113UCO2001-CZE-Z92-CZ10004-Monitoring Visit Follow-up Letter-SIVR_FL-07 Feb 2024 (v1.0)")</f>
        <v>77242113UCO2001-CZE-Z92-CZ10004-Monitoring Visit Follow-up Letter-SIVR_FL-07 Feb 2024 (v1.0)</v>
      </c>
      <c r="B341" s="3" t="inlineStr">
        <is>
          <t>Admin User Medidata</t>
        </is>
      </c>
      <c r="C341" s="3" t="inlineStr">
        <is>
          <t>Site Management</t>
        </is>
      </c>
      <c r="D341" s="3" t="inlineStr">
        <is>
          <t>Site Management</t>
        </is>
      </c>
      <c r="E341" s="3" t="inlineStr">
        <is>
          <t>Monitoring Visit Follow-up Letter</t>
        </is>
      </c>
      <c r="F341" s="3" t="inlineStr">
        <is>
          <t/>
        </is>
      </c>
      <c r="G341" s="2" t="str">
        <f>HYPERLINK("https://vtmf.veevavault.com/ui/#doc_info/25771887/1/0", "VTMF-20577788")</f>
        <v>VTMF-20577788</v>
      </c>
      <c r="H341" s="3" t="inlineStr">
        <is>
          <t/>
        </is>
      </c>
      <c r="I341" s="3" t="inlineStr">
        <is>
          <t>System</t>
        </is>
      </c>
      <c r="J341" s="3" t="inlineStr">
        <is>
          <t>Admin User Medidata</t>
        </is>
      </c>
      <c r="K341" s="4" t="n">
        <v>45344.79115740741</v>
      </c>
      <c r="L341" s="5" t="n">
        <v>45344.0</v>
      </c>
      <c r="M341" s="3" t="inlineStr">
        <is>
          <t>Approved</t>
        </is>
      </c>
      <c r="N341" s="3" t="inlineStr">
        <is>
          <t>Available for Distribution, CLIX Filing, Site Close</t>
        </is>
      </c>
      <c r="O341" s="3" t="inlineStr">
        <is>
          <t>Czech Republic</t>
        </is>
      </c>
      <c r="P341" s="3" t="inlineStr">
        <is>
          <t>Z92-CZ10004</t>
        </is>
      </c>
      <c r="Q341" s="3" t="inlineStr">
        <is>
          <t>77242113UCO2001</t>
        </is>
      </c>
    </row>
    <row r="342">
      <c r="A342" s="2" t="str">
        <f>HYPERLINK("https://vtmf.veevavault.com/ui/#doc_info/26942547/1/0", "77242113UCO2001-CZE-Z92-CZ10004-Monitoring Visit Follow-up Letter-SMVR_FL-09 Aug 2024 (v1.0)")</f>
        <v>77242113UCO2001-CZE-Z92-CZ10004-Monitoring Visit Follow-up Letter-SMVR_FL-09 Aug 2024 (v1.0)</v>
      </c>
      <c r="B342" s="3" t="inlineStr">
        <is>
          <t>Admin User Medidata</t>
        </is>
      </c>
      <c r="C342" s="3" t="inlineStr">
        <is>
          <t>Site Management</t>
        </is>
      </c>
      <c r="D342" s="3" t="inlineStr">
        <is>
          <t>Site Management</t>
        </is>
      </c>
      <c r="E342" s="3" t="inlineStr">
        <is>
          <t>Monitoring Visit Follow-up Letter</t>
        </is>
      </c>
      <c r="F342" s="3" t="inlineStr">
        <is>
          <t/>
        </is>
      </c>
      <c r="G342" s="2" t="str">
        <f>HYPERLINK("https://vtmf.veevavault.com/ui/#doc_info/26942547/1/0", "VTMF-21598155")</f>
        <v>VTMF-21598155</v>
      </c>
      <c r="H342" s="3" t="inlineStr">
        <is>
          <t/>
        </is>
      </c>
      <c r="I342" s="3" t="inlineStr">
        <is>
          <t>System</t>
        </is>
      </c>
      <c r="J342" s="3" t="inlineStr">
        <is>
          <t>Admin User Medidata</t>
        </is>
      </c>
      <c r="K342" s="4" t="n">
        <v>45527.49423611111</v>
      </c>
      <c r="L342" s="5" t="n">
        <v>45527.0</v>
      </c>
      <c r="M342" s="3" t="inlineStr">
        <is>
          <t>Approved</t>
        </is>
      </c>
      <c r="N342" s="3" t="inlineStr">
        <is>
          <t>Available for Distribution, CLIX Filing, Site Close</t>
        </is>
      </c>
      <c r="O342" s="3" t="inlineStr">
        <is>
          <t>Czech Republic</t>
        </is>
      </c>
      <c r="P342" s="3" t="inlineStr">
        <is>
          <t>Z92-CZ10004</t>
        </is>
      </c>
      <c r="Q342" s="3" t="inlineStr">
        <is>
          <t>77242113UCO2001</t>
        </is>
      </c>
    </row>
    <row r="343">
      <c r="A343" s="2" t="str">
        <f>HYPERLINK("https://vtmf.veevavault.com/ui/#doc_info/30792679/1/0", "77242113UCO2001-CZE-Z92-CZ10004-Monitoring Visit Follow-up Letter-SMVR_FL-12 Jan 2026 (v1.0)")</f>
        <v>77242113UCO2001-CZE-Z92-CZ10004-Monitoring Visit Follow-up Letter-SMVR_FL-12 Jan 2026 (v1.0)</v>
      </c>
      <c r="B343" s="3" t="inlineStr">
        <is>
          <t>Admin User Medidata</t>
        </is>
      </c>
      <c r="C343" s="3" t="inlineStr">
        <is>
          <t>Site Management</t>
        </is>
      </c>
      <c r="D343" s="3" t="inlineStr">
        <is>
          <t>Site Management</t>
        </is>
      </c>
      <c r="E343" s="3" t="inlineStr">
        <is>
          <t>Monitoring Visit Follow-up Letter</t>
        </is>
      </c>
      <c r="F343" s="3" t="inlineStr">
        <is>
          <t/>
        </is>
      </c>
      <c r="G343" s="2" t="str">
        <f>HYPERLINK("https://vtmf.veevavault.com/ui/#doc_info/30792679/1/0", "VTMF-24814078")</f>
        <v>VTMF-24814078</v>
      </c>
      <c r="H343" s="3" t="inlineStr">
        <is>
          <t/>
        </is>
      </c>
      <c r="I343" s="3" t="inlineStr">
        <is>
          <t>System</t>
        </is>
      </c>
      <c r="J343" s="3" t="inlineStr">
        <is>
          <t>Admin User Medidata</t>
        </is>
      </c>
      <c r="K343" s="4" t="n">
        <v>46038.51663194445</v>
      </c>
      <c r="L343" s="5" t="n">
        <v>46038.0</v>
      </c>
      <c r="M343" s="3" t="inlineStr">
        <is>
          <t>Approved</t>
        </is>
      </c>
      <c r="N343" s="3" t="inlineStr">
        <is>
          <t>Available for Distribution, CLIX Filing, Not associated to a milestone</t>
        </is>
      </c>
      <c r="O343" s="3" t="inlineStr">
        <is>
          <t>Czech Republic</t>
        </is>
      </c>
      <c r="P343" s="3" t="inlineStr">
        <is>
          <t>Z92-CZ10004</t>
        </is>
      </c>
      <c r="Q343" s="3" t="inlineStr">
        <is>
          <t>77242113UCO2001</t>
        </is>
      </c>
    </row>
    <row r="344">
      <c r="A344" s="2" t="str">
        <f>HYPERLINK("https://vtmf.veevavault.com/ui/#doc_info/29271347/1/0", "77242113UCO2001-CZE-Z92-CZ10004-Monitoring Visit Follow-up Letter-SMVR_FL-15 May 2025 (v1.0)")</f>
        <v>77242113UCO2001-CZE-Z92-CZ10004-Monitoring Visit Follow-up Letter-SMVR_FL-15 May 2025 (v1.0)</v>
      </c>
      <c r="B344" s="3" t="inlineStr">
        <is>
          <t>Admin User Medidata</t>
        </is>
      </c>
      <c r="C344" s="3" t="inlineStr">
        <is>
          <t>Site Management</t>
        </is>
      </c>
      <c r="D344" s="3" t="inlineStr">
        <is>
          <t>Site Management</t>
        </is>
      </c>
      <c r="E344" s="3" t="inlineStr">
        <is>
          <t>Monitoring Visit Follow-up Letter</t>
        </is>
      </c>
      <c r="F344" s="3" t="inlineStr">
        <is>
          <t/>
        </is>
      </c>
      <c r="G344" s="2" t="str">
        <f>HYPERLINK("https://vtmf.veevavault.com/ui/#doc_info/29271347/1/0", "VTMF-23524975")</f>
        <v>VTMF-23524975</v>
      </c>
      <c r="H344" s="3" t="inlineStr">
        <is>
          <t/>
        </is>
      </c>
      <c r="I344" s="3" t="inlineStr">
        <is>
          <t>System</t>
        </is>
      </c>
      <c r="J344" s="3" t="inlineStr">
        <is>
          <t>Admin User Medidata</t>
        </is>
      </c>
      <c r="K344" s="4" t="n">
        <v>45812.89011574074</v>
      </c>
      <c r="L344" s="5" t="n">
        <v>45812.0</v>
      </c>
      <c r="M344" s="3" t="inlineStr">
        <is>
          <t>Approved</t>
        </is>
      </c>
      <c r="N344" s="3" t="inlineStr">
        <is>
          <t>Available for Distribution, CLIX Filing, Not associated to a milestone</t>
        </is>
      </c>
      <c r="O344" s="3" t="inlineStr">
        <is>
          <t>Czech Republic</t>
        </is>
      </c>
      <c r="P344" s="3" t="inlineStr">
        <is>
          <t>Z92-CZ10004</t>
        </is>
      </c>
      <c r="Q344" s="3" t="inlineStr">
        <is>
          <t>77242113UCO2001</t>
        </is>
      </c>
    </row>
    <row r="345">
      <c r="A345" s="2" t="str">
        <f>HYPERLINK("https://vtmf.veevavault.com/ui/#doc_info/30661787/1/0", "77242113UCO2001-CZE-Z92-CZ10004-Monitoring Visit Follow-up Letter-SMVR_FL-18 Dec 2025 (v1.0)")</f>
        <v>77242113UCO2001-CZE-Z92-CZ10004-Monitoring Visit Follow-up Letter-SMVR_FL-18 Dec 2025 (v1.0)</v>
      </c>
      <c r="B345" s="3" t="inlineStr">
        <is>
          <t>Admin User Medidata</t>
        </is>
      </c>
      <c r="C345" s="3" t="inlineStr">
        <is>
          <t>Site Management</t>
        </is>
      </c>
      <c r="D345" s="3" t="inlineStr">
        <is>
          <t>Site Management</t>
        </is>
      </c>
      <c r="E345" s="3" t="inlineStr">
        <is>
          <t>Monitoring Visit Follow-up Letter</t>
        </is>
      </c>
      <c r="F345" s="3" t="inlineStr">
        <is>
          <t/>
        </is>
      </c>
      <c r="G345" s="2" t="str">
        <f>HYPERLINK("https://vtmf.veevavault.com/ui/#doc_info/30661787/1/0", "VTMF-24707452")</f>
        <v>VTMF-24707452</v>
      </c>
      <c r="H345" s="3" t="inlineStr">
        <is>
          <t/>
        </is>
      </c>
      <c r="I345" s="3" t="inlineStr">
        <is>
          <t>System</t>
        </is>
      </c>
      <c r="J345" s="3" t="inlineStr">
        <is>
          <t>Admin User Medidata</t>
        </is>
      </c>
      <c r="K345" s="4" t="n">
        <v>46013.68630787037</v>
      </c>
      <c r="L345" s="5" t="n">
        <v>46013.0</v>
      </c>
      <c r="M345" s="3" t="inlineStr">
        <is>
          <t>Approved</t>
        </is>
      </c>
      <c r="N345" s="3" t="inlineStr">
        <is>
          <t>Available for Distribution, CLIX Filing, Not associated to a milestone</t>
        </is>
      </c>
      <c r="O345" s="3" t="inlineStr">
        <is>
          <t>Czech Republic</t>
        </is>
      </c>
      <c r="P345" s="3" t="inlineStr">
        <is>
          <t>Z92-CZ10004</t>
        </is>
      </c>
      <c r="Q345" s="3" t="inlineStr">
        <is>
          <t>77242113UCO2001</t>
        </is>
      </c>
    </row>
    <row r="346">
      <c r="A346" s="2" t="str">
        <f>HYPERLINK("https://vtmf.veevavault.com/ui/#doc_info/30497097/1/0", "77242113UCO2001-CZE-Z92-CZ10004-Monitoring Visit Follow-up Letter-SMVR_FL-19 Nov 2025 (v1.0)")</f>
        <v>77242113UCO2001-CZE-Z92-CZ10004-Monitoring Visit Follow-up Letter-SMVR_FL-19 Nov 2025 (v1.0)</v>
      </c>
      <c r="B346" s="3" t="inlineStr">
        <is>
          <t>Admin User Medidata</t>
        </is>
      </c>
      <c r="C346" s="3" t="inlineStr">
        <is>
          <t>Site Management</t>
        </is>
      </c>
      <c r="D346" s="3" t="inlineStr">
        <is>
          <t>Site Management</t>
        </is>
      </c>
      <c r="E346" s="3" t="inlineStr">
        <is>
          <t>Monitoring Visit Follow-up Letter</t>
        </is>
      </c>
      <c r="F346" s="3" t="inlineStr">
        <is>
          <t/>
        </is>
      </c>
      <c r="G346" s="2" t="str">
        <f>HYPERLINK("https://vtmf.veevavault.com/ui/#doc_info/30497097/1/0", "VTMF-24570276")</f>
        <v>VTMF-24570276</v>
      </c>
      <c r="H346" s="3" t="inlineStr">
        <is>
          <t/>
        </is>
      </c>
      <c r="I346" s="3" t="inlineStr">
        <is>
          <t>System</t>
        </is>
      </c>
      <c r="J346" s="3" t="inlineStr">
        <is>
          <t>Admin User Medidata</t>
        </is>
      </c>
      <c r="K346" s="4" t="n">
        <v>45989.64325231482</v>
      </c>
      <c r="L346" s="5" t="n">
        <v>45989.0</v>
      </c>
      <c r="M346" s="3" t="inlineStr">
        <is>
          <t>Approved</t>
        </is>
      </c>
      <c r="N346" s="3" t="inlineStr">
        <is>
          <t>Available for Distribution, CLIX Filing, Not associated to a milestone</t>
        </is>
      </c>
      <c r="O346" s="3" t="inlineStr">
        <is>
          <t>Czech Republic</t>
        </is>
      </c>
      <c r="P346" s="3" t="inlineStr">
        <is>
          <t>Z92-CZ10004</t>
        </is>
      </c>
      <c r="Q346" s="3" t="inlineStr">
        <is>
          <t>77242113UCO2001</t>
        </is>
      </c>
    </row>
    <row r="347">
      <c r="A347" s="2" t="str">
        <f>HYPERLINK("https://vtmf.veevavault.com/ui/#doc_info/29869837/1/0", "77242113UCO2001-CZE-Z92-CZ10004-Monitoring Visit Follow-up Letter-SMVR_FL-21 Aug 2025 (v1.0)")</f>
        <v>77242113UCO2001-CZE-Z92-CZ10004-Monitoring Visit Follow-up Letter-SMVR_FL-21 Aug 2025 (v1.0)</v>
      </c>
      <c r="B347" s="3" t="inlineStr">
        <is>
          <t>Admin User Medidata</t>
        </is>
      </c>
      <c r="C347" s="3" t="inlineStr">
        <is>
          <t>Site Management</t>
        </is>
      </c>
      <c r="D347" s="3" t="inlineStr">
        <is>
          <t>Site Management</t>
        </is>
      </c>
      <c r="E347" s="3" t="inlineStr">
        <is>
          <t>Monitoring Visit Follow-up Letter</t>
        </is>
      </c>
      <c r="F347" s="3" t="inlineStr">
        <is>
          <t/>
        </is>
      </c>
      <c r="G347" s="2" t="str">
        <f>HYPERLINK("https://vtmf.veevavault.com/ui/#doc_info/29869837/1/0", "VTMF-24041576")</f>
        <v>VTMF-24041576</v>
      </c>
      <c r="H347" s="3" t="inlineStr">
        <is>
          <t/>
        </is>
      </c>
      <c r="I347" s="3" t="inlineStr">
        <is>
          <t>System</t>
        </is>
      </c>
      <c r="J347" s="3" t="inlineStr">
        <is>
          <t>Admin User Medidata</t>
        </is>
      </c>
      <c r="K347" s="4" t="n">
        <v>45901.68445601852</v>
      </c>
      <c r="L347" s="5" t="n">
        <v>45901.0</v>
      </c>
      <c r="M347" s="3" t="inlineStr">
        <is>
          <t>Approved</t>
        </is>
      </c>
      <c r="N347" s="3" t="inlineStr">
        <is>
          <t>Available for Distribution, CLIX Filing, Not associated to a milestone</t>
        </is>
      </c>
      <c r="O347" s="3" t="inlineStr">
        <is>
          <t>Czech Republic</t>
        </is>
      </c>
      <c r="P347" s="3" t="inlineStr">
        <is>
          <t>Z92-CZ10004</t>
        </is>
      </c>
      <c r="Q347" s="3" t="inlineStr">
        <is>
          <t>77242113UCO2001</t>
        </is>
      </c>
    </row>
    <row r="348">
      <c r="A348" s="2" t="str">
        <f>HYPERLINK("https://vtmf.veevavault.com/ui/#doc_info/28251946/1/0", "77242113UCO2001-CZE-Z92-CZ10004-Monitoring Visit Follow-up Letter-SMVR_FL-21 Jan 2025 (v1.0)")</f>
        <v>77242113UCO2001-CZE-Z92-CZ10004-Monitoring Visit Follow-up Letter-SMVR_FL-21 Jan 2025 (v1.0)</v>
      </c>
      <c r="B348" s="3" t="inlineStr">
        <is>
          <t>Admin User Medidata</t>
        </is>
      </c>
      <c r="C348" s="3" t="inlineStr">
        <is>
          <t>Site Management</t>
        </is>
      </c>
      <c r="D348" s="3" t="inlineStr">
        <is>
          <t>Site Management</t>
        </is>
      </c>
      <c r="E348" s="3" t="inlineStr">
        <is>
          <t>Monitoring Visit Follow-up Letter</t>
        </is>
      </c>
      <c r="F348" s="3" t="inlineStr">
        <is>
          <t/>
        </is>
      </c>
      <c r="G348" s="2" t="str">
        <f>HYPERLINK("https://vtmf.veevavault.com/ui/#doc_info/28251946/1/0", "VTMF-22660962")</f>
        <v>VTMF-22660962</v>
      </c>
      <c r="H348" s="3" t="inlineStr">
        <is>
          <t/>
        </is>
      </c>
      <c r="I348" s="3" t="inlineStr">
        <is>
          <t>System</t>
        </is>
      </c>
      <c r="J348" s="3" t="inlineStr">
        <is>
          <t>Admin User Medidata</t>
        </is>
      </c>
      <c r="K348" s="4" t="n">
        <v>45695.60387731482</v>
      </c>
      <c r="L348" s="5" t="n">
        <v>45695.0</v>
      </c>
      <c r="M348" s="3" t="inlineStr">
        <is>
          <t>Approved</t>
        </is>
      </c>
      <c r="N348" s="3" t="inlineStr">
        <is>
          <t>Available for Distribution, CLIX Filing, Not associated to a milestone</t>
        </is>
      </c>
      <c r="O348" s="3" t="inlineStr">
        <is>
          <t>Czech Republic</t>
        </is>
      </c>
      <c r="P348" s="3" t="inlineStr">
        <is>
          <t>Z92-CZ10004</t>
        </is>
      </c>
      <c r="Q348" s="3" t="inlineStr">
        <is>
          <t>77242113UCO2001</t>
        </is>
      </c>
    </row>
    <row r="349">
      <c r="A349" s="2" t="str">
        <f>HYPERLINK("https://vtmf.veevavault.com/ui/#doc_info/27841275/1/0", "77242113UCO2001-CZE-Z92-CZ10004-Monitoring Visit Follow-up Letter-SMVR_FL-22 Nov 2024 (v1.0)")</f>
        <v>77242113UCO2001-CZE-Z92-CZ10004-Monitoring Visit Follow-up Letter-SMVR_FL-22 Nov 2024 (v1.0)</v>
      </c>
      <c r="B349" s="3" t="inlineStr">
        <is>
          <t>Admin User Medidata</t>
        </is>
      </c>
      <c r="C349" s="3" t="inlineStr">
        <is>
          <t>Site Management</t>
        </is>
      </c>
      <c r="D349" s="3" t="inlineStr">
        <is>
          <t>Site Management</t>
        </is>
      </c>
      <c r="E349" s="3" t="inlineStr">
        <is>
          <t>Monitoring Visit Follow-up Letter</t>
        </is>
      </c>
      <c r="F349" s="3" t="inlineStr">
        <is>
          <t/>
        </is>
      </c>
      <c r="G349" s="2" t="str">
        <f>HYPERLINK("https://vtmf.veevavault.com/ui/#doc_info/27841275/1/0", "VTMF-22324433")</f>
        <v>VTMF-22324433</v>
      </c>
      <c r="H349" s="3" t="inlineStr">
        <is>
          <t/>
        </is>
      </c>
      <c r="I349" s="3" t="inlineStr">
        <is>
          <t>System</t>
        </is>
      </c>
      <c r="J349" s="3" t="inlineStr">
        <is>
          <t>Admin User Medidata</t>
        </is>
      </c>
      <c r="K349" s="4" t="n">
        <v>45637.01563657408</v>
      </c>
      <c r="L349" s="5" t="n">
        <v>45636.0</v>
      </c>
      <c r="M349" s="3" t="inlineStr">
        <is>
          <t>Approved</t>
        </is>
      </c>
      <c r="N349" s="3" t="inlineStr">
        <is>
          <t>Available for Distribution, CLIX Filing, Not associated to a milestone</t>
        </is>
      </c>
      <c r="O349" s="3" t="inlineStr">
        <is>
          <t>Czech Republic</t>
        </is>
      </c>
      <c r="P349" s="3" t="inlineStr">
        <is>
          <t>Z92-CZ10004</t>
        </is>
      </c>
      <c r="Q349" s="3" t="inlineStr">
        <is>
          <t>77242113UCO2001</t>
        </is>
      </c>
    </row>
    <row r="350">
      <c r="A350" s="2" t="str">
        <f>HYPERLINK("https://vtmf.veevavault.com/ui/#doc_info/26332642/1/0", "77242113UCO2001-CZE-Z92-CZ10004-Monitoring Visit Follow-up Letter-SMVR_FL-24 Apr 2024 (v1.0)")</f>
        <v>77242113UCO2001-CZE-Z92-CZ10004-Monitoring Visit Follow-up Letter-SMVR_FL-24 Apr 2024 (v1.0)</v>
      </c>
      <c r="B350" s="3" t="inlineStr">
        <is>
          <t>Admin User Medidata</t>
        </is>
      </c>
      <c r="C350" s="3" t="inlineStr">
        <is>
          <t>Site Management</t>
        </is>
      </c>
      <c r="D350" s="3" t="inlineStr">
        <is>
          <t>Site Management</t>
        </is>
      </c>
      <c r="E350" s="3" t="inlineStr">
        <is>
          <t>Monitoring Visit Follow-up Letter</t>
        </is>
      </c>
      <c r="F350" s="3" t="inlineStr">
        <is>
          <t/>
        </is>
      </c>
      <c r="G350" s="2" t="str">
        <f>HYPERLINK("https://vtmf.veevavault.com/ui/#doc_info/26332642/1/0", "VTMF-21070448")</f>
        <v>VTMF-21070448</v>
      </c>
      <c r="H350" s="3" t="inlineStr">
        <is>
          <t/>
        </is>
      </c>
      <c r="I350" s="3" t="inlineStr">
        <is>
          <t>System</t>
        </is>
      </c>
      <c r="J350" s="3" t="inlineStr">
        <is>
          <t>Admin User Medidata</t>
        </is>
      </c>
      <c r="K350" s="4" t="n">
        <v>45427.8925</v>
      </c>
      <c r="L350" s="5" t="n">
        <v>45427.0</v>
      </c>
      <c r="M350" s="3" t="inlineStr">
        <is>
          <t>Approved</t>
        </is>
      </c>
      <c r="N350" s="3" t="inlineStr">
        <is>
          <t>Available for Distribution, CLIX Filing, Site Close</t>
        </is>
      </c>
      <c r="O350" s="3" t="inlineStr">
        <is>
          <t>Czech Republic</t>
        </is>
      </c>
      <c r="P350" s="3" t="inlineStr">
        <is>
          <t>Z92-CZ10004</t>
        </is>
      </c>
      <c r="Q350" s="3" t="inlineStr">
        <is>
          <t>77242113UCO2001</t>
        </is>
      </c>
    </row>
    <row r="351">
      <c r="A351" s="2" t="str">
        <f>HYPERLINK("https://vtmf.veevavault.com/ui/#doc_info/27252755/1/0", "77242113UCO2001-CZE-Z92-CZ10004-Monitoring Visit Follow-up Letter-SMVR_FL-27 Sep 2024 (v1.0)")</f>
        <v>77242113UCO2001-CZE-Z92-CZ10004-Monitoring Visit Follow-up Letter-SMVR_FL-27 Sep 2024 (v1.0)</v>
      </c>
      <c r="B351" s="3" t="inlineStr">
        <is>
          <t>Admin User Medidata</t>
        </is>
      </c>
      <c r="C351" s="3" t="inlineStr">
        <is>
          <t>Site Management</t>
        </is>
      </c>
      <c r="D351" s="3" t="inlineStr">
        <is>
          <t>Site Management</t>
        </is>
      </c>
      <c r="E351" s="3" t="inlineStr">
        <is>
          <t>Monitoring Visit Follow-up Letter</t>
        </is>
      </c>
      <c r="F351" s="3" t="inlineStr">
        <is>
          <t/>
        </is>
      </c>
      <c r="G351" s="2" t="str">
        <f>HYPERLINK("https://vtmf.veevavault.com/ui/#doc_info/27252755/1/0", "VTMF-21856235")</f>
        <v>VTMF-21856235</v>
      </c>
      <c r="H351" s="3" t="inlineStr">
        <is>
          <t/>
        </is>
      </c>
      <c r="I351" s="3" t="inlineStr">
        <is>
          <t>System</t>
        </is>
      </c>
      <c r="J351" s="3" t="inlineStr">
        <is>
          <t>Admin User Medidata</t>
        </is>
      </c>
      <c r="K351" s="4" t="n">
        <v>45579.89061342592</v>
      </c>
      <c r="L351" s="5" t="n">
        <v>45579.0</v>
      </c>
      <c r="M351" s="3" t="inlineStr">
        <is>
          <t>Approved</t>
        </is>
      </c>
      <c r="N351" s="3" t="inlineStr">
        <is>
          <t>Available for Distribution, CLIX Filing, Site Close</t>
        </is>
      </c>
      <c r="O351" s="3" t="inlineStr">
        <is>
          <t>Czech Republic</t>
        </is>
      </c>
      <c r="P351" s="3" t="inlineStr">
        <is>
          <t>Z92-CZ10004</t>
        </is>
      </c>
      <c r="Q351" s="3" t="inlineStr">
        <is>
          <t>77242113UCO2001</t>
        </is>
      </c>
    </row>
    <row r="352">
      <c r="A352" s="2" t="str">
        <f>HYPERLINK("https://vtmf.veevavault.com/ui/#doc_info/24193466/1/0", "77242113UCO2001-CZE-Z92-CZ10004-Monitoring Visit Follow-up Letter-SQVR_FL-18 May 2023 (v1.0)")</f>
        <v>77242113UCO2001-CZE-Z92-CZ10004-Monitoring Visit Follow-up Letter-SQVR_FL-18 May 2023 (v1.0)</v>
      </c>
      <c r="B352" s="3" t="inlineStr">
        <is>
          <t>Admin User Medidata</t>
        </is>
      </c>
      <c r="C352" s="3" t="inlineStr">
        <is>
          <t>Site Management</t>
        </is>
      </c>
      <c r="D352" s="3" t="inlineStr">
        <is>
          <t>Site Management</t>
        </is>
      </c>
      <c r="E352" s="3" t="inlineStr">
        <is>
          <t>Monitoring Visit Follow-up Letter</t>
        </is>
      </c>
      <c r="F352" s="3" t="inlineStr">
        <is>
          <t/>
        </is>
      </c>
      <c r="G352" s="2" t="str">
        <f>HYPERLINK("https://vtmf.veevavault.com/ui/#doc_info/24193466/1/0", "VTMF-19199994")</f>
        <v>VTMF-19199994</v>
      </c>
      <c r="H352" s="3" t="inlineStr">
        <is>
          <t/>
        </is>
      </c>
      <c r="I352" s="3" t="inlineStr">
        <is>
          <t>System</t>
        </is>
      </c>
      <c r="J352" s="3" t="inlineStr">
        <is>
          <t>Admin User Medidata</t>
        </is>
      </c>
      <c r="K352" s="4" t="n">
        <v>45079.83274305556</v>
      </c>
      <c r="L352" s="5" t="n">
        <v>45079.0</v>
      </c>
      <c r="M352" s="3" t="inlineStr">
        <is>
          <t>Approved</t>
        </is>
      </c>
      <c r="N352" s="3" t="inlineStr">
        <is>
          <t>Available for Distribution, CLIX Filing, Site Close</t>
        </is>
      </c>
      <c r="O352" s="3" t="inlineStr">
        <is>
          <t>Czech Republic</t>
        </is>
      </c>
      <c r="P352" s="3" t="inlineStr">
        <is>
          <t>Z92-CZ10004</t>
        </is>
      </c>
      <c r="Q352" s="3" t="inlineStr">
        <is>
          <t>77242113UCO2001</t>
        </is>
      </c>
    </row>
    <row r="353">
      <c r="A353" s="2" t="str">
        <f>HYPERLINK("https://vtmf.veevavault.com/ui/#doc_info/26920388/1/0", "77242113UCO2001-CZE-Z92-CZ10004-Monitoring Visit Report-09 Aug 2024 (v1.0)")</f>
        <v>77242113UCO2001-CZE-Z92-CZ10004-Monitoring Visit Report-09 Aug 2024 (v1.0)</v>
      </c>
      <c r="B353" s="3" t="inlineStr">
        <is>
          <t>Admin User Medidata</t>
        </is>
      </c>
      <c r="C353" s="3" t="inlineStr">
        <is>
          <t>Site Management</t>
        </is>
      </c>
      <c r="D353" s="3" t="inlineStr">
        <is>
          <t>Site Management</t>
        </is>
      </c>
      <c r="E353" s="3" t="inlineStr">
        <is>
          <t>Monitoring Visit Report</t>
        </is>
      </c>
      <c r="F353" s="3" t="inlineStr">
        <is>
          <t/>
        </is>
      </c>
      <c r="G353" s="2" t="str">
        <f>HYPERLINK("https://vtmf.veevavault.com/ui/#doc_info/26920388/1/0", "VTMF-21579746")</f>
        <v>VTMF-21579746</v>
      </c>
      <c r="H353" s="3" t="inlineStr">
        <is>
          <t/>
        </is>
      </c>
      <c r="I353" s="3" t="inlineStr">
        <is>
          <t>System</t>
        </is>
      </c>
      <c r="J353" s="3" t="inlineStr">
        <is>
          <t>Admin User Medidata</t>
        </is>
      </c>
      <c r="K353" s="4" t="n">
        <v>45524.64821759259</v>
      </c>
      <c r="L353" s="5" t="n">
        <v>45524.0</v>
      </c>
      <c r="M353" s="3" t="inlineStr">
        <is>
          <t>Approved</t>
        </is>
      </c>
      <c r="N353" s="3" t="inlineStr">
        <is>
          <t>Site Close</t>
        </is>
      </c>
      <c r="O353" s="3" t="inlineStr">
        <is>
          <t>Czech Republic</t>
        </is>
      </c>
      <c r="P353" s="3" t="inlineStr">
        <is>
          <t>Z92-CZ10004</t>
        </is>
      </c>
      <c r="Q353" s="3" t="inlineStr">
        <is>
          <t>77242113UCO2001</t>
        </is>
      </c>
    </row>
    <row r="354">
      <c r="A354" s="2" t="str">
        <f>HYPERLINK("https://vtmf.veevavault.com/ui/#doc_info/29188231/1/0", "77242113UCO2001-CZE-Z92-CZ10004-Monitoring Visit Report-15 May 2025 (v1.0)")</f>
        <v>77242113UCO2001-CZE-Z92-CZ10004-Monitoring Visit Report-15 May 2025 (v1.0)</v>
      </c>
      <c r="B354" s="3" t="inlineStr">
        <is>
          <t>Admin User Medidata</t>
        </is>
      </c>
      <c r="C354" s="3" t="inlineStr">
        <is>
          <t>Site Management</t>
        </is>
      </c>
      <c r="D354" s="3" t="inlineStr">
        <is>
          <t>Site Management</t>
        </is>
      </c>
      <c r="E354" s="3" t="inlineStr">
        <is>
          <t>Monitoring Visit Report</t>
        </is>
      </c>
      <c r="F354" s="3" t="inlineStr">
        <is>
          <t/>
        </is>
      </c>
      <c r="G354" s="2" t="str">
        <f>HYPERLINK("https://vtmf.veevavault.com/ui/#doc_info/29188231/1/0", "VTMF-23459586")</f>
        <v>VTMF-23459586</v>
      </c>
      <c r="H354" s="3" t="inlineStr">
        <is>
          <t/>
        </is>
      </c>
      <c r="I354" s="3" t="inlineStr">
        <is>
          <t>System</t>
        </is>
      </c>
      <c r="J354" s="3" t="inlineStr">
        <is>
          <t>Admin User Medidata</t>
        </is>
      </c>
      <c r="K354" s="4" t="n">
        <v>45800.51582175926</v>
      </c>
      <c r="L354" s="5" t="n">
        <v>45800.0</v>
      </c>
      <c r="M354" s="3" t="inlineStr">
        <is>
          <t>Approved</t>
        </is>
      </c>
      <c r="N354" s="3" t="inlineStr">
        <is>
          <t>Site Close</t>
        </is>
      </c>
      <c r="O354" s="3" t="inlineStr">
        <is>
          <t>Czech Republic</t>
        </is>
      </c>
      <c r="P354" s="3" t="inlineStr">
        <is>
          <t>Z92-CZ10004</t>
        </is>
      </c>
      <c r="Q354" s="3" t="inlineStr">
        <is>
          <t>77242113UCO2001</t>
        </is>
      </c>
    </row>
    <row r="355">
      <c r="A355" s="2" t="str">
        <f>HYPERLINK("https://vtmf.veevavault.com/ui/#doc_info/30703004/1/0", "77242113UCO2001-CZE-Z92-CZ10004-Monitoring Visit Report-18 Dec 2025 (v1.0)")</f>
        <v>77242113UCO2001-CZE-Z92-CZ10004-Monitoring Visit Report-18 Dec 2025 (v1.0)</v>
      </c>
      <c r="B355" s="3" t="inlineStr">
        <is>
          <t>Admin User Medidata</t>
        </is>
      </c>
      <c r="C355" s="3" t="inlineStr">
        <is>
          <t>Site Management</t>
        </is>
      </c>
      <c r="D355" s="3" t="inlineStr">
        <is>
          <t>Site Management</t>
        </is>
      </c>
      <c r="E355" s="3" t="inlineStr">
        <is>
          <t>Monitoring Visit Report</t>
        </is>
      </c>
      <c r="F355" s="3" t="inlineStr">
        <is>
          <t/>
        </is>
      </c>
      <c r="G355" s="2" t="str">
        <f>HYPERLINK("https://vtmf.veevavault.com/ui/#doc_info/30703004/1/0", "VTMF-24743694")</f>
        <v>VTMF-24743694</v>
      </c>
      <c r="H355" s="3" t="inlineStr">
        <is>
          <t/>
        </is>
      </c>
      <c r="I355" s="3" t="inlineStr">
        <is>
          <t>System</t>
        </is>
      </c>
      <c r="J355" s="3" t="inlineStr">
        <is>
          <t>Admin User Medidata</t>
        </is>
      </c>
      <c r="K355" s="4" t="n">
        <v>46024.475266203706</v>
      </c>
      <c r="L355" s="5" t="n">
        <v>46024.0</v>
      </c>
      <c r="M355" s="3" t="inlineStr">
        <is>
          <t>Approved</t>
        </is>
      </c>
      <c r="N355" s="3" t="inlineStr">
        <is>
          <t>Site Close</t>
        </is>
      </c>
      <c r="O355" s="3" t="inlineStr">
        <is>
          <t>Czech Republic</t>
        </is>
      </c>
      <c r="P355" s="3" t="inlineStr">
        <is>
          <t>Z92-CZ10004</t>
        </is>
      </c>
      <c r="Q355" s="3" t="inlineStr">
        <is>
          <t>77242113UCO2001</t>
        </is>
      </c>
    </row>
    <row r="356">
      <c r="A356" s="2" t="str">
        <f>HYPERLINK("https://vtmf.veevavault.com/ui/#doc_info/30461188/1/0", "77242113UCO2001-CZE-Z92-CZ10004-Monitoring Visit Report-19 Nov 2025 (v1.0)")</f>
        <v>77242113UCO2001-CZE-Z92-CZ10004-Monitoring Visit Report-19 Nov 2025 (v1.0)</v>
      </c>
      <c r="B356" s="3" t="inlineStr">
        <is>
          <t>Admin User Medidata</t>
        </is>
      </c>
      <c r="C356" s="3" t="inlineStr">
        <is>
          <t>Site Management</t>
        </is>
      </c>
      <c r="D356" s="3" t="inlineStr">
        <is>
          <t>Site Management</t>
        </is>
      </c>
      <c r="E356" s="3" t="inlineStr">
        <is>
          <t>Monitoring Visit Report</t>
        </is>
      </c>
      <c r="F356" s="3" t="inlineStr">
        <is>
          <t/>
        </is>
      </c>
      <c r="G356" s="2" t="str">
        <f>HYPERLINK("https://vtmf.veevavault.com/ui/#doc_info/30461188/1/0", "VTMF-24539964")</f>
        <v>VTMF-24539964</v>
      </c>
      <c r="H356" s="3" t="inlineStr">
        <is>
          <t/>
        </is>
      </c>
      <c r="I356" s="3" t="inlineStr">
        <is>
          <t>System</t>
        </is>
      </c>
      <c r="J356" s="3" t="inlineStr">
        <is>
          <t>Admin User Medidata</t>
        </is>
      </c>
      <c r="K356" s="4" t="n">
        <v>45985.60089120371</v>
      </c>
      <c r="L356" s="5" t="n">
        <v>45985.0</v>
      </c>
      <c r="M356" s="3" t="inlineStr">
        <is>
          <t>Approved</t>
        </is>
      </c>
      <c r="N356" s="3" t="inlineStr">
        <is>
          <t>Site Close</t>
        </is>
      </c>
      <c r="O356" s="3" t="inlineStr">
        <is>
          <t>Czech Republic</t>
        </is>
      </c>
      <c r="P356" s="3" t="inlineStr">
        <is>
          <t>Z92-CZ10004</t>
        </is>
      </c>
      <c r="Q356" s="3" t="inlineStr">
        <is>
          <t>77242113UCO2001</t>
        </is>
      </c>
    </row>
    <row r="357">
      <c r="A357" s="2" t="str">
        <f>HYPERLINK("https://vtmf.veevavault.com/ui/#doc_info/29864783/1/0", "77242113UCO2001-CZE-Z92-CZ10004-Monitoring Visit Report-21 Aug 2025 (v1.0)")</f>
        <v>77242113UCO2001-CZE-Z92-CZ10004-Monitoring Visit Report-21 Aug 2025 (v1.0)</v>
      </c>
      <c r="B357" s="3" t="inlineStr">
        <is>
          <t>Admin User Medidata</t>
        </is>
      </c>
      <c r="C357" s="3" t="inlineStr">
        <is>
          <t>Site Management</t>
        </is>
      </c>
      <c r="D357" s="3" t="inlineStr">
        <is>
          <t>Site Management</t>
        </is>
      </c>
      <c r="E357" s="3" t="inlineStr">
        <is>
          <t>Monitoring Visit Report</t>
        </is>
      </c>
      <c r="F357" s="3" t="inlineStr">
        <is>
          <t/>
        </is>
      </c>
      <c r="G357" s="2" t="str">
        <f>HYPERLINK("https://vtmf.veevavault.com/ui/#doc_info/29864783/1/0", "VTMF-24037445")</f>
        <v>VTMF-24037445</v>
      </c>
      <c r="H357" s="3" t="inlineStr">
        <is>
          <t/>
        </is>
      </c>
      <c r="I357" s="3" t="inlineStr">
        <is>
          <t>System</t>
        </is>
      </c>
      <c r="J357" s="3" t="inlineStr">
        <is>
          <t>Admin User Medidata</t>
        </is>
      </c>
      <c r="K357" s="4" t="n">
        <v>45900.805752314816</v>
      </c>
      <c r="L357" s="5" t="n">
        <v>45900.0</v>
      </c>
      <c r="M357" s="3" t="inlineStr">
        <is>
          <t>Approved</t>
        </is>
      </c>
      <c r="N357" s="3" t="inlineStr">
        <is>
          <t>Site Close</t>
        </is>
      </c>
      <c r="O357" s="3" t="inlineStr">
        <is>
          <t>Czech Republic</t>
        </is>
      </c>
      <c r="P357" s="3" t="inlineStr">
        <is>
          <t>Z92-CZ10004</t>
        </is>
      </c>
      <c r="Q357" s="3" t="inlineStr">
        <is>
          <t>77242113UCO2001</t>
        </is>
      </c>
    </row>
    <row r="358">
      <c r="A358" s="2" t="str">
        <f>HYPERLINK("https://vtmf.veevavault.com/ui/#doc_info/28232090/1/0", "77242113UCO2001-CZE-Z92-CZ10004-Monitoring Visit Report-21 Jan 2025 (v1.0)")</f>
        <v>77242113UCO2001-CZE-Z92-CZ10004-Monitoring Visit Report-21 Jan 2025 (v1.0)</v>
      </c>
      <c r="B358" s="3" t="inlineStr">
        <is>
          <t>Admin User Medidata</t>
        </is>
      </c>
      <c r="C358" s="3" t="inlineStr">
        <is>
          <t>Site Management</t>
        </is>
      </c>
      <c r="D358" s="3" t="inlineStr">
        <is>
          <t>Site Management</t>
        </is>
      </c>
      <c r="E358" s="3" t="inlineStr">
        <is>
          <t>Monitoring Visit Report</t>
        </is>
      </c>
      <c r="F358" s="3" t="inlineStr">
        <is>
          <t/>
        </is>
      </c>
      <c r="G358" s="2" t="str">
        <f>HYPERLINK("https://vtmf.veevavault.com/ui/#doc_info/28232090/1/0", "VTMF-22644039")</f>
        <v>VTMF-22644039</v>
      </c>
      <c r="H358" s="3" t="inlineStr">
        <is>
          <t/>
        </is>
      </c>
      <c r="I358" s="3" t="inlineStr">
        <is>
          <t>System</t>
        </is>
      </c>
      <c r="J358" s="3" t="inlineStr">
        <is>
          <t>Admin User Medidata</t>
        </is>
      </c>
      <c r="K358" s="4" t="n">
        <v>45693.51708333333</v>
      </c>
      <c r="L358" s="5" t="n">
        <v>45693.0</v>
      </c>
      <c r="M358" s="3" t="inlineStr">
        <is>
          <t>Approved</t>
        </is>
      </c>
      <c r="N358" s="3" t="inlineStr">
        <is>
          <t>Site Close</t>
        </is>
      </c>
      <c r="O358" s="3" t="inlineStr">
        <is>
          <t>Czech Republic</t>
        </is>
      </c>
      <c r="P358" s="3" t="inlineStr">
        <is>
          <t>Z92-CZ10004</t>
        </is>
      </c>
      <c r="Q358" s="3" t="inlineStr">
        <is>
          <t>77242113UCO2001</t>
        </is>
      </c>
    </row>
    <row r="359">
      <c r="A359" s="2" t="str">
        <f>HYPERLINK("https://vtmf.veevavault.com/ui/#doc_info/27779207/1/0", "77242113UCO2001-CZE-Z92-CZ10004-Monitoring Visit Report-22 Nov 2024 (v1.0)")</f>
        <v>77242113UCO2001-CZE-Z92-CZ10004-Monitoring Visit Report-22 Nov 2024 (v1.0)</v>
      </c>
      <c r="B359" s="3" t="inlineStr">
        <is>
          <t>Admin User Medidata</t>
        </is>
      </c>
      <c r="C359" s="3" t="inlineStr">
        <is>
          <t>Site Management</t>
        </is>
      </c>
      <c r="D359" s="3" t="inlineStr">
        <is>
          <t>Site Management</t>
        </is>
      </c>
      <c r="E359" s="3" t="inlineStr">
        <is>
          <t>Monitoring Visit Report</t>
        </is>
      </c>
      <c r="F359" s="3" t="inlineStr">
        <is>
          <t/>
        </is>
      </c>
      <c r="G359" s="2" t="str">
        <f>HYPERLINK("https://vtmf.veevavault.com/ui/#doc_info/27779207/1/0", "VTMF-22275198")</f>
        <v>VTMF-22275198</v>
      </c>
      <c r="H359" s="3" t="inlineStr">
        <is>
          <t/>
        </is>
      </c>
      <c r="I359" s="3" t="inlineStr">
        <is>
          <t>System</t>
        </is>
      </c>
      <c r="J359" s="3" t="inlineStr">
        <is>
          <t>Admin User Medidata</t>
        </is>
      </c>
      <c r="K359" s="4" t="n">
        <v>45628.559479166666</v>
      </c>
      <c r="L359" s="5" t="n">
        <v>45628.0</v>
      </c>
      <c r="M359" s="3" t="inlineStr">
        <is>
          <t>Approved</t>
        </is>
      </c>
      <c r="N359" s="3" t="inlineStr">
        <is>
          <t>Site Close</t>
        </is>
      </c>
      <c r="O359" s="3" t="inlineStr">
        <is>
          <t>Czech Republic</t>
        </is>
      </c>
      <c r="P359" s="3" t="inlineStr">
        <is>
          <t>Z92-CZ10004</t>
        </is>
      </c>
      <c r="Q359" s="3" t="inlineStr">
        <is>
          <t>77242113UCO2001</t>
        </is>
      </c>
    </row>
    <row r="360">
      <c r="A360" s="2" t="str">
        <f>HYPERLINK("https://vtmf.veevavault.com/ui/#doc_info/26328657/1/0", "77242113UCO2001-CZE-Z92-CZ10004-Monitoring Visit Report-24 Apr 2024 (v1.0)")</f>
        <v>77242113UCO2001-CZE-Z92-CZ10004-Monitoring Visit Report-24 Apr 2024 (v1.0)</v>
      </c>
      <c r="B360" s="3" t="inlineStr">
        <is>
          <t>Admin User Medidata</t>
        </is>
      </c>
      <c r="C360" s="3" t="inlineStr">
        <is>
          <t>Site Management</t>
        </is>
      </c>
      <c r="D360" s="3" t="inlineStr">
        <is>
          <t>Site Management</t>
        </is>
      </c>
      <c r="E360" s="3" t="inlineStr">
        <is>
          <t>Monitoring Visit Report</t>
        </is>
      </c>
      <c r="F360" s="3" t="inlineStr">
        <is>
          <t/>
        </is>
      </c>
      <c r="G360" s="2" t="str">
        <f>HYPERLINK("https://vtmf.veevavault.com/ui/#doc_info/26328657/1/0", "VTMF-21066914")</f>
        <v>VTMF-21066914</v>
      </c>
      <c r="H360" s="3" t="inlineStr">
        <is>
          <t/>
        </is>
      </c>
      <c r="I360" s="3" t="inlineStr">
        <is>
          <t>System</t>
        </is>
      </c>
      <c r="J360" s="3" t="inlineStr">
        <is>
          <t>Admin User Medidata</t>
        </is>
      </c>
      <c r="K360" s="4" t="n">
        <v>45427.43376157407</v>
      </c>
      <c r="L360" s="5" t="n">
        <v>45427.0</v>
      </c>
      <c r="M360" s="3" t="inlineStr">
        <is>
          <t>Approved</t>
        </is>
      </c>
      <c r="N360" s="3" t="inlineStr">
        <is>
          <t>Site Close</t>
        </is>
      </c>
      <c r="O360" s="3" t="inlineStr">
        <is>
          <t>Czech Republic</t>
        </is>
      </c>
      <c r="P360" s="3" t="inlineStr">
        <is>
          <t>Z92-CZ10004</t>
        </is>
      </c>
      <c r="Q360" s="3" t="inlineStr">
        <is>
          <t>77242113UCO2001</t>
        </is>
      </c>
    </row>
    <row r="361">
      <c r="A361" s="2" t="str">
        <f>HYPERLINK("https://vtmf.veevavault.com/ui/#doc_info/27214583/1/0", "77242113UCO2001-CZE-Z92-CZ10004-Monitoring Visit Report-27 Sep 2024 (v1.0)")</f>
        <v>77242113UCO2001-CZE-Z92-CZ10004-Monitoring Visit Report-27 Sep 2024 (v1.0)</v>
      </c>
      <c r="B361" s="3" t="inlineStr">
        <is>
          <t>Admin User Medidata</t>
        </is>
      </c>
      <c r="C361" s="3" t="inlineStr">
        <is>
          <t>Site Management</t>
        </is>
      </c>
      <c r="D361" s="3" t="inlineStr">
        <is>
          <t>Site Management</t>
        </is>
      </c>
      <c r="E361" s="3" t="inlineStr">
        <is>
          <t>Monitoring Visit Report</t>
        </is>
      </c>
      <c r="F361" s="3" t="inlineStr">
        <is>
          <t/>
        </is>
      </c>
      <c r="G361" s="2" t="str">
        <f>HYPERLINK("https://vtmf.veevavault.com/ui/#doc_info/27214583/1/0", "VTMF-21823469")</f>
        <v>VTMF-21823469</v>
      </c>
      <c r="H361" s="3" t="inlineStr">
        <is>
          <t/>
        </is>
      </c>
      <c r="I361" s="3" t="inlineStr">
        <is>
          <t>System</t>
        </is>
      </c>
      <c r="J361" s="3" t="inlineStr">
        <is>
          <t>Admin User Medidata</t>
        </is>
      </c>
      <c r="K361" s="4" t="n">
        <v>45573.434583333335</v>
      </c>
      <c r="L361" s="5" t="n">
        <v>45573.0</v>
      </c>
      <c r="M361" s="3" t="inlineStr">
        <is>
          <t>Approved</t>
        </is>
      </c>
      <c r="N361" s="3" t="inlineStr">
        <is>
          <t>Site Close</t>
        </is>
      </c>
      <c r="O361" s="3" t="inlineStr">
        <is>
          <t>Czech Republic</t>
        </is>
      </c>
      <c r="P361" s="3" t="inlineStr">
        <is>
          <t>Z92-CZ10004</t>
        </is>
      </c>
      <c r="Q361" s="3" t="inlineStr">
        <is>
          <t>77242113UCO2001</t>
        </is>
      </c>
    </row>
    <row r="362">
      <c r="A362" s="2" t="str">
        <f>HYPERLINK("https://vtmf.veevavault.com/ui/#doc_info/30803033/1/0", "77242113UCO2001-CZE-Z92-CZ10004-Non-IP Return Documentation-19 Jan 2026 (v1.0)")</f>
        <v>77242113UCO2001-CZE-Z92-CZ10004-Non-IP Return Documentation-19 Jan 2026 (v1.0)</v>
      </c>
      <c r="B362" s="3" t="inlineStr">
        <is>
          <t>Jitka Kone</t>
        </is>
      </c>
      <c r="C362" s="3" t="inlineStr">
        <is>
          <t>IP and Trial Supplies</t>
        </is>
      </c>
      <c r="D362" s="3" t="inlineStr">
        <is>
          <t>Non-IP Documentation</t>
        </is>
      </c>
      <c r="E362" s="3" t="inlineStr">
        <is>
          <t>Non-IP Return Documentation</t>
        </is>
      </c>
      <c r="F362" s="3" t="inlineStr">
        <is>
          <t>Handover protocol_tablet A640128 + 3x handhelds</t>
        </is>
      </c>
      <c r="G362" s="2" t="str">
        <f>HYPERLINK("https://vtmf.veevavault.com/ui/#doc_info/30803033/1/0", "VTMF-24822625")</f>
        <v>VTMF-24822625</v>
      </c>
      <c r="H362" s="3" t="inlineStr">
        <is>
          <t/>
        </is>
      </c>
      <c r="I362" s="3" t="inlineStr">
        <is>
          <t>System</t>
        </is>
      </c>
      <c r="J362" s="3" t="inlineStr">
        <is>
          <t>Jitka Kone</t>
        </is>
      </c>
      <c r="K362" s="4" t="n">
        <v>46041.56605324074</v>
      </c>
      <c r="L362" s="5" t="n">
        <v>46041.0</v>
      </c>
      <c r="M362" s="3" t="inlineStr">
        <is>
          <t>Approved</t>
        </is>
      </c>
      <c r="N362" s="3" t="inlineStr">
        <is>
          <t>CLIX Filing, Country Close, Study Close</t>
        </is>
      </c>
      <c r="O362" s="3" t="inlineStr">
        <is>
          <t>Czech Republic</t>
        </is>
      </c>
      <c r="P362" s="3" t="inlineStr">
        <is>
          <t>Z92-CZ10004</t>
        </is>
      </c>
      <c r="Q362" s="3" t="inlineStr">
        <is>
          <t>77242113UCO2001</t>
        </is>
      </c>
    </row>
    <row r="363">
      <c r="A363" s="2" t="str">
        <f>HYPERLINK("https://vtmf.veevavault.com/ui/#doc_info/29867608/1/0", "77242113UCO2001-CZE-Z92-CZ10004-Non-IP Return Documentation-21 Aug 2025 (v1.0)")</f>
        <v>77242113UCO2001-CZE-Z92-CZ10004-Non-IP Return Documentation-21 Aug 2025 (v1.0)</v>
      </c>
      <c r="B363" s="3" t="inlineStr">
        <is>
          <t>Jitka Kone</t>
        </is>
      </c>
      <c r="C363" s="3" t="inlineStr">
        <is>
          <t>IP and Trial Supplies</t>
        </is>
      </c>
      <c r="D363" s="3" t="inlineStr">
        <is>
          <t>Non-IP Documentation</t>
        </is>
      </c>
      <c r="E363" s="3" t="inlineStr">
        <is>
          <t>Non-IP Return Documentation</t>
        </is>
      </c>
      <c r="F363" s="3" t="inlineStr">
        <is>
          <t>Handover protocol_Datalogger KLT-24K-7734</t>
        </is>
      </c>
      <c r="G363" s="2" t="str">
        <f>HYPERLINK("https://vtmf.veevavault.com/ui/#doc_info/29867608/1/0", "VTMF-24039749")</f>
        <v>VTMF-24039749</v>
      </c>
      <c r="H363" s="3" t="inlineStr">
        <is>
          <t/>
        </is>
      </c>
      <c r="I363" s="3" t="inlineStr">
        <is>
          <t>System</t>
        </is>
      </c>
      <c r="J363" s="3" t="inlineStr">
        <is>
          <t>Jitka Kone</t>
        </is>
      </c>
      <c r="K363" s="4" t="n">
        <v>45901.43194444444</v>
      </c>
      <c r="L363" s="5" t="n">
        <v>45901.0</v>
      </c>
      <c r="M363" s="3" t="inlineStr">
        <is>
          <t>Approved</t>
        </is>
      </c>
      <c r="N363" s="3" t="inlineStr">
        <is>
          <t>CLIX Filing, Country Close, Study Close</t>
        </is>
      </c>
      <c r="O363" s="3" t="inlineStr">
        <is>
          <t>Czech Republic</t>
        </is>
      </c>
      <c r="P363" s="3" t="inlineStr">
        <is>
          <t>Z92-CZ10004</t>
        </is>
      </c>
      <c r="Q363" s="3" t="inlineStr">
        <is>
          <t>77242113UCO2001</t>
        </is>
      </c>
    </row>
    <row r="364">
      <c r="A364" s="2" t="str">
        <f>HYPERLINK("https://vtmf.veevavault.com/ui/#doc_info/29872805/1/0", "77242113UCO2001-CZE-Z92-CZ10004-Non-IP Return Documentation-21 Aug 2025 (v1.0)")</f>
        <v>77242113UCO2001-CZE-Z92-CZ10004-Non-IP Return Documentation-21 Aug 2025 (v1.0)</v>
      </c>
      <c r="B364" s="3" t="inlineStr">
        <is>
          <t>Jitka Kone</t>
        </is>
      </c>
      <c r="C364" s="3" t="inlineStr">
        <is>
          <t>IP and Trial Supplies</t>
        </is>
      </c>
      <c r="D364" s="3" t="inlineStr">
        <is>
          <t>Non-IP Documentation</t>
        </is>
      </c>
      <c r="E364" s="3" t="inlineStr">
        <is>
          <t>Non-IP Return Documentation</t>
        </is>
      </c>
      <c r="F364" s="3" t="inlineStr">
        <is>
          <t>Handover protocol_scale</t>
        </is>
      </c>
      <c r="G364" s="2" t="str">
        <f>HYPERLINK("https://vtmf.veevavault.com/ui/#doc_info/29872805/1/0", "VTMF-24043999")</f>
        <v>VTMF-24043999</v>
      </c>
      <c r="H364" s="3" t="inlineStr">
        <is>
          <t/>
        </is>
      </c>
      <c r="I364" s="3" t="inlineStr">
        <is>
          <t>System</t>
        </is>
      </c>
      <c r="J364" s="3" t="inlineStr">
        <is>
          <t>Jitka Kone</t>
        </is>
      </c>
      <c r="K364" s="4" t="n">
        <v>45902.38699074074</v>
      </c>
      <c r="L364" s="5" t="n">
        <v>45902.0</v>
      </c>
      <c r="M364" s="3" t="inlineStr">
        <is>
          <t>Approved</t>
        </is>
      </c>
      <c r="N364" s="3" t="inlineStr">
        <is>
          <t>CLIX Filing, Country Close, Study Close</t>
        </is>
      </c>
      <c r="O364" s="3" t="inlineStr">
        <is>
          <t>Czech Republic</t>
        </is>
      </c>
      <c r="P364" s="3" t="inlineStr">
        <is>
          <t>Z92-CZ10004</t>
        </is>
      </c>
      <c r="Q364" s="3" t="inlineStr">
        <is>
          <t>77242113UCO2001</t>
        </is>
      </c>
    </row>
    <row r="365">
      <c r="A365" s="2" t="str">
        <f>HYPERLINK("https://vtmf.veevavault.com/ui/#doc_info/25851784/1/0", "77242113UCO2001-CZE-Z92-CZ10004-Non-IP Shipment Documentation-05 Mar 2024 (v1.0)")</f>
        <v>77242113UCO2001-CZE-Z92-CZ10004-Non-IP Shipment Documentation-05 Mar 2024 (v1.0)</v>
      </c>
      <c r="B365" s="3" t="inlineStr">
        <is>
          <t>Jitka Kone</t>
        </is>
      </c>
      <c r="C365" s="3" t="inlineStr">
        <is>
          <t>IP and Trial Supplies</t>
        </is>
      </c>
      <c r="D365" s="3" t="inlineStr">
        <is>
          <t>Non-IP Documentation</t>
        </is>
      </c>
      <c r="E365" s="3" t="inlineStr">
        <is>
          <t>Non-IP Shipment Documentation</t>
        </is>
      </c>
      <c r="F365" s="3" t="inlineStr">
        <is>
          <t>NIPSF_Initial site_06-FEB-2024</t>
        </is>
      </c>
      <c r="G365" s="2" t="str">
        <f>HYPERLINK("https://vtmf.veevavault.com/ui/#doc_info/25851784/1/0", "VTMF-20648565")</f>
        <v>VTMF-20648565</v>
      </c>
      <c r="H365" s="3" t="inlineStr">
        <is>
          <t/>
        </is>
      </c>
      <c r="I365" s="3" t="inlineStr">
        <is>
          <t>Anthony Suarez (veeva.com)</t>
        </is>
      </c>
      <c r="J365" s="3" t="inlineStr">
        <is>
          <t>Jitka Kone</t>
        </is>
      </c>
      <c r="K365" s="4" t="n">
        <v>45356.575578703705</v>
      </c>
      <c r="L365" s="5" t="n">
        <v>45356.0</v>
      </c>
      <c r="M365" s="3" t="inlineStr">
        <is>
          <t>Approved</t>
        </is>
      </c>
      <c r="N365" s="3" t="inlineStr">
        <is>
          <t>Available for Distribution, CLIX Filing, Site Close</t>
        </is>
      </c>
      <c r="O365" s="3" t="inlineStr">
        <is>
          <t>Czech Republic</t>
        </is>
      </c>
      <c r="P365" s="3" t="inlineStr">
        <is>
          <t>Z92-CZ10004</t>
        </is>
      </c>
      <c r="Q365" s="3" t="inlineStr">
        <is>
          <t>77242113UCO2001</t>
        </is>
      </c>
    </row>
    <row r="366">
      <c r="A366" s="2" t="str">
        <f>HYPERLINK("https://vtmf.veevavault.com/ui/#doc_info/28048956/1/0", "77242113UCO2001-CZE-Z92-CZ10004-Non-IP Shipment Documentation-06 Jan 2025 (v1.0)")</f>
        <v>77242113UCO2001-CZE-Z92-CZ10004-Non-IP Shipment Documentation-06 Jan 2025 (v1.0)</v>
      </c>
      <c r="B366" s="3" t="inlineStr">
        <is>
          <t>Jitka Kone</t>
        </is>
      </c>
      <c r="C366" s="3" t="inlineStr">
        <is>
          <t>IP and Trial Supplies</t>
        </is>
      </c>
      <c r="D366" s="3" t="inlineStr">
        <is>
          <t>Non-IP Documentation</t>
        </is>
      </c>
      <c r="E366" s="3" t="inlineStr">
        <is>
          <t>Non-IP Shipment Documentation</t>
        </is>
      </c>
      <c r="F366" s="3" t="inlineStr">
        <is>
          <t>Handover protocol _Datalogger_02-JAN-2025</t>
        </is>
      </c>
      <c r="G366" s="2" t="str">
        <f>HYPERLINK("https://vtmf.veevavault.com/ui/#doc_info/28048956/1/0", "VTMF-22492717")</f>
        <v>VTMF-22492717</v>
      </c>
      <c r="H366" s="3" t="inlineStr">
        <is>
          <t/>
        </is>
      </c>
      <c r="I366" s="3" t="inlineStr">
        <is>
          <t>System</t>
        </is>
      </c>
      <c r="J366" s="3" t="inlineStr">
        <is>
          <t>Jitka Kone</t>
        </is>
      </c>
      <c r="K366" s="4" t="n">
        <v>45666.705613425926</v>
      </c>
      <c r="L366" s="5" t="n">
        <v>45666.0</v>
      </c>
      <c r="M366" s="3" t="inlineStr">
        <is>
          <t>Approved</t>
        </is>
      </c>
      <c r="N366" s="3" t="inlineStr">
        <is>
          <t>CLIX Filing, Country Start, Site Start</t>
        </is>
      </c>
      <c r="O366" s="3" t="inlineStr">
        <is>
          <t>Czech Republic</t>
        </is>
      </c>
      <c r="P366" s="3" t="inlineStr">
        <is>
          <t>Z92-CZ10004</t>
        </is>
      </c>
      <c r="Q366" s="3" t="inlineStr">
        <is>
          <t>77242113UCO2001</t>
        </is>
      </c>
    </row>
    <row r="367">
      <c r="A367" s="2" t="str">
        <f>HYPERLINK("https://vtmf.veevavault.com/ui/#doc_info/26468849/1/0", "77242113UCO2001-CZE-Z92-CZ10004-Non-IP Shipment Documentation-06 Jun 2024 (v1.0)")</f>
        <v>77242113UCO2001-CZE-Z92-CZ10004-Non-IP Shipment Documentation-06 Jun 2024 (v1.0)</v>
      </c>
      <c r="B367" s="3" t="inlineStr">
        <is>
          <t>Jitka Kone</t>
        </is>
      </c>
      <c r="C367" s="3" t="inlineStr">
        <is>
          <t>IP and Trial Supplies</t>
        </is>
      </c>
      <c r="D367" s="3" t="inlineStr">
        <is>
          <t>Non-IP Documentation</t>
        </is>
      </c>
      <c r="E367" s="3" t="inlineStr">
        <is>
          <t>Non-IP Shipment Documentation</t>
        </is>
      </c>
      <c r="F367" s="3" t="inlineStr">
        <is>
          <t>Handover Protocol_Meal vouchers 70 pcs
04-JUN-2024</t>
        </is>
      </c>
      <c r="G367" s="2" t="str">
        <f>HYPERLINK("https://vtmf.veevavault.com/ui/#doc_info/26468849/1/0", "VTMF-21190095")</f>
        <v>VTMF-21190095</v>
      </c>
      <c r="H367" s="3" t="inlineStr">
        <is>
          <t/>
        </is>
      </c>
      <c r="I367" s="3" t="inlineStr">
        <is>
          <t>Anthony Suarez (veeva.com)</t>
        </is>
      </c>
      <c r="J367" s="3" t="inlineStr">
        <is>
          <t>Jitka Kone</t>
        </is>
      </c>
      <c r="K367" s="4" t="n">
        <v>45449.518483796295</v>
      </c>
      <c r="L367" s="5" t="n">
        <v>45449.0</v>
      </c>
      <c r="M367" s="3" t="inlineStr">
        <is>
          <t>Approved</t>
        </is>
      </c>
      <c r="N367" s="3" t="inlineStr">
        <is>
          <t>Available for Distribution, CLIX Filing, Site Close</t>
        </is>
      </c>
      <c r="O367" s="3" t="inlineStr">
        <is>
          <t>Czech Republic</t>
        </is>
      </c>
      <c r="P367" s="3" t="inlineStr">
        <is>
          <t>Z92-CZ10004</t>
        </is>
      </c>
      <c r="Q367" s="3" t="inlineStr">
        <is>
          <t>77242113UCO2001</t>
        </is>
      </c>
    </row>
    <row r="368">
      <c r="A368" s="2" t="str">
        <f>HYPERLINK("https://vtmf.veevavault.com/ui/#doc_info/25769536/1/0", "77242113UCO2001-CZE-Z92-CZ10004-Non-IP Shipment Documentation-07 Feb 2024 (v1.0)")</f>
        <v>77242113UCO2001-CZE-Z92-CZ10004-Non-IP Shipment Documentation-07 Feb 2024 (v1.0)</v>
      </c>
      <c r="B368" s="3" t="inlineStr">
        <is>
          <t>Jitka Kone</t>
        </is>
      </c>
      <c r="C368" s="3" t="inlineStr">
        <is>
          <t>IP and Trial Supplies</t>
        </is>
      </c>
      <c r="D368" s="3" t="inlineStr">
        <is>
          <t>Non-IP Documentation</t>
        </is>
      </c>
      <c r="E368" s="3" t="inlineStr">
        <is>
          <t>Non-IP Shipment Documentation</t>
        </is>
      </c>
      <c r="F368" s="3" t="inlineStr">
        <is>
          <t>Handover protocol_Meal vouchers 50 pcs_06-FEB-2024</t>
        </is>
      </c>
      <c r="G368" s="2" t="str">
        <f>HYPERLINK("https://vtmf.veevavault.com/ui/#doc_info/25769536/1/0", "VTMF-20575870")</f>
        <v>VTMF-20575870</v>
      </c>
      <c r="H368" s="3" t="inlineStr">
        <is>
          <t/>
        </is>
      </c>
      <c r="I368" s="3" t="inlineStr">
        <is>
          <t>Anthony Suarez (veeva.com)</t>
        </is>
      </c>
      <c r="J368" s="3" t="inlineStr">
        <is>
          <t>Jitka Kone</t>
        </is>
      </c>
      <c r="K368" s="4" t="n">
        <v>45344.58752314815</v>
      </c>
      <c r="L368" s="5" t="n">
        <v>45344.0</v>
      </c>
      <c r="M368" s="3" t="inlineStr">
        <is>
          <t>Approved</t>
        </is>
      </c>
      <c r="N368" s="3" t="inlineStr">
        <is>
          <t>Available for Distribution, CLIX Filing, Site Close</t>
        </is>
      </c>
      <c r="O368" s="3" t="inlineStr">
        <is>
          <t>Czech Republic</t>
        </is>
      </c>
      <c r="P368" s="3" t="inlineStr">
        <is>
          <t>Z92-CZ10004</t>
        </is>
      </c>
      <c r="Q368" s="3" t="inlineStr">
        <is>
          <t>77242113UCO2001</t>
        </is>
      </c>
    </row>
    <row r="369">
      <c r="A369" s="2" t="str">
        <f>HYPERLINK("https://vtmf.veevavault.com/ui/#doc_info/25853394/1/0", "77242113UCO2001-CZE-Z92-CZ10004-Non-IP Shipment Documentation-07 Feb 2024 (v1.0)")</f>
        <v>77242113UCO2001-CZE-Z92-CZ10004-Non-IP Shipment Documentation-07 Feb 2024 (v1.0)</v>
      </c>
      <c r="B369" s="3" t="inlineStr">
        <is>
          <t>Jitka Kone</t>
        </is>
      </c>
      <c r="C369" s="3" t="inlineStr">
        <is>
          <t>IP and Trial Supplies</t>
        </is>
      </c>
      <c r="D369" s="3" t="inlineStr">
        <is>
          <t>Non-IP Documentation</t>
        </is>
      </c>
      <c r="E369" s="3" t="inlineStr">
        <is>
          <t>Non-IP Shipment Documentation</t>
        </is>
      </c>
      <c r="F369" s="3" t="inlineStr">
        <is>
          <t>NIPSF_pharmacy initial
06-FEB-2024</t>
        </is>
      </c>
      <c r="G369" s="2" t="str">
        <f>HYPERLINK("https://vtmf.veevavault.com/ui/#doc_info/25853394/1/0", "VTMF-20649850")</f>
        <v>VTMF-20649850</v>
      </c>
      <c r="H369" s="3" t="inlineStr">
        <is>
          <t/>
        </is>
      </c>
      <c r="I369" s="3" t="inlineStr">
        <is>
          <t>Anthony Suarez (veeva.com)</t>
        </is>
      </c>
      <c r="J369" s="3" t="inlineStr">
        <is>
          <t>Jitka Kone</t>
        </is>
      </c>
      <c r="K369" s="4" t="n">
        <v>45356.66694444444</v>
      </c>
      <c r="L369" s="5" t="n">
        <v>45356.0</v>
      </c>
      <c r="M369" s="3" t="inlineStr">
        <is>
          <t>Approved</t>
        </is>
      </c>
      <c r="N369" s="3" t="inlineStr">
        <is>
          <t>Available for Distribution, CLIX Filing, Site Close</t>
        </is>
      </c>
      <c r="O369" s="3" t="inlineStr">
        <is>
          <t>Czech Republic</t>
        </is>
      </c>
      <c r="P369" s="3" t="inlineStr">
        <is>
          <t>Z92-CZ10004</t>
        </is>
      </c>
      <c r="Q369" s="3" t="inlineStr">
        <is>
          <t>77242113UCO2001</t>
        </is>
      </c>
    </row>
    <row r="370">
      <c r="A370" s="2" t="str">
        <f>HYPERLINK("https://vtmf.veevavault.com/ui/#doc_info/28281785/1/0", "77242113UCO2001-CZE-Z92-CZ10004-Non-IP Shipment Documentation-10 Feb 2025 (v1.0)")</f>
        <v>77242113UCO2001-CZE-Z92-CZ10004-Non-IP Shipment Documentation-10 Feb 2025 (v1.0)</v>
      </c>
      <c r="B370" s="3" t="inlineStr">
        <is>
          <t>Jitka Kone</t>
        </is>
      </c>
      <c r="C370" s="3" t="inlineStr">
        <is>
          <t>IP and Trial Supplies</t>
        </is>
      </c>
      <c r="D370" s="3" t="inlineStr">
        <is>
          <t>Non-IP Documentation</t>
        </is>
      </c>
      <c r="E370" s="3" t="inlineStr">
        <is>
          <t>Non-IP Shipment Documentation</t>
        </is>
      </c>
      <c r="F370" s="3" t="inlineStr">
        <is>
          <t>NIPSF pharmacy_IB Ed. 6 + PCI v 7.1_03-FEB-2025</t>
        </is>
      </c>
      <c r="G370" s="2" t="str">
        <f>HYPERLINK("https://vtmf.veevavault.com/ui/#doc_info/28281785/1/0", "VTMF-22687041")</f>
        <v>VTMF-22687041</v>
      </c>
      <c r="H370" s="3" t="inlineStr">
        <is>
          <t/>
        </is>
      </c>
      <c r="I370" s="3" t="inlineStr">
        <is>
          <t>Jitka Kone</t>
        </is>
      </c>
      <c r="J370" s="3" t="inlineStr">
        <is>
          <t>Jitka Kone</t>
        </is>
      </c>
      <c r="K370" s="4" t="n">
        <v>45700.569710648146</v>
      </c>
      <c r="L370" s="5" t="n">
        <v>45700.0</v>
      </c>
      <c r="M370" s="3" t="inlineStr">
        <is>
          <t>Approved</t>
        </is>
      </c>
      <c r="N370" s="3" t="inlineStr">
        <is>
          <t>CLIX Filing, Country Start, Site Start</t>
        </is>
      </c>
      <c r="O370" s="3" t="inlineStr">
        <is>
          <t>Czech Republic</t>
        </is>
      </c>
      <c r="P370" s="3" t="inlineStr">
        <is>
          <t>Z92-CZ10004</t>
        </is>
      </c>
      <c r="Q370" s="3" t="inlineStr">
        <is>
          <t>77242113UCO2001</t>
        </is>
      </c>
    </row>
    <row r="371">
      <c r="A371" s="2" t="str">
        <f>HYPERLINK("https://vtmf.veevavault.com/ui/#doc_info/26690806/1/0", "77242113UCO2001-CZE-Z92-CZ10004-Non-IP Shipment Documentation-10 Jul 2024 (v1.0)")</f>
        <v>77242113UCO2001-CZE-Z92-CZ10004-Non-IP Shipment Documentation-10 Jul 2024 (v1.0)</v>
      </c>
      <c r="B371" s="3" t="inlineStr">
        <is>
          <t>Jitka Kone</t>
        </is>
      </c>
      <c r="C371" s="3" t="inlineStr">
        <is>
          <t>IP and Trial Supplies</t>
        </is>
      </c>
      <c r="D371" s="3" t="inlineStr">
        <is>
          <t>Non-IP Documentation</t>
        </is>
      </c>
      <c r="E371" s="3" t="inlineStr">
        <is>
          <t>Non-IP Shipment Documentation</t>
        </is>
      </c>
      <c r="F371" s="3" t="inlineStr">
        <is>
          <t>Handover protocol_meal vouchers 100 pcs_08-JUL-2024</t>
        </is>
      </c>
      <c r="G371" s="2" t="str">
        <f>HYPERLINK("https://vtmf.veevavault.com/ui/#doc_info/26690806/1/0", "VTMF-21384381")</f>
        <v>VTMF-21384381</v>
      </c>
      <c r="H371" s="3" t="inlineStr">
        <is>
          <t/>
        </is>
      </c>
      <c r="I371" s="3" t="inlineStr">
        <is>
          <t>Anthony Suarez (veeva.com)</t>
        </is>
      </c>
      <c r="J371" s="3" t="inlineStr">
        <is>
          <t>Jitka Kone</t>
        </is>
      </c>
      <c r="K371" s="4" t="n">
        <v>45484.63728009259</v>
      </c>
      <c r="L371" s="5" t="n">
        <v>45484.0</v>
      </c>
      <c r="M371" s="3" t="inlineStr">
        <is>
          <t>Approved</t>
        </is>
      </c>
      <c r="N371" s="3" t="inlineStr">
        <is>
          <t>Available for Distribution, CLIX Filing, Site Close</t>
        </is>
      </c>
      <c r="O371" s="3" t="inlineStr">
        <is>
          <t>Czech Republic</t>
        </is>
      </c>
      <c r="P371" s="3" t="inlineStr">
        <is>
          <t>Z92-CZ10004</t>
        </is>
      </c>
      <c r="Q371" s="3" t="inlineStr">
        <is>
          <t>77242113UCO2001</t>
        </is>
      </c>
    </row>
    <row r="372">
      <c r="A372" s="2" t="str">
        <f>HYPERLINK("https://vtmf.veevavault.com/ui/#doc_info/29820718/1/0", "77242113UCO2001-CZE-Z92-CZ10004-Non-IP Shipment Documentation-15 Aug 2025 (v1.0)")</f>
        <v>77242113UCO2001-CZE-Z92-CZ10004-Non-IP Shipment Documentation-15 Aug 2025 (v1.0)</v>
      </c>
      <c r="B372" s="3" t="inlineStr">
        <is>
          <t>Jitka Kone</t>
        </is>
      </c>
      <c r="C372" s="3" t="inlineStr">
        <is>
          <t>IP and Trial Supplies</t>
        </is>
      </c>
      <c r="D372" s="3" t="inlineStr">
        <is>
          <t>Non-IP Documentation</t>
        </is>
      </c>
      <c r="E372" s="3" t="inlineStr">
        <is>
          <t>Non-IP Shipment Documentation</t>
        </is>
      </c>
      <c r="F372" s="3" t="inlineStr">
        <is>
          <t>NIPSF pharmacy Acceptance of Add. 1 to IB Ed. 6 15-AUG-2025</t>
        </is>
      </c>
      <c r="G372" s="2" t="str">
        <f>HYPERLINK("https://vtmf.veevavault.com/ui/#doc_info/29820718/1/0", "VTMF-23999566")</f>
        <v>VTMF-23999566</v>
      </c>
      <c r="H372" s="3" t="inlineStr">
        <is>
          <t/>
        </is>
      </c>
      <c r="I372" s="3" t="inlineStr">
        <is>
          <t>System</t>
        </is>
      </c>
      <c r="J372" s="3" t="inlineStr">
        <is>
          <t>Jitka Kone</t>
        </is>
      </c>
      <c r="K372" s="4" t="n">
        <v>45894.515497685185</v>
      </c>
      <c r="L372" s="5" t="n">
        <v>45894.0</v>
      </c>
      <c r="M372" s="3" t="inlineStr">
        <is>
          <t>Approved</t>
        </is>
      </c>
      <c r="N372" s="3" t="inlineStr">
        <is>
          <t>CLIX Filing, Country Start, Site Start</t>
        </is>
      </c>
      <c r="O372" s="3" t="inlineStr">
        <is>
          <t>Czech Republic</t>
        </is>
      </c>
      <c r="P372" s="3" t="inlineStr">
        <is>
          <t>Z92-CZ10004</t>
        </is>
      </c>
      <c r="Q372" s="3" t="inlineStr">
        <is>
          <t>77242113UCO2001</t>
        </is>
      </c>
    </row>
    <row r="373">
      <c r="A373" s="2" t="str">
        <f>HYPERLINK("https://vtmf.veevavault.com/ui/#doc_info/26356674/1/0", "77242113UCO2001-CZE-Z92-CZ10004-Non-IP Shipment Documentation-15 May 2024 (v1.0)")</f>
        <v>77242113UCO2001-CZE-Z92-CZ10004-Non-IP Shipment Documentation-15 May 2024 (v1.0)</v>
      </c>
      <c r="B373" s="3" t="inlineStr">
        <is>
          <t>Jitka Kone</t>
        </is>
      </c>
      <c r="C373" s="3" t="inlineStr">
        <is>
          <t>IP and Trial Supplies</t>
        </is>
      </c>
      <c r="D373" s="3" t="inlineStr">
        <is>
          <t>Non-IP Documentation</t>
        </is>
      </c>
      <c r="E373" s="3" t="inlineStr">
        <is>
          <t>Non-IP Shipment Documentation</t>
        </is>
      </c>
      <c r="F373" s="3" t="inlineStr">
        <is>
          <t>Handover protocol_scale_14-MAY-2024</t>
        </is>
      </c>
      <c r="G373" s="2" t="str">
        <f>HYPERLINK("https://vtmf.veevavault.com/ui/#doc_info/26356674/1/0", "VTMF-21091381")</f>
        <v>VTMF-21091381</v>
      </c>
      <c r="H373" s="3" t="inlineStr">
        <is>
          <t/>
        </is>
      </c>
      <c r="I373" s="3" t="inlineStr">
        <is>
          <t>Anthony Suarez (veeva.com)</t>
        </is>
      </c>
      <c r="J373" s="3" t="inlineStr">
        <is>
          <t>Jitka Kone</t>
        </is>
      </c>
      <c r="K373" s="4" t="n">
        <v>45432.626759259256</v>
      </c>
      <c r="L373" s="5" t="n">
        <v>45432.0</v>
      </c>
      <c r="M373" s="3" t="inlineStr">
        <is>
          <t>Approved</t>
        </is>
      </c>
      <c r="N373" s="3" t="inlineStr">
        <is>
          <t>Available for Distribution, CLIX Filing, Site Close</t>
        </is>
      </c>
      <c r="O373" s="3" t="inlineStr">
        <is>
          <t>Czech Republic</t>
        </is>
      </c>
      <c r="P373" s="3" t="inlineStr">
        <is>
          <t>Z92-CZ10004</t>
        </is>
      </c>
      <c r="Q373" s="3" t="inlineStr">
        <is>
          <t>77242113UCO2001</t>
        </is>
      </c>
    </row>
    <row r="374">
      <c r="A374" s="2" t="str">
        <f>HYPERLINK("https://vtmf.veevavault.com/ui/#doc_info/29125969/1/0", "77242113UCO2001-CZE-Z92-CZ10004-Non-IP Shipment Documentation-15 May 2025 (v1.0)")</f>
        <v>77242113UCO2001-CZE-Z92-CZ10004-Non-IP Shipment Documentation-15 May 2025 (v1.0)</v>
      </c>
      <c r="B374" s="3" t="inlineStr">
        <is>
          <t>Jitka Kone</t>
        </is>
      </c>
      <c r="C374" s="3" t="inlineStr">
        <is>
          <t>IP and Trial Supplies</t>
        </is>
      </c>
      <c r="D374" s="3" t="inlineStr">
        <is>
          <t>Non-IP Documentation</t>
        </is>
      </c>
      <c r="E374" s="3" t="inlineStr">
        <is>
          <t>Non-IP Shipment Documentation</t>
        </is>
      </c>
      <c r="F374" s="3" t="inlineStr">
        <is>
          <t>Handover protocol_meal vouchers 50 pcs_02-MAY-2025</t>
        </is>
      </c>
      <c r="G374" s="2" t="str">
        <f>HYPERLINK("https://vtmf.veevavault.com/ui/#doc_info/29125969/1/0", "VTMF-23405568")</f>
        <v>VTMF-23405568</v>
      </c>
      <c r="H374" s="3" t="inlineStr">
        <is>
          <t/>
        </is>
      </c>
      <c r="I374" s="3" t="inlineStr">
        <is>
          <t>System</t>
        </is>
      </c>
      <c r="J374" s="3" t="inlineStr">
        <is>
          <t>Jitka Kone</t>
        </is>
      </c>
      <c r="K374" s="4" t="n">
        <v>45792.6265162037</v>
      </c>
      <c r="L374" s="5" t="n">
        <v>45792.0</v>
      </c>
      <c r="M374" s="3" t="inlineStr">
        <is>
          <t>Approved</t>
        </is>
      </c>
      <c r="N374" s="3" t="inlineStr">
        <is>
          <t>CLIX Filing, Country Start, Site Start</t>
        </is>
      </c>
      <c r="O374" s="3" t="inlineStr">
        <is>
          <t>Czech Republic</t>
        </is>
      </c>
      <c r="P374" s="3" t="inlineStr">
        <is>
          <t>Z92-CZ10004</t>
        </is>
      </c>
      <c r="Q374" s="3" t="inlineStr">
        <is>
          <t>77242113UCO2001</t>
        </is>
      </c>
    </row>
    <row r="375">
      <c r="A375" s="2" t="str">
        <f>HYPERLINK("https://vtmf.veevavault.com/ui/#doc_info/26730150/1/0", "77242113UCO2001-CZE-Z92-CZ10004-Non-IP Shipment Documentation-18 Jul 2024 (v1.0)")</f>
        <v>77242113UCO2001-CZE-Z92-CZ10004-Non-IP Shipment Documentation-18 Jul 2024 (v1.0)</v>
      </c>
      <c r="B375" s="3" t="inlineStr">
        <is>
          <t>Jitka Kone</t>
        </is>
      </c>
      <c r="C375" s="3" t="inlineStr">
        <is>
          <t>IP and Trial Supplies</t>
        </is>
      </c>
      <c r="D375" s="3" t="inlineStr">
        <is>
          <t>Non-IP Documentation</t>
        </is>
      </c>
      <c r="E375" s="3" t="inlineStr">
        <is>
          <t>Non-IP Shipment Documentation</t>
        </is>
      </c>
      <c r="F375" s="3" t="inlineStr">
        <is>
          <t>NIPSF_Handheld_18-JUL-2024</t>
        </is>
      </c>
      <c r="G375" s="2" t="str">
        <f>HYPERLINK("https://vtmf.veevavault.com/ui/#doc_info/26730150/1/0", "VTMF-21419066")</f>
        <v>VTMF-21419066</v>
      </c>
      <c r="H375" s="3" t="inlineStr">
        <is>
          <t/>
        </is>
      </c>
      <c r="I375" s="3" t="inlineStr">
        <is>
          <t>Anthony Suarez (veeva.com)</t>
        </is>
      </c>
      <c r="J375" s="3" t="inlineStr">
        <is>
          <t>Jitka Kone</t>
        </is>
      </c>
      <c r="K375" s="4" t="n">
        <v>45491.520578703705</v>
      </c>
      <c r="L375" s="5" t="n">
        <v>45491.0</v>
      </c>
      <c r="M375" s="3" t="inlineStr">
        <is>
          <t>Approved</t>
        </is>
      </c>
      <c r="N375" s="3" t="inlineStr">
        <is>
          <t>Available for Distribution, CLIX Filing, Site Close</t>
        </is>
      </c>
      <c r="O375" s="3" t="inlineStr">
        <is>
          <t>Czech Republic</t>
        </is>
      </c>
      <c r="P375" s="3" t="inlineStr">
        <is>
          <t>Z92-CZ10004</t>
        </is>
      </c>
      <c r="Q375" s="3" t="inlineStr">
        <is>
          <t>77242113UCO2001</t>
        </is>
      </c>
    </row>
    <row r="376">
      <c r="A376" s="2" t="str">
        <f>HYPERLINK("https://vtmf.veevavault.com/ui/#doc_info/31277214/1/0", "77242113UCO2001-CZE-Z92-CZ10004-Non-IP Shipment Documentation-18 Mar 2026 (v1.0)")</f>
        <v>77242113UCO2001-CZE-Z92-CZ10004-Non-IP Shipment Documentation-18 Mar 2026 (v1.0)</v>
      </c>
      <c r="B376" s="3" t="inlineStr">
        <is>
          <t>Michaela Sapíková</t>
        </is>
      </c>
      <c r="C376" s="3" t="inlineStr">
        <is>
          <t>IP and Trial Supplies</t>
        </is>
      </c>
      <c r="D376" s="3" t="inlineStr">
        <is>
          <t>Non-IP Documentation</t>
        </is>
      </c>
      <c r="E376" s="3" t="inlineStr">
        <is>
          <t>Non-IP Shipment Documentation</t>
        </is>
      </c>
      <c r="F376" s="3" t="inlineStr">
        <is>
          <t>NIPSF_USB_18Mar2026</t>
        </is>
      </c>
      <c r="G376" s="2" t="str">
        <f>HYPERLINK("https://vtmf.veevavault.com/ui/#doc_info/31277214/1/0", "VTMF-25224567")</f>
        <v>VTMF-25224567</v>
      </c>
      <c r="H376" s="3" t="inlineStr">
        <is>
          <t/>
        </is>
      </c>
      <c r="I376" s="3" t="inlineStr">
        <is>
          <t>System</t>
        </is>
      </c>
      <c r="J376" s="3" t="inlineStr">
        <is>
          <t>Michaela Sapíková</t>
        </is>
      </c>
      <c r="K376" s="4" t="n">
        <v>46107.42444444444</v>
      </c>
      <c r="L376" s="5" t="n">
        <v>46107.0</v>
      </c>
      <c r="M376" s="3" t="inlineStr">
        <is>
          <t>Approved</t>
        </is>
      </c>
      <c r="N376" s="3" t="inlineStr">
        <is>
          <t>CLIX Filing, Country Start, Site Start</t>
        </is>
      </c>
      <c r="O376" s="3" t="inlineStr">
        <is>
          <t>Czech Republic</t>
        </is>
      </c>
      <c r="P376" s="3" t="inlineStr">
        <is>
          <t>Z92-CZ10004</t>
        </is>
      </c>
      <c r="Q376" s="3" t="inlineStr">
        <is>
          <t>77242113UCO2001</t>
        </is>
      </c>
    </row>
    <row r="377">
      <c r="A377" s="2" t="str">
        <f>HYPERLINK("https://vtmf.veevavault.com/ui/#doc_info/24158273/1/0", "77242113UCO2001-CZE-Z92-CZ10004-Non-IP Shipment Documentation-18 May 2023 (v1.0)")</f>
        <v>77242113UCO2001-CZE-Z92-CZ10004-Non-IP Shipment Documentation-18 May 2023 (v1.0)</v>
      </c>
      <c r="B377" s="3" t="inlineStr">
        <is>
          <t>Lucie Duskova</t>
        </is>
      </c>
      <c r="C377" s="3" t="inlineStr">
        <is>
          <t>IP and Trial Supplies</t>
        </is>
      </c>
      <c r="D377" s="3" t="inlineStr">
        <is>
          <t>Non-IP Documentation</t>
        </is>
      </c>
      <c r="E377" s="3" t="inlineStr">
        <is>
          <t>Non-IP Shipment Documentation</t>
        </is>
      </c>
      <c r="F377" s="3" t="inlineStr">
        <is>
          <t>NIPSF_Protocol Original_18MAY2023</t>
        </is>
      </c>
      <c r="G377" s="2" t="str">
        <f>HYPERLINK("https://vtmf.veevavault.com/ui/#doc_info/24158273/1/0", "VTMF-19168918")</f>
        <v>VTMF-19168918</v>
      </c>
      <c r="H377" s="3" t="inlineStr">
        <is>
          <t/>
        </is>
      </c>
      <c r="I377" s="3" t="inlineStr">
        <is>
          <t>Anthony Suarez (veeva.com)</t>
        </is>
      </c>
      <c r="J377" s="3" t="inlineStr">
        <is>
          <t>Lucie Duskova</t>
        </is>
      </c>
      <c r="K377" s="4" t="n">
        <v>45075.6606712963</v>
      </c>
      <c r="L377" s="5" t="n">
        <v>45075.0</v>
      </c>
      <c r="M377" s="3" t="inlineStr">
        <is>
          <t>Approved</t>
        </is>
      </c>
      <c r="N377" s="3" t="inlineStr">
        <is>
          <t>Available for Distribution, CLIX Filing, Site Close</t>
        </is>
      </c>
      <c r="O377" s="3" t="inlineStr">
        <is>
          <t>Czech Republic</t>
        </is>
      </c>
      <c r="P377" s="3" t="inlineStr">
        <is>
          <t>Z92-CZ10004</t>
        </is>
      </c>
      <c r="Q377" s="3" t="inlineStr">
        <is>
          <t>77242113UCO2001</t>
        </is>
      </c>
    </row>
    <row r="378">
      <c r="A378" s="2" t="str">
        <f>HYPERLINK("https://vtmf.veevavault.com/ui/#doc_info/30503233/1/0", "77242113UCO2001-CZE-Z92-CZ10004-Non-IP Shipment Documentation-19 Nov 2025 (v1.0)")</f>
        <v>77242113UCO2001-CZE-Z92-CZ10004-Non-IP Shipment Documentation-19 Nov 2025 (v1.0)</v>
      </c>
      <c r="B378" s="3" t="inlineStr">
        <is>
          <t>Jitka Kone</t>
        </is>
      </c>
      <c r="C378" s="3" t="inlineStr">
        <is>
          <t>IP and Trial Supplies</t>
        </is>
      </c>
      <c r="D378" s="3" t="inlineStr">
        <is>
          <t>Non-IP Documentation</t>
        </is>
      </c>
      <c r="E378" s="3" t="inlineStr">
        <is>
          <t>Non-IP Shipment Documentation</t>
        </is>
      </c>
      <c r="F378" s="3" t="inlineStr">
        <is>
          <t>Handover protocol_meal vouchers 2026 16 pcs_18-NOV-2025</t>
        </is>
      </c>
      <c r="G378" s="2" t="str">
        <f>HYPERLINK("https://vtmf.veevavault.com/ui/#doc_info/30503233/1/0", "VTMF-24575637")</f>
        <v>VTMF-24575637</v>
      </c>
      <c r="H378" s="3" t="inlineStr">
        <is>
          <t/>
        </is>
      </c>
      <c r="I378" s="3" t="inlineStr">
        <is>
          <t>System</t>
        </is>
      </c>
      <c r="J378" s="3" t="inlineStr">
        <is>
          <t>Jitka Kone</t>
        </is>
      </c>
      <c r="K378" s="4" t="n">
        <v>45992.43761574074</v>
      </c>
      <c r="L378" s="5" t="n">
        <v>45992.0</v>
      </c>
      <c r="M378" s="3" t="inlineStr">
        <is>
          <t>Approved</t>
        </is>
      </c>
      <c r="N378" s="3" t="inlineStr">
        <is>
          <t>CLIX Filing, Country Start, Site Start</t>
        </is>
      </c>
      <c r="O378" s="3" t="inlineStr">
        <is>
          <t>Czech Republic</t>
        </is>
      </c>
      <c r="P378" s="3" t="inlineStr">
        <is>
          <t>Z92-CZ10004</t>
        </is>
      </c>
      <c r="Q378" s="3" t="inlineStr">
        <is>
          <t>77242113UCO2001</t>
        </is>
      </c>
    </row>
    <row r="379">
      <c r="A379" s="2" t="str">
        <f>HYPERLINK("https://vtmf.veevavault.com/ui/#doc_info/27769720/1/0", "77242113UCO2001-CZE-Z92-CZ10004-Non-IP Shipment Documentation-22 Nov 2024 (v1.0)")</f>
        <v>77242113UCO2001-CZE-Z92-CZ10004-Non-IP Shipment Documentation-22 Nov 2024 (v1.0)</v>
      </c>
      <c r="B379" s="3" t="inlineStr">
        <is>
          <t>Jitka Kone</t>
        </is>
      </c>
      <c r="C379" s="3" t="inlineStr">
        <is>
          <t>IP and Trial Supplies</t>
        </is>
      </c>
      <c r="D379" s="3" t="inlineStr">
        <is>
          <t>Non-IP Documentation</t>
        </is>
      </c>
      <c r="E379" s="3" t="inlineStr">
        <is>
          <t>Non-IP Shipment Documentation</t>
        </is>
      </c>
      <c r="F379" s="3" t="inlineStr">
        <is>
          <t>NIPSF_Pr.Am.3 Synopsis_17-OCT-2024</t>
        </is>
      </c>
      <c r="G379" s="2" t="str">
        <f>HYPERLINK("https://vtmf.veevavault.com/ui/#doc_info/27769720/1/0", "VTMF-22267202")</f>
        <v>VTMF-22267202</v>
      </c>
      <c r="H379" s="3" t="inlineStr">
        <is>
          <t/>
        </is>
      </c>
      <c r="I379" s="3" t="inlineStr">
        <is>
          <t>Jitka Kone</t>
        </is>
      </c>
      <c r="J379" s="3" t="inlineStr">
        <is>
          <t>Jitka Kone</t>
        </is>
      </c>
      <c r="K379" s="4" t="n">
        <v>45625.3849537037</v>
      </c>
      <c r="L379" s="5" t="n">
        <v>45625.0</v>
      </c>
      <c r="M379" s="3" t="inlineStr">
        <is>
          <t>Approved</t>
        </is>
      </c>
      <c r="N379" s="3" t="inlineStr">
        <is>
          <t>CLIX Filing, Country Start, Site Start</t>
        </is>
      </c>
      <c r="O379" s="3" t="inlineStr">
        <is>
          <t>Czech Republic</t>
        </is>
      </c>
      <c r="P379" s="3" t="inlineStr">
        <is>
          <t>Z92-CZ10004</t>
        </is>
      </c>
      <c r="Q379" s="3" t="inlineStr">
        <is>
          <t>77242113UCO2001</t>
        </is>
      </c>
    </row>
    <row r="380">
      <c r="A380" s="2" t="str">
        <f>HYPERLINK("https://vtmf.veevavault.com/ui/#doc_info/30225066/1/0", "77242113UCO2001-CZE-Z92-CZ10004-Non-IP Shipment Documentation-22 Oct 2025 (v1.0)")</f>
        <v>77242113UCO2001-CZE-Z92-CZ10004-Non-IP Shipment Documentation-22 Oct 2025 (v1.0)</v>
      </c>
      <c r="B380" s="3" t="inlineStr">
        <is>
          <t>Jitka Kone</t>
        </is>
      </c>
      <c r="C380" s="3" t="inlineStr">
        <is>
          <t>IP and Trial Supplies</t>
        </is>
      </c>
      <c r="D380" s="3" t="inlineStr">
        <is>
          <t>Non-IP Documentation</t>
        </is>
      </c>
      <c r="E380" s="3" t="inlineStr">
        <is>
          <t>Non-IP Shipment Documentation</t>
        </is>
      </c>
      <c r="F380" s="3" t="inlineStr">
        <is>
          <t>Handover protocol_meal vouchers 2026 40 pcs_20-OCT-2025</t>
        </is>
      </c>
      <c r="G380" s="2" t="str">
        <f>HYPERLINK("https://vtmf.veevavault.com/ui/#doc_info/30225066/1/0", "VTMF-24337562")</f>
        <v>VTMF-24337562</v>
      </c>
      <c r="H380" s="3" t="inlineStr">
        <is>
          <t/>
        </is>
      </c>
      <c r="I380" s="3" t="inlineStr">
        <is>
          <t>System</t>
        </is>
      </c>
      <c r="J380" s="3" t="inlineStr">
        <is>
          <t>Jitka Kone</t>
        </is>
      </c>
      <c r="K380" s="4" t="n">
        <v>45954.39194444445</v>
      </c>
      <c r="L380" s="5" t="n">
        <v>45954.0</v>
      </c>
      <c r="M380" s="3" t="inlineStr">
        <is>
          <t>Approved</t>
        </is>
      </c>
      <c r="N380" s="3" t="inlineStr">
        <is>
          <t>CLIX Filing, Country Start, Site Start</t>
        </is>
      </c>
      <c r="O380" s="3" t="inlineStr">
        <is>
          <t>Czech Republic</t>
        </is>
      </c>
      <c r="P380" s="3" t="inlineStr">
        <is>
          <t>Z92-CZ10004</t>
        </is>
      </c>
      <c r="Q380" s="3" t="inlineStr">
        <is>
          <t>77242113UCO2001</t>
        </is>
      </c>
    </row>
    <row r="381">
      <c r="A381" s="2" t="str">
        <f>HYPERLINK("https://vtmf.veevavault.com/ui/#doc_info/26206501/1/0", "77242113UCO2001-CZE-Z92-CZ10004-Non-IP Shipment Documentation-24 Apr 2024 (v1.0)")</f>
        <v>77242113UCO2001-CZE-Z92-CZ10004-Non-IP Shipment Documentation-24 Apr 2024 (v1.0)</v>
      </c>
      <c r="B381" s="3" t="inlineStr">
        <is>
          <t>Jitka Kone</t>
        </is>
      </c>
      <c r="C381" s="3" t="inlineStr">
        <is>
          <t>IP and Trial Supplies</t>
        </is>
      </c>
      <c r="D381" s="3" t="inlineStr">
        <is>
          <t>Non-IP Documentation</t>
        </is>
      </c>
      <c r="E381" s="3" t="inlineStr">
        <is>
          <t>Non-IP Shipment Documentation</t>
        </is>
      </c>
      <c r="F381" s="3" t="inlineStr">
        <is>
          <t>NIPSF_IC Criteria + Miniprotocols_ 24-APR-2024</t>
        </is>
      </c>
      <c r="G381" s="2" t="str">
        <f>HYPERLINK("https://vtmf.veevavault.com/ui/#doc_info/26206501/1/0", "VTMF-20960647")</f>
        <v>VTMF-20960647</v>
      </c>
      <c r="H381" s="3" t="inlineStr">
        <is>
          <t/>
        </is>
      </c>
      <c r="I381" s="3" t="inlineStr">
        <is>
          <t>Anthony Suarez (veeva.com)</t>
        </is>
      </c>
      <c r="J381" s="3" t="inlineStr">
        <is>
          <t>Jitka Kone</t>
        </is>
      </c>
      <c r="K381" s="4" t="n">
        <v>45407.6021412037</v>
      </c>
      <c r="L381" s="5" t="n">
        <v>45407.0</v>
      </c>
      <c r="M381" s="3" t="inlineStr">
        <is>
          <t>Approved</t>
        </is>
      </c>
      <c r="N381" s="3" t="inlineStr">
        <is>
          <t>Available for Distribution, CLIX Filing, Site Close</t>
        </is>
      </c>
      <c r="O381" s="3" t="inlineStr">
        <is>
          <t>Czech Republic</t>
        </is>
      </c>
      <c r="P381" s="3" t="inlineStr">
        <is>
          <t>Z92-CZ10004</t>
        </is>
      </c>
      <c r="Q381" s="3" t="inlineStr">
        <is>
          <t>77242113UCO2001</t>
        </is>
      </c>
    </row>
    <row r="382">
      <c r="A382" s="2" t="str">
        <f>HYPERLINK("https://vtmf.veevavault.com/ui/#doc_info/26760956/1/0", "77242113UCO2001-CZE-Z92-CZ10004-Non-IP Shipment Documentation-26 Apr 2024 (v1.0)")</f>
        <v>77242113UCO2001-CZE-Z92-CZ10004-Non-IP Shipment Documentation-26 Apr 2024 (v1.0)</v>
      </c>
      <c r="B382" s="3" t="inlineStr">
        <is>
          <t>Jitka Kone</t>
        </is>
      </c>
      <c r="C382" s="3" t="inlineStr">
        <is>
          <t>IP and Trial Supplies</t>
        </is>
      </c>
      <c r="D382" s="3" t="inlineStr">
        <is>
          <t>Non-IP Documentation</t>
        </is>
      </c>
      <c r="E382" s="3" t="inlineStr">
        <is>
          <t>Non-IP Shipment Documentation</t>
        </is>
      </c>
      <c r="F382" s="3" t="inlineStr">
        <is>
          <t>Handover protocol_meal vouchers 50 pcs_24-APR-2024</t>
        </is>
      </c>
      <c r="G382" s="2" t="str">
        <f>HYPERLINK("https://vtmf.veevavault.com/ui/#doc_info/26760956/1/0", "VTMF-21445468")</f>
        <v>VTMF-21445468</v>
      </c>
      <c r="H382" s="3" t="inlineStr">
        <is>
          <t/>
        </is>
      </c>
      <c r="I382" s="3" t="inlineStr">
        <is>
          <t>Anthony Suarez (veeva.com)</t>
        </is>
      </c>
      <c r="J382" s="3" t="inlineStr">
        <is>
          <t>Jitka Kone</t>
        </is>
      </c>
      <c r="K382" s="4" t="n">
        <v>45497.465578703705</v>
      </c>
      <c r="L382" s="5" t="n">
        <v>45497.0</v>
      </c>
      <c r="M382" s="3" t="inlineStr">
        <is>
          <t>Approved</t>
        </is>
      </c>
      <c r="N382" s="3" t="inlineStr">
        <is>
          <t>Available for Distribution, CLIX Filing, Site Close</t>
        </is>
      </c>
      <c r="O382" s="3" t="inlineStr">
        <is>
          <t>Czech Republic</t>
        </is>
      </c>
      <c r="P382" s="3" t="inlineStr">
        <is>
          <t>Z92-CZ10004</t>
        </is>
      </c>
      <c r="Q382" s="3" t="inlineStr">
        <is>
          <t>77242113UCO2001</t>
        </is>
      </c>
    </row>
    <row r="383">
      <c r="A383" s="2" t="str">
        <f>HYPERLINK("https://vtmf.veevavault.com/ui/#doc_info/26606085/1/0", "77242113UCO2001-CZE-Z92-CZ10004-Non-IP Shipment Documentation-26 Jun 2024 (v1.0)")</f>
        <v>77242113UCO2001-CZE-Z92-CZ10004-Non-IP Shipment Documentation-26 Jun 2024 (v1.0)</v>
      </c>
      <c r="B383" s="3" t="inlineStr">
        <is>
          <t>Jitka Kone</t>
        </is>
      </c>
      <c r="C383" s="3" t="inlineStr">
        <is>
          <t>IP and Trial Supplies</t>
        </is>
      </c>
      <c r="D383" s="3" t="inlineStr">
        <is>
          <t>Non-IP Documentation</t>
        </is>
      </c>
      <c r="E383" s="3" t="inlineStr">
        <is>
          <t>Non-IP Shipment Documentation</t>
        </is>
      </c>
      <c r="F383" s="3" t="inlineStr">
        <is>
          <t>NIPSF_Pr.Am.3+ site oper. guide + PCI 3.1.+4.1+5.1
20-JUN-2024</t>
        </is>
      </c>
      <c r="G383" s="2" t="str">
        <f>HYPERLINK("https://vtmf.veevavault.com/ui/#doc_info/26606085/1/0", "VTMF-21310416")</f>
        <v>VTMF-21310416</v>
      </c>
      <c r="H383" s="3" t="inlineStr">
        <is>
          <t/>
        </is>
      </c>
      <c r="I383" s="3" t="inlineStr">
        <is>
          <t>Anthony Suarez (veeva.com)</t>
        </is>
      </c>
      <c r="J383" s="3" t="inlineStr">
        <is>
          <t>Jitka Kone</t>
        </is>
      </c>
      <c r="K383" s="4" t="n">
        <v>45470.562939814816</v>
      </c>
      <c r="L383" s="5" t="n">
        <v>45470.0</v>
      </c>
      <c r="M383" s="3" t="inlineStr">
        <is>
          <t>Approved</t>
        </is>
      </c>
      <c r="N383" s="3" t="inlineStr">
        <is>
          <t>Available for Distribution, CLIX Filing, Site Close</t>
        </is>
      </c>
      <c r="O383" s="3" t="inlineStr">
        <is>
          <t>Czech Republic</t>
        </is>
      </c>
      <c r="P383" s="3" t="inlineStr">
        <is>
          <t>Z92-CZ10004</t>
        </is>
      </c>
      <c r="Q383" s="3" t="inlineStr">
        <is>
          <t>77242113UCO2001</t>
        </is>
      </c>
    </row>
    <row r="384">
      <c r="A384" s="2" t="str">
        <f>HYPERLINK("https://vtmf.veevavault.com/ui/#doc_info/26631271/1/0", "77242113UCO2001-CZE-Z92-CZ10004-Non-IP Shipment Documentation-26 Jun 2024 (v1.0)")</f>
        <v>77242113UCO2001-CZE-Z92-CZ10004-Non-IP Shipment Documentation-26 Jun 2024 (v1.0)</v>
      </c>
      <c r="B384" s="3" t="inlineStr">
        <is>
          <t>Jitka Kone</t>
        </is>
      </c>
      <c r="C384" s="3" t="inlineStr">
        <is>
          <t>IP and Trial Supplies</t>
        </is>
      </c>
      <c r="D384" s="3" t="inlineStr">
        <is>
          <t>Non-IP Documentation</t>
        </is>
      </c>
      <c r="E384" s="3" t="inlineStr">
        <is>
          <t>Non-IP Shipment Documentation</t>
        </is>
      </c>
      <c r="F384" s="3" t="inlineStr">
        <is>
          <t>NIPSF pharmacy_Pr.Am.3 +PCI 3.1,4.1,5.1_20-JUN-2024</t>
        </is>
      </c>
      <c r="G384" s="2" t="str">
        <f>HYPERLINK("https://vtmf.veevavault.com/ui/#doc_info/26631271/1/0", "VTMF-21332699")</f>
        <v>VTMF-21332699</v>
      </c>
      <c r="H384" s="3" t="inlineStr">
        <is>
          <t/>
        </is>
      </c>
      <c r="I384" s="3" t="inlineStr">
        <is>
          <t>Anthony Suarez (veeva.com)</t>
        </is>
      </c>
      <c r="J384" s="3" t="inlineStr">
        <is>
          <t>Jitka Kone</t>
        </is>
      </c>
      <c r="K384" s="4" t="n">
        <v>45475.454039351855</v>
      </c>
      <c r="L384" s="5" t="n">
        <v>45475.0</v>
      </c>
      <c r="M384" s="3" t="inlineStr">
        <is>
          <t>Approved</t>
        </is>
      </c>
      <c r="N384" s="3" t="inlineStr">
        <is>
          <t>Available for Distribution, CLIX Filing, Site Close</t>
        </is>
      </c>
      <c r="O384" s="3" t="inlineStr">
        <is>
          <t>Czech Republic</t>
        </is>
      </c>
      <c r="P384" s="3" t="inlineStr">
        <is>
          <t>Z92-CZ10004</t>
        </is>
      </c>
      <c r="Q384" s="3" t="inlineStr">
        <is>
          <t>77242113UCO2001</t>
        </is>
      </c>
    </row>
    <row r="385">
      <c r="A385" s="2" t="str">
        <f>HYPERLINK("https://vtmf.veevavault.com/ui/#doc_info/31652420/1/0", "77242113UCO2001-CZE-Z92-CZ10004-Non-IP Shipment Documentation-30 Apr 2026 (v1.0)")</f>
        <v>77242113UCO2001-CZE-Z92-CZ10004-Non-IP Shipment Documentation-30 Apr 2026 (v1.0)</v>
      </c>
      <c r="B385" s="3" t="inlineStr">
        <is>
          <t>Jitka Kone</t>
        </is>
      </c>
      <c r="C385" s="3" t="inlineStr">
        <is>
          <t>IP and Trial Supplies</t>
        </is>
      </c>
      <c r="D385" s="3" t="inlineStr">
        <is>
          <t>Non-IP Documentation</t>
        </is>
      </c>
      <c r="E385" s="3" t="inlineStr">
        <is>
          <t>Non-IP Shipment Documentation</t>
        </is>
      </c>
      <c r="F385" s="3" t="inlineStr">
        <is>
          <t>NIPSF_USB final archiving + Final progress report_27-APR-2026</t>
        </is>
      </c>
      <c r="G385" s="2" t="str">
        <f>HYPERLINK("https://vtmf.veevavault.com/ui/#doc_info/31652420/1/0", "VTMF-25547133")</f>
        <v>VTMF-25547133</v>
      </c>
      <c r="H385" s="3" t="inlineStr">
        <is>
          <t/>
        </is>
      </c>
      <c r="I385" s="3" t="inlineStr">
        <is>
          <t>System</t>
        </is>
      </c>
      <c r="J385" s="3" t="inlineStr">
        <is>
          <t>Jitka Kone</t>
        </is>
      </c>
      <c r="K385" s="4" t="n">
        <v>46155.51513888889</v>
      </c>
      <c r="L385" s="5" t="n">
        <v>46155.0</v>
      </c>
      <c r="M385" s="3" t="inlineStr">
        <is>
          <t>Approved</t>
        </is>
      </c>
      <c r="N385" s="3" t="inlineStr">
        <is>
          <t>CLIX Filing, Country Start, Site Start</t>
        </is>
      </c>
      <c r="O385" s="3" t="inlineStr">
        <is>
          <t>Czech Republic</t>
        </is>
      </c>
      <c r="P385" s="3" t="inlineStr">
        <is>
          <t>Z92-CZ10004</t>
        </is>
      </c>
      <c r="Q385" s="3" t="inlineStr">
        <is>
          <t>77242113UCO2001</t>
        </is>
      </c>
    </row>
    <row r="386">
      <c r="A386" s="2" t="str">
        <f>HYPERLINK("https://vtmf.veevavault.com/ui/#doc_info/26452549/1/0", "77242113UCO2001-CZE-Z92-CZ10004-Non-IP Shipment Documentation-30 May 2024 (v1.0)")</f>
        <v>77242113UCO2001-CZE-Z92-CZ10004-Non-IP Shipment Documentation-30 May 2024 (v1.0)</v>
      </c>
      <c r="B386" s="3" t="inlineStr">
        <is>
          <t>Jitka Kone</t>
        </is>
      </c>
      <c r="C386" s="3" t="inlineStr">
        <is>
          <t>IP and Trial Supplies</t>
        </is>
      </c>
      <c r="D386" s="3" t="inlineStr">
        <is>
          <t>Non-IP Documentation</t>
        </is>
      </c>
      <c r="E386" s="3" t="inlineStr">
        <is>
          <t>Non-IP Shipment Documentation</t>
        </is>
      </c>
      <c r="F386" s="3" t="inlineStr">
        <is>
          <t>NIPSF_ICF + App. card + synopsis +insurance_27-MAY-2024</t>
        </is>
      </c>
      <c r="G386" s="2" t="str">
        <f>HYPERLINK("https://vtmf.veevavault.com/ui/#doc_info/26452549/1/0", "VTMF-21175633")</f>
        <v>VTMF-21175633</v>
      </c>
      <c r="H386" s="3" t="inlineStr">
        <is>
          <t/>
        </is>
      </c>
      <c r="I386" s="3" t="inlineStr">
        <is>
          <t>Anthony Suarez (veeva.com)</t>
        </is>
      </c>
      <c r="J386" s="3" t="inlineStr">
        <is>
          <t>Jitka Kone</t>
        </is>
      </c>
      <c r="K386" s="4" t="n">
        <v>45447.622615740744</v>
      </c>
      <c r="L386" s="5" t="n">
        <v>45447.0</v>
      </c>
      <c r="M386" s="3" t="inlineStr">
        <is>
          <t>Approved</t>
        </is>
      </c>
      <c r="N386" s="3" t="inlineStr">
        <is>
          <t>Available for Distribution, CLIX Filing, Site Close</t>
        </is>
      </c>
      <c r="O386" s="3" t="inlineStr">
        <is>
          <t>Czech Republic</t>
        </is>
      </c>
      <c r="P386" s="3" t="inlineStr">
        <is>
          <t>Z92-CZ10004</t>
        </is>
      </c>
      <c r="Q386" s="3" t="inlineStr">
        <is>
          <t>77242113UCO2001</t>
        </is>
      </c>
    </row>
    <row r="387">
      <c r="A387" s="2" t="str">
        <f>HYPERLINK("https://vtmf.veevavault.com/ui/#doc_info/30073888/1/0", "77242113UCO2001-CZE-Z92-CZ10004-Non-IP Shipment Documentation-30 Sep 2025 (v1.0)")</f>
        <v>77242113UCO2001-CZE-Z92-CZ10004-Non-IP Shipment Documentation-30 Sep 2025 (v1.0)</v>
      </c>
      <c r="B387" s="3" t="inlineStr">
        <is>
          <t>Jitka Kone</t>
        </is>
      </c>
      <c r="C387" s="3" t="inlineStr">
        <is>
          <t>IP and Trial Supplies</t>
        </is>
      </c>
      <c r="D387" s="3" t="inlineStr">
        <is>
          <t>Non-IP Documentation</t>
        </is>
      </c>
      <c r="E387" s="3" t="inlineStr">
        <is>
          <t>Non-IP Shipment Documentation</t>
        </is>
      </c>
      <c r="F387" s="3" t="inlineStr">
        <is>
          <t>Handover protocol_meal vouchers 50 pcs_29-SEP-2025</t>
        </is>
      </c>
      <c r="G387" s="2" t="str">
        <f>HYPERLINK("https://vtmf.veevavault.com/ui/#doc_info/30073888/1/0", "VTMF-24207350")</f>
        <v>VTMF-24207350</v>
      </c>
      <c r="H387" s="3" t="inlineStr">
        <is>
          <t/>
        </is>
      </c>
      <c r="I387" s="3" t="inlineStr">
        <is>
          <t>System</t>
        </is>
      </c>
      <c r="J387" s="3" t="inlineStr">
        <is>
          <t>Jitka Kone</t>
        </is>
      </c>
      <c r="K387" s="4" t="n">
        <v>45931.47603009259</v>
      </c>
      <c r="L387" s="5" t="n">
        <v>45931.0</v>
      </c>
      <c r="M387" s="3" t="inlineStr">
        <is>
          <t>Approved</t>
        </is>
      </c>
      <c r="N387" s="3" t="inlineStr">
        <is>
          <t>CLIX Filing, Country Start, Site Start</t>
        </is>
      </c>
      <c r="O387" s="3" t="inlineStr">
        <is>
          <t>Czech Republic</t>
        </is>
      </c>
      <c r="P387" s="3" t="inlineStr">
        <is>
          <t>Z92-CZ10004</t>
        </is>
      </c>
      <c r="Q387" s="3" t="inlineStr">
        <is>
          <t>77242113UCO2001</t>
        </is>
      </c>
    </row>
    <row r="388">
      <c r="A388" s="2" t="str">
        <f>HYPERLINK("https://vtmf.veevavault.com/ui/#doc_info/27376299/1/0", "77242113UCO2001-CZE-Z92-CZ10004-Non-IP Shipment Documentation-31 Oct 2024 (v1.0)")</f>
        <v>77242113UCO2001-CZE-Z92-CZ10004-Non-IP Shipment Documentation-31 Oct 2024 (v1.0)</v>
      </c>
      <c r="B388" s="3" t="inlineStr">
        <is>
          <t>Jitka Kone</t>
        </is>
      </c>
      <c r="C388" s="3" t="inlineStr">
        <is>
          <t>IP and Trial Supplies</t>
        </is>
      </c>
      <c r="D388" s="3" t="inlineStr">
        <is>
          <t>Non-IP Documentation</t>
        </is>
      </c>
      <c r="E388" s="3" t="inlineStr">
        <is>
          <t>Non-IP Shipment Documentation</t>
        </is>
      </c>
      <c r="F388" s="3" t="inlineStr">
        <is>
          <t>Handover protocol_meal vouchers 2025 100 pcs_29-OCT-2024</t>
        </is>
      </c>
      <c r="G388" s="2" t="str">
        <f>HYPERLINK("https://vtmf.veevavault.com/ui/#doc_info/27376299/1/0", "VTMF-21960130")</f>
        <v>VTMF-21960130</v>
      </c>
      <c r="H388" s="3" t="inlineStr">
        <is>
          <t/>
        </is>
      </c>
      <c r="I388" s="3" t="inlineStr">
        <is>
          <t>System</t>
        </is>
      </c>
      <c r="J388" s="3" t="inlineStr">
        <is>
          <t>Jitka Kone</t>
        </is>
      </c>
      <c r="K388" s="4" t="n">
        <v>45596.587800925925</v>
      </c>
      <c r="L388" s="5" t="n">
        <v>45596.0</v>
      </c>
      <c r="M388" s="3" t="inlineStr">
        <is>
          <t>Approved</t>
        </is>
      </c>
      <c r="N388" s="3" t="inlineStr">
        <is>
          <t>CLIX Filing, Country Start, Site Start</t>
        </is>
      </c>
      <c r="O388" s="3" t="inlineStr">
        <is>
          <t>Czech Republic</t>
        </is>
      </c>
      <c r="P388" s="3" t="inlineStr">
        <is>
          <t>Z92-CZ10004</t>
        </is>
      </c>
      <c r="Q388" s="3" t="inlineStr">
        <is>
          <t>77242113UCO2001</t>
        </is>
      </c>
    </row>
    <row r="389">
      <c r="A389" s="2" t="str">
        <f>HYPERLINK("https://vtmf.veevavault.com/ui/#doc_info/25731913/1/0", "77242113UCO2001-CZE-Z92-CZ10004-Other Curriculum Vitae-07 Feb 2024 (v1.0)")</f>
        <v>77242113UCO2001-CZE-Z92-CZ10004-Other Curriculum Vitae-07 Feb 2024 (v1.0)</v>
      </c>
      <c r="B389" s="3" t="inlineStr">
        <is>
          <t>Lenka Placha</t>
        </is>
      </c>
      <c r="C389" s="3" t="inlineStr">
        <is>
          <t>Site Management</t>
        </is>
      </c>
      <c r="D389" s="3" t="inlineStr">
        <is>
          <t>Site Set-up Documentation</t>
        </is>
      </c>
      <c r="E389" s="3" t="inlineStr">
        <is>
          <t>Other Curriculum Vitae</t>
        </is>
      </c>
      <c r="F389" s="3" t="inlineStr">
        <is>
          <t>CV_EN_SN Chudickova Jana_initial_07Feb24</t>
        </is>
      </c>
      <c r="G389" s="2" t="str">
        <f>HYPERLINK("https://vtmf.veevavault.com/ui/#doc_info/25731913/1/0", "VTMF-20543268")</f>
        <v>VTMF-20543268</v>
      </c>
      <c r="H389" s="3" t="inlineStr">
        <is>
          <t/>
        </is>
      </c>
      <c r="I389" s="3" t="inlineStr">
        <is>
          <t>Anthony Suarez (veeva.com)</t>
        </is>
      </c>
      <c r="J389" s="3" t="inlineStr">
        <is>
          <t>Lenka Placha</t>
        </is>
      </c>
      <c r="K389" s="4" t="n">
        <v>45338.51513888889</v>
      </c>
      <c r="L389" s="5" t="n">
        <v>45338.0</v>
      </c>
      <c r="M389" s="3" t="inlineStr">
        <is>
          <t>Approved</t>
        </is>
      </c>
      <c r="N389" s="3" t="inlineStr">
        <is>
          <t>Available for Distribution, CLIX Filing, Site Close</t>
        </is>
      </c>
      <c r="O389" s="3" t="inlineStr">
        <is>
          <t>Czech Republic</t>
        </is>
      </c>
      <c r="P389" s="3" t="inlineStr">
        <is>
          <t>Z92-CZ10004</t>
        </is>
      </c>
      <c r="Q389" s="3" t="inlineStr">
        <is>
          <t>77242113UCO2001</t>
        </is>
      </c>
    </row>
    <row r="390">
      <c r="A390" s="2" t="str">
        <f>HYPERLINK("https://vtmf.veevavault.com/ui/#doc_info/24106740/2/0", "77242113UCO2001-CZE-Z92-CZ10004-Other Curriculum Vitae-21 Aug 2025 (v2.0)")</f>
        <v>77242113UCO2001-CZE-Z92-CZ10004-Other Curriculum Vitae-21 Aug 2025 (v2.0)</v>
      </c>
      <c r="B390" s="3" t="inlineStr">
        <is>
          <t>EDL Admin</t>
        </is>
      </c>
      <c r="C390" s="3" t="inlineStr">
        <is>
          <t>Site Management</t>
        </is>
      </c>
      <c r="D390" s="3" t="inlineStr">
        <is>
          <t>Site Set-up Documentation</t>
        </is>
      </c>
      <c r="E390" s="3" t="inlineStr">
        <is>
          <t>Other Curriculum Vitae</t>
        </is>
      </c>
      <c r="F390" s="3" t="inlineStr">
        <is>
          <t>CV_EN_pharmacist Cabanova Magda_revised_21AUG2025_Missing specification that ICH GCP R3 was completed on Jul2025 and Page 2 is missing</t>
        </is>
      </c>
      <c r="G390" s="2" t="str">
        <f>HYPERLINK("https://vtmf.veevavault.com/ui/#doc_info/24106740/2/0", "VTMF-19121351")</f>
        <v>VTMF-19121351</v>
      </c>
      <c r="H390" s="3" t="inlineStr">
        <is>
          <t/>
        </is>
      </c>
      <c r="I390" s="3" t="inlineStr">
        <is>
          <t>System</t>
        </is>
      </c>
      <c r="J390" s="3" t="inlineStr">
        <is>
          <t>Agnesa Ruiz Kajtarova</t>
        </is>
      </c>
      <c r="K390" s="4" t="n">
        <v>45912.640648148146</v>
      </c>
      <c r="L390" s="5" t="n">
        <v>45912.0</v>
      </c>
      <c r="M390" s="3" t="inlineStr">
        <is>
          <t>Approved</t>
        </is>
      </c>
      <c r="N390" s="3" t="inlineStr">
        <is>
          <t>Available for Distribution, CLIX Filing, Site Close</t>
        </is>
      </c>
      <c r="O390" s="3" t="inlineStr">
        <is>
          <t>Czech Republic</t>
        </is>
      </c>
      <c r="P390" s="3" t="inlineStr">
        <is>
          <t>Z92-CZ10004</t>
        </is>
      </c>
      <c r="Q390" s="3" t="inlineStr">
        <is>
          <t>77242113UCO2001</t>
        </is>
      </c>
    </row>
    <row r="391">
      <c r="A391" s="2" t="str">
        <f>HYPERLINK("https://vtmf.veevavault.com/ui/#doc_info/25731812/2/0", "77242113UCO2001-CZE-Z92-CZ10004-Other Curriculum Vitae-21 Aug 2025 (v2.0)")</f>
        <v>77242113UCO2001-CZE-Z92-CZ10004-Other Curriculum Vitae-21 Aug 2025 (v2.0)</v>
      </c>
      <c r="B391" s="3" t="inlineStr">
        <is>
          <t>Lenka Placha</t>
        </is>
      </c>
      <c r="C391" s="3" t="inlineStr">
        <is>
          <t>Site Management</t>
        </is>
      </c>
      <c r="D391" s="3" t="inlineStr">
        <is>
          <t>Site Set-up Documentation</t>
        </is>
      </c>
      <c r="E391" s="3" t="inlineStr">
        <is>
          <t>Other Curriculum Vitae</t>
        </is>
      </c>
      <c r="F391" s="3" t="inlineStr">
        <is>
          <t>CV_EN_SC Freiburgova Olga_revised_21Aug2025</t>
        </is>
      </c>
      <c r="G391" s="2" t="str">
        <f>HYPERLINK("https://vtmf.veevavault.com/ui/#doc_info/25731812/2/0", "VTMF-20543170")</f>
        <v>VTMF-20543170</v>
      </c>
      <c r="H391" s="3" t="inlineStr">
        <is>
          <t/>
        </is>
      </c>
      <c r="I391" s="3" t="inlineStr">
        <is>
          <t>System</t>
        </is>
      </c>
      <c r="J391" s="3" t="inlineStr">
        <is>
          <t>Lenka Placha</t>
        </is>
      </c>
      <c r="K391" s="4" t="n">
        <v>45897.82798611111</v>
      </c>
      <c r="L391" s="5" t="n">
        <v>45897.0</v>
      </c>
      <c r="M391" s="3" t="inlineStr">
        <is>
          <t>Approved</t>
        </is>
      </c>
      <c r="N391" s="3" t="inlineStr">
        <is>
          <t>Available for Distribution, CLIX Filing, Site Close</t>
        </is>
      </c>
      <c r="O391" s="3" t="inlineStr">
        <is>
          <t>Czech Republic</t>
        </is>
      </c>
      <c r="P391" s="3" t="inlineStr">
        <is>
          <t>Z92-CZ10004</t>
        </is>
      </c>
      <c r="Q391" s="3" t="inlineStr">
        <is>
          <t>77242113UCO2001</t>
        </is>
      </c>
    </row>
    <row r="392">
      <c r="A392" s="2" t="str">
        <f>HYPERLINK("https://vtmf.veevavault.com/ui/#doc_info/25731813/2/0", "77242113UCO2001-CZE-Z92-CZ10004-Other Curriculum Vitae-21 Aug 2025 (v2.0)")</f>
        <v>77242113UCO2001-CZE-Z92-CZ10004-Other Curriculum Vitae-21 Aug 2025 (v2.0)</v>
      </c>
      <c r="B392" s="3" t="inlineStr">
        <is>
          <t>Lenka Placha</t>
        </is>
      </c>
      <c r="C392" s="3" t="inlineStr">
        <is>
          <t>Site Management</t>
        </is>
      </c>
      <c r="D392" s="3" t="inlineStr">
        <is>
          <t>Site Set-up Documentation</t>
        </is>
      </c>
      <c r="E392" s="3" t="inlineStr">
        <is>
          <t>Other Curriculum Vitae</t>
        </is>
      </c>
      <c r="F392" s="3" t="inlineStr">
        <is>
          <t>CV_EN_SC Vinsalkova Tereza_revised_21Aug20205</t>
        </is>
      </c>
      <c r="G392" s="2" t="str">
        <f>HYPERLINK("https://vtmf.veevavault.com/ui/#doc_info/25731813/2/0", "VTMF-20543171")</f>
        <v>VTMF-20543171</v>
      </c>
      <c r="H392" s="3" t="inlineStr">
        <is>
          <t/>
        </is>
      </c>
      <c r="I392" s="3" t="inlineStr">
        <is>
          <t>System</t>
        </is>
      </c>
      <c r="J392" s="3" t="inlineStr">
        <is>
          <t>Lenka Placha</t>
        </is>
      </c>
      <c r="K392" s="4" t="n">
        <v>45897.82979166666</v>
      </c>
      <c r="L392" s="5" t="n">
        <v>45897.0</v>
      </c>
      <c r="M392" s="3" t="inlineStr">
        <is>
          <t>Approved</t>
        </is>
      </c>
      <c r="N392" s="3" t="inlineStr">
        <is>
          <t>Available for Distribution, CLIX Filing, Site Close</t>
        </is>
      </c>
      <c r="O392" s="3" t="inlineStr">
        <is>
          <t>Czech Republic</t>
        </is>
      </c>
      <c r="P392" s="3" t="inlineStr">
        <is>
          <t>Z92-CZ10004</t>
        </is>
      </c>
      <c r="Q392" s="3" t="inlineStr">
        <is>
          <t>77242113UCO2001</t>
        </is>
      </c>
    </row>
    <row r="393">
      <c r="A393" s="2" t="str">
        <f>HYPERLINK("https://vtmf.veevavault.com/ui/#doc_info/25731845/2/0", "77242113UCO2001-CZE-Z92-CZ10004-Other Curriculum Vitae-21 Aug 2025 (v2.0)")</f>
        <v>77242113UCO2001-CZE-Z92-CZ10004-Other Curriculum Vitae-21 Aug 2025 (v2.0)</v>
      </c>
      <c r="B393" s="3" t="inlineStr">
        <is>
          <t>Lenka Placha</t>
        </is>
      </c>
      <c r="C393" s="3" t="inlineStr">
        <is>
          <t>Site Management</t>
        </is>
      </c>
      <c r="D393" s="3" t="inlineStr">
        <is>
          <t>Site Set-up Documentation</t>
        </is>
      </c>
      <c r="E393" s="3" t="inlineStr">
        <is>
          <t>Other Curriculum Vitae</t>
        </is>
      </c>
      <c r="F393" s="3" t="inlineStr">
        <is>
          <t>CV_EN_pharmacist Krejcova Jana_revised_21Aug2025</t>
        </is>
      </c>
      <c r="G393" s="2" t="str">
        <f>HYPERLINK("https://vtmf.veevavault.com/ui/#doc_info/25731845/2/0", "VTMF-20543202")</f>
        <v>VTMF-20543202</v>
      </c>
      <c r="H393" s="3" t="inlineStr">
        <is>
          <t/>
        </is>
      </c>
      <c r="I393" s="3" t="inlineStr">
        <is>
          <t>Anthony Suarez (veeva.com)</t>
        </is>
      </c>
      <c r="J393" s="3" t="inlineStr">
        <is>
          <t>Lenka Placha</t>
        </is>
      </c>
      <c r="K393" s="4" t="n">
        <v>45897.82623842593</v>
      </c>
      <c r="L393" s="5" t="n">
        <v>45897.0</v>
      </c>
      <c r="M393" s="3" t="inlineStr">
        <is>
          <t>Approved</t>
        </is>
      </c>
      <c r="N393" s="3" t="inlineStr">
        <is>
          <t>Available for Distribution, CLIX Filing, Site Close</t>
        </is>
      </c>
      <c r="O393" s="3" t="inlineStr">
        <is>
          <t>Czech Republic</t>
        </is>
      </c>
      <c r="P393" s="3" t="inlineStr">
        <is>
          <t>Z92-CZ10004</t>
        </is>
      </c>
      <c r="Q393" s="3" t="inlineStr">
        <is>
          <t>77242113UCO2001</t>
        </is>
      </c>
    </row>
    <row r="394">
      <c r="A394" s="2" t="str">
        <f>HYPERLINK("https://vtmf.veevavault.com/ui/#doc_info/25731910/2/0", "77242113UCO2001-CZE-Z92-CZ10004-Other Curriculum Vitae-21 Aug 2025 (v2.0)")</f>
        <v>77242113UCO2001-CZE-Z92-CZ10004-Other Curriculum Vitae-21 Aug 2025 (v2.0)</v>
      </c>
      <c r="B394" s="3" t="inlineStr">
        <is>
          <t>Lenka Placha</t>
        </is>
      </c>
      <c r="C394" s="3" t="inlineStr">
        <is>
          <t>Site Management</t>
        </is>
      </c>
      <c r="D394" s="3" t="inlineStr">
        <is>
          <t>Site Set-up Documentation</t>
        </is>
      </c>
      <c r="E394" s="3" t="inlineStr">
        <is>
          <t>Other Curriculum Vitae</t>
        </is>
      </c>
      <c r="F394" s="3" t="inlineStr">
        <is>
          <t>CV_EN_SN Hnidkova Miluse_revised_21Aug2025_Missing specification that completed ICH GCP course was R 3</t>
        </is>
      </c>
      <c r="G394" s="2" t="str">
        <f>HYPERLINK("https://vtmf.veevavault.com/ui/#doc_info/25731910/2/0", "VTMF-20543265")</f>
        <v>VTMF-20543265</v>
      </c>
      <c r="H394" s="3" t="inlineStr">
        <is>
          <t/>
        </is>
      </c>
      <c r="I394" s="3" t="inlineStr">
        <is>
          <t>System</t>
        </is>
      </c>
      <c r="J394" s="3" t="inlineStr">
        <is>
          <t>Lenka Placha</t>
        </is>
      </c>
      <c r="K394" s="4" t="n">
        <v>45897.82471064815</v>
      </c>
      <c r="L394" s="5" t="n">
        <v>45897.0</v>
      </c>
      <c r="M394" s="3" t="inlineStr">
        <is>
          <t>Approved</t>
        </is>
      </c>
      <c r="N394" s="3" t="inlineStr">
        <is>
          <t>Available for Distribution, CLIX Filing, Site Close</t>
        </is>
      </c>
      <c r="O394" s="3" t="inlineStr">
        <is>
          <t>Czech Republic</t>
        </is>
      </c>
      <c r="P394" s="3" t="inlineStr">
        <is>
          <t>Z92-CZ10004</t>
        </is>
      </c>
      <c r="Q394" s="3" t="inlineStr">
        <is>
          <t>77242113UCO2001</t>
        </is>
      </c>
    </row>
    <row r="395">
      <c r="A395" s="2" t="str">
        <f>HYPERLINK("https://vtmf.veevavault.com/ui/#doc_info/25731911/2/0", "77242113UCO2001-CZE-Z92-CZ10004-Other Curriculum Vitae-21 Aug 2025 (v2.0)")</f>
        <v>77242113UCO2001-CZE-Z92-CZ10004-Other Curriculum Vitae-21 Aug 2025 (v2.0)</v>
      </c>
      <c r="B395" s="3" t="inlineStr">
        <is>
          <t>Lenka Placha</t>
        </is>
      </c>
      <c r="C395" s="3" t="inlineStr">
        <is>
          <t>Site Management</t>
        </is>
      </c>
      <c r="D395" s="3" t="inlineStr">
        <is>
          <t>Site Set-up Documentation</t>
        </is>
      </c>
      <c r="E395" s="3" t="inlineStr">
        <is>
          <t>Other Curriculum Vitae</t>
        </is>
      </c>
      <c r="F395" s="3" t="inlineStr">
        <is>
          <t>CV_EN_SN Kutikova Simona_revised_21AUG2025_Information that is ICH GCP R3 training missing</t>
        </is>
      </c>
      <c r="G395" s="2" t="str">
        <f>HYPERLINK("https://vtmf.veevavault.com/ui/#doc_info/25731911/2/0", "VTMF-20543266")</f>
        <v>VTMF-20543266</v>
      </c>
      <c r="H395" s="3" t="inlineStr">
        <is>
          <t/>
        </is>
      </c>
      <c r="I395" s="3" t="inlineStr">
        <is>
          <t>System</t>
        </is>
      </c>
      <c r="J395" s="3" t="inlineStr">
        <is>
          <t>Agnesa Ruiz Kajtarova</t>
        </is>
      </c>
      <c r="K395" s="4" t="n">
        <v>45912.6466087963</v>
      </c>
      <c r="L395" s="5" t="n">
        <v>45912.0</v>
      </c>
      <c r="M395" s="3" t="inlineStr">
        <is>
          <t>Approved</t>
        </is>
      </c>
      <c r="N395" s="3" t="inlineStr">
        <is>
          <t>Available for Distribution, CLIX Filing, Site Close</t>
        </is>
      </c>
      <c r="O395" s="3" t="inlineStr">
        <is>
          <t>Czech Republic</t>
        </is>
      </c>
      <c r="P395" s="3" t="inlineStr">
        <is>
          <t>Z92-CZ10004</t>
        </is>
      </c>
      <c r="Q395" s="3" t="inlineStr">
        <is>
          <t>77242113UCO2001</t>
        </is>
      </c>
    </row>
    <row r="396">
      <c r="A396" s="2" t="str">
        <f>HYPERLINK("https://vtmf.veevavault.com/ui/#doc_info/25731912/2/0", "77242113UCO2001-CZE-Z92-CZ10004-Other Curriculum Vitae-21 Aug 2025 (v2.0)")</f>
        <v>77242113UCO2001-CZE-Z92-CZ10004-Other Curriculum Vitae-21 Aug 2025 (v2.0)</v>
      </c>
      <c r="B396" s="3" t="inlineStr">
        <is>
          <t>Lenka Placha</t>
        </is>
      </c>
      <c r="C396" s="3" t="inlineStr">
        <is>
          <t>Site Management</t>
        </is>
      </c>
      <c r="D396" s="3" t="inlineStr">
        <is>
          <t>Site Set-up Documentation</t>
        </is>
      </c>
      <c r="E396" s="3" t="inlineStr">
        <is>
          <t>Other Curriculum Vitae</t>
        </is>
      </c>
      <c r="F396" s="3" t="inlineStr">
        <is>
          <t>CV_EN_SN Zdarska Petra_revised_21AUG2025</t>
        </is>
      </c>
      <c r="G396" s="2" t="str">
        <f>HYPERLINK("https://vtmf.veevavault.com/ui/#doc_info/25731912/2/0", "VTMF-20543267")</f>
        <v>VTMF-20543267</v>
      </c>
      <c r="H396" s="3" t="inlineStr">
        <is>
          <t/>
        </is>
      </c>
      <c r="I396" s="3" t="inlineStr">
        <is>
          <t>System</t>
        </is>
      </c>
      <c r="J396" s="3" t="inlineStr">
        <is>
          <t>Agnesa Ruiz Kajtarova</t>
        </is>
      </c>
      <c r="K396" s="4" t="n">
        <v>45912.64815972222</v>
      </c>
      <c r="L396" s="5" t="n">
        <v>45912.0</v>
      </c>
      <c r="M396" s="3" t="inlineStr">
        <is>
          <t>Approved</t>
        </is>
      </c>
      <c r="N396" s="3" t="inlineStr">
        <is>
          <t>Available for Distribution, CLIX Filing, Site Close</t>
        </is>
      </c>
      <c r="O396" s="3" t="inlineStr">
        <is>
          <t>Czech Republic</t>
        </is>
      </c>
      <c r="P396" s="3" t="inlineStr">
        <is>
          <t>Z92-CZ10004</t>
        </is>
      </c>
      <c r="Q396" s="3" t="inlineStr">
        <is>
          <t>77242113UCO2001</t>
        </is>
      </c>
    </row>
    <row r="397">
      <c r="A397" s="2" t="str">
        <f>HYPERLINK("https://vtmf.veevavault.com/ui/#doc_info/31278303/1/0", "77242113UCO2001-CZE-Z92-CZ10004-Other Storage Documentation-18 Mar 2026 (v1.0)")</f>
        <v>77242113UCO2001-CZE-Z92-CZ10004-Other Storage Documentation-18 Mar 2026 (v1.0)</v>
      </c>
      <c r="B397" s="3" t="inlineStr">
        <is>
          <t>Michaela Sapíková</t>
        </is>
      </c>
      <c r="C397" s="3" t="inlineStr">
        <is>
          <t>IP and Trial Supplies</t>
        </is>
      </c>
      <c r="D397" s="3" t="inlineStr">
        <is>
          <t>Storage</t>
        </is>
      </c>
      <c r="E397" s="3" t="inlineStr">
        <is>
          <t>Other Storage Documentation</t>
        </is>
      </c>
      <c r="F397" s="3" t="inlineStr">
        <is>
          <t>Biological Sample Storage&amp;Shipment Form_CZ10004001_Apr2024-Nov2025</t>
        </is>
      </c>
      <c r="G397" s="2" t="str">
        <f>HYPERLINK("https://vtmf.veevavault.com/ui/#doc_info/31278303/1/0", "VTMF-25225561")</f>
        <v>VTMF-25225561</v>
      </c>
      <c r="H397" s="3" t="inlineStr">
        <is>
          <t/>
        </is>
      </c>
      <c r="I397" s="3" t="inlineStr">
        <is>
          <t>System</t>
        </is>
      </c>
      <c r="J397" s="3" t="inlineStr">
        <is>
          <t>Michaela Sapíková</t>
        </is>
      </c>
      <c r="K397" s="4" t="n">
        <v>46107.53842592592</v>
      </c>
      <c r="L397" s="5" t="n">
        <v>46107.0</v>
      </c>
      <c r="M397" s="3" t="inlineStr">
        <is>
          <t>Approved</t>
        </is>
      </c>
      <c r="N397" s="3" t="inlineStr">
        <is>
          <t>Not associated to a milestone</t>
        </is>
      </c>
      <c r="O397" s="3" t="inlineStr">
        <is>
          <t>Czech Republic</t>
        </is>
      </c>
      <c r="P397" s="3" t="inlineStr">
        <is>
          <t>Z92-CZ10004</t>
        </is>
      </c>
      <c r="Q397" s="3" t="inlineStr">
        <is>
          <t>77242113UCO2001</t>
        </is>
      </c>
    </row>
    <row r="398">
      <c r="A398" s="2" t="str">
        <f>HYPERLINK("https://vtmf.veevavault.com/ui/#doc_info/31278310/1/0", "77242113UCO2001-CZE-Z92-CZ10004-Other Storage Documentation-18 Mar 2026 (v1.0)")</f>
        <v>77242113UCO2001-CZE-Z92-CZ10004-Other Storage Documentation-18 Mar 2026 (v1.0)</v>
      </c>
      <c r="B398" s="3" t="inlineStr">
        <is>
          <t>Michaela Sapíková</t>
        </is>
      </c>
      <c r="C398" s="3" t="inlineStr">
        <is>
          <t>IP and Trial Supplies</t>
        </is>
      </c>
      <c r="D398" s="3" t="inlineStr">
        <is>
          <t>Storage</t>
        </is>
      </c>
      <c r="E398" s="3" t="inlineStr">
        <is>
          <t>Other Storage Documentation</t>
        </is>
      </c>
      <c r="F398" s="3" t="inlineStr">
        <is>
          <t>Biological Sample Storage&amp;Shipment Form_CZ10004002_May2024-Dec2025</t>
        </is>
      </c>
      <c r="G398" s="2" t="str">
        <f>HYPERLINK("https://vtmf.veevavault.com/ui/#doc_info/31278310/1/0", "VTMF-25225570")</f>
        <v>VTMF-25225570</v>
      </c>
      <c r="H398" s="3" t="inlineStr">
        <is>
          <t/>
        </is>
      </c>
      <c r="I398" s="3" t="inlineStr">
        <is>
          <t>System</t>
        </is>
      </c>
      <c r="J398" s="3" t="inlineStr">
        <is>
          <t>Michaela Sapíková</t>
        </is>
      </c>
      <c r="K398" s="4" t="n">
        <v>46107.539768518516</v>
      </c>
      <c r="L398" s="5" t="n">
        <v>46107.0</v>
      </c>
      <c r="M398" s="3" t="inlineStr">
        <is>
          <t>Approved</t>
        </is>
      </c>
      <c r="N398" s="3" t="inlineStr">
        <is>
          <t>Not associated to a milestone</t>
        </is>
      </c>
      <c r="O398" s="3" t="inlineStr">
        <is>
          <t>Czech Republic</t>
        </is>
      </c>
      <c r="P398" s="3" t="inlineStr">
        <is>
          <t>Z92-CZ10004</t>
        </is>
      </c>
      <c r="Q398" s="3" t="inlineStr">
        <is>
          <t>77242113UCO2001</t>
        </is>
      </c>
    </row>
    <row r="399">
      <c r="A399" s="2" t="str">
        <f>HYPERLINK("https://vtmf.veevavault.com/ui/#doc_info/24139615/1/0", "77242113UCO2001-CZE-Z92-CZ10004-Pre Trial Monitoring Report-18 May 2023 (v1.0)")</f>
        <v>77242113UCO2001-CZE-Z92-CZ10004-Pre Trial Monitoring Report-18 May 2023 (v1.0)</v>
      </c>
      <c r="B399" s="3" t="inlineStr">
        <is>
          <t>Admin User Medidata</t>
        </is>
      </c>
      <c r="C399" s="3" t="inlineStr">
        <is>
          <t>Site Management</t>
        </is>
      </c>
      <c r="D399" s="3" t="inlineStr">
        <is>
          <t>Site Selection</t>
        </is>
      </c>
      <c r="E399" s="3" t="inlineStr">
        <is>
          <t>Pre Trial Monitoring Report</t>
        </is>
      </c>
      <c r="F399" s="3" t="inlineStr">
        <is>
          <t/>
        </is>
      </c>
      <c r="G399" s="2" t="str">
        <f>HYPERLINK("https://vtmf.veevavault.com/ui/#doc_info/24139615/1/0", "VTMF-19152199")</f>
        <v>VTMF-19152199</v>
      </c>
      <c r="H399" s="3" t="inlineStr">
        <is>
          <t/>
        </is>
      </c>
      <c r="I399" s="3" t="inlineStr">
        <is>
          <t>System</t>
        </is>
      </c>
      <c r="J399" s="3" t="inlineStr">
        <is>
          <t>Admin User Medidata</t>
        </is>
      </c>
      <c r="K399" s="4" t="n">
        <v>45071.48368055555</v>
      </c>
      <c r="L399" s="5" t="n">
        <v>45071.0</v>
      </c>
      <c r="M399" s="3" t="inlineStr">
        <is>
          <t>Approved</t>
        </is>
      </c>
      <c r="N399" s="3" t="inlineStr">
        <is>
          <t>Available for Distribution, Site Start</t>
        </is>
      </c>
      <c r="O399" s="3" t="inlineStr">
        <is>
          <t>Czech Republic</t>
        </is>
      </c>
      <c r="P399" s="3" t="inlineStr">
        <is>
          <t>Z92-CZ10004</t>
        </is>
      </c>
      <c r="Q399" s="3" t="inlineStr">
        <is>
          <t>77242113UCO2001</t>
        </is>
      </c>
    </row>
    <row r="400">
      <c r="A400" s="2" t="str">
        <f>HYPERLINK("https://vtmf.veevavault.com/ui/#doc_info/24433661/2/0", "77242113UCO2001-CZE-Z92-CZ10004-Principal Investigator Curriculum Vitae-11 Jul 2023 (v2.0)")</f>
        <v>77242113UCO2001-CZE-Z92-CZ10004-Principal Investigator Curriculum Vitae-11 Jul 2023 (v2.0)</v>
      </c>
      <c r="B400" s="3" t="inlineStr">
        <is>
          <t>Jitka Kone</t>
        </is>
      </c>
      <c r="C400" s="3" t="inlineStr">
        <is>
          <t>Site Management</t>
        </is>
      </c>
      <c r="D400" s="3" t="inlineStr">
        <is>
          <t>Site Set-up Documentation</t>
        </is>
      </c>
      <c r="E400" s="3" t="inlineStr">
        <is>
          <t>Principal Investigator Curriculum Vitae</t>
        </is>
      </c>
      <c r="F400" s="3" t="inlineStr">
        <is>
          <t>M1_CV Vanasek T_Hepato-gastroenterologie HK_CZ_CZE_77242113UCO2001_11Jul2023</t>
        </is>
      </c>
      <c r="G400" s="2" t="str">
        <f>HYPERLINK("https://vtmf.veevavault.com/ui/#doc_info/24433661/2/0", "VTMF-19407754")</f>
        <v>VTMF-19407754</v>
      </c>
      <c r="H400" s="3" t="inlineStr">
        <is>
          <t/>
        </is>
      </c>
      <c r="I400" s="3" t="inlineStr">
        <is>
          <t>Anthony Suarez (veeva.com)</t>
        </is>
      </c>
      <c r="J400" s="3" t="inlineStr">
        <is>
          <t>Jitka Kone</t>
        </is>
      </c>
      <c r="K400" s="4" t="n">
        <v>45119.6990625</v>
      </c>
      <c r="L400" s="5" t="n">
        <v>45119.0</v>
      </c>
      <c r="M400" s="3" t="inlineStr">
        <is>
          <t>Approved</t>
        </is>
      </c>
      <c r="N400" s="3" t="inlineStr">
        <is>
          <t>Available for Distribution, CLIX Filing, Site Close</t>
        </is>
      </c>
      <c r="O400" s="3" t="inlineStr">
        <is>
          <t>Czech Republic</t>
        </is>
      </c>
      <c r="P400" s="3" t="inlineStr">
        <is>
          <t>Z92-CZ10004</t>
        </is>
      </c>
      <c r="Q400" s="3" t="inlineStr">
        <is>
          <t>77242113UCO2001</t>
        </is>
      </c>
    </row>
    <row r="401">
      <c r="A401" s="2" t="str">
        <f>HYPERLINK("https://vtmf.veevavault.com/ui/#doc_info/24435004/1/0", "77242113UCO2001-CZE-Z92-CZ10004-Principal Investigator Curriculum Vitae-11 Jul 2023 (v1.0)")</f>
        <v>77242113UCO2001-CZE-Z92-CZ10004-Principal Investigator Curriculum Vitae-11 Jul 2023 (v1.0)</v>
      </c>
      <c r="B401" s="3" t="inlineStr">
        <is>
          <t>Marketa Zachova</t>
        </is>
      </c>
      <c r="C401" s="3" t="inlineStr">
        <is>
          <t>Site Management</t>
        </is>
      </c>
      <c r="D401" s="3" t="inlineStr">
        <is>
          <t>Site Set-up Documentation</t>
        </is>
      </c>
      <c r="E401" s="3" t="inlineStr">
        <is>
          <t>Principal Investigator Curriculum Vitae</t>
        </is>
      </c>
      <c r="F401" s="3" t="inlineStr">
        <is>
          <t>REDACTED_M1_CV Vanasek T_Hepato-gastroenterologie HK_CZ_CZE_77242113UCO2001_11Jul2023</t>
        </is>
      </c>
      <c r="G401" s="2" t="str">
        <f>HYPERLINK("https://vtmf.veevavault.com/ui/#doc_info/24435004/1/0", "VTMF-19408864")</f>
        <v>VTMF-19408864</v>
      </c>
      <c r="H401" s="3" t="inlineStr">
        <is>
          <t/>
        </is>
      </c>
      <c r="I401" s="3" t="inlineStr">
        <is>
          <t>Anthony Suarez (veeva.com)</t>
        </is>
      </c>
      <c r="J401" s="3" t="inlineStr">
        <is>
          <t>Marketa Zachova</t>
        </is>
      </c>
      <c r="K401" s="4" t="n">
        <v>45119.84614583333</v>
      </c>
      <c r="L401" s="5" t="n">
        <v>45119.0</v>
      </c>
      <c r="M401" s="3" t="inlineStr">
        <is>
          <t>Approved</t>
        </is>
      </c>
      <c r="N401" s="3" t="inlineStr">
        <is>
          <t>Available for Distribution, CLIX Filing, Site Close</t>
        </is>
      </c>
      <c r="O401" s="3" t="inlineStr">
        <is>
          <t>Czech Republic</t>
        </is>
      </c>
      <c r="P401" s="3" t="inlineStr">
        <is>
          <t>Z92-CZ10004</t>
        </is>
      </c>
      <c r="Q401" s="3" t="inlineStr">
        <is>
          <t>77242113UCO2001</t>
        </is>
      </c>
    </row>
    <row r="402">
      <c r="A402" s="2" t="str">
        <f>HYPERLINK("https://vtmf.veevavault.com/ui/#doc_info/24106741/2/0", "77242113UCO2001-CZE-Z92-CZ10004-Principal Investigator Curriculum Vitae-21 Aug 2025 (v2.0)")</f>
        <v>77242113UCO2001-CZE-Z92-CZ10004-Principal Investigator Curriculum Vitae-21 Aug 2025 (v2.0)</v>
      </c>
      <c r="B402" s="3" t="inlineStr">
        <is>
          <t>EDL Admin</t>
        </is>
      </c>
      <c r="C402" s="3" t="inlineStr">
        <is>
          <t>Site Management</t>
        </is>
      </c>
      <c r="D402" s="3" t="inlineStr">
        <is>
          <t>Site Set-up Documentation</t>
        </is>
      </c>
      <c r="E402" s="3" t="inlineStr">
        <is>
          <t>Principal Investigator Curriculum Vitae</t>
        </is>
      </c>
      <c r="F402" s="3" t="inlineStr">
        <is>
          <t>CV_EN_PI Vanasek Tomas_revised_site_CZ92-CZ10004_21Aug2025</t>
        </is>
      </c>
      <c r="G402" s="2" t="str">
        <f>HYPERLINK("https://vtmf.veevavault.com/ui/#doc_info/24106741/2/0", "VTMF-19121352")</f>
        <v>VTMF-19121352</v>
      </c>
      <c r="H402" s="3" t="inlineStr">
        <is>
          <t/>
        </is>
      </c>
      <c r="I402" s="3" t="inlineStr">
        <is>
          <t>Anthony Suarez (veeva.com)</t>
        </is>
      </c>
      <c r="J402" s="3" t="inlineStr">
        <is>
          <t>Lenka Placha</t>
        </is>
      </c>
      <c r="K402" s="4" t="n">
        <v>45897.82209490741</v>
      </c>
      <c r="L402" s="5" t="n">
        <v>45897.0</v>
      </c>
      <c r="M402" s="3" t="inlineStr">
        <is>
          <t>Approved</t>
        </is>
      </c>
      <c r="N402" s="3" t="inlineStr">
        <is>
          <t>Available for Distribution, CLIX Filing, Site Close</t>
        </is>
      </c>
      <c r="O402" s="3" t="inlineStr">
        <is>
          <t>Czech Republic</t>
        </is>
      </c>
      <c r="P402" s="3" t="inlineStr">
        <is>
          <t>Z92-CZ10004</t>
        </is>
      </c>
      <c r="Q402" s="3" t="inlineStr">
        <is>
          <t>77242113UCO2001</t>
        </is>
      </c>
    </row>
    <row r="403">
      <c r="A403" s="2" t="str">
        <f>HYPERLINK("https://vtmf.veevavault.com/ui/#doc_info/25709441/1/0", "77242113UCO2001-CZE-Z92-CZ10004-Principal Investigator Financial Disclosure Form-07 Feb 2024 (v1.0)")</f>
        <v>77242113UCO2001-CZE-Z92-CZ10004-Principal Investigator Financial Disclosure Form-07 Feb 2024 (v1.0)</v>
      </c>
      <c r="B403" s="3" t="inlineStr">
        <is>
          <t>Lenka Placha</t>
        </is>
      </c>
      <c r="C403" s="3" t="inlineStr">
        <is>
          <t>Site Management</t>
        </is>
      </c>
      <c r="D403" s="3" t="inlineStr">
        <is>
          <t>Site Set-up Documentation</t>
        </is>
      </c>
      <c r="E403" s="3" t="inlineStr">
        <is>
          <t>Principal Investigator Financial Disclosure Form</t>
        </is>
      </c>
      <c r="F403" s="3" t="inlineStr">
        <is>
          <t>IFDF_PI Vanasek Tomas_initial_site_CZ92-CZ10004_07Feb24</t>
        </is>
      </c>
      <c r="G403" s="2" t="str">
        <f>HYPERLINK("https://vtmf.veevavault.com/ui/#doc_info/25709441/1/0", "VTMF-20523589")</f>
        <v>VTMF-20523589</v>
      </c>
      <c r="H403" s="3" t="inlineStr">
        <is>
          <t/>
        </is>
      </c>
      <c r="I403" s="3" t="inlineStr">
        <is>
          <t>Anthony Suarez (veeva.com)</t>
        </is>
      </c>
      <c r="J403" s="3" t="inlineStr">
        <is>
          <t>Lenka Placha</t>
        </is>
      </c>
      <c r="K403" s="4" t="n">
        <v>45335.74230324074</v>
      </c>
      <c r="L403" s="5" t="n">
        <v>45335.0</v>
      </c>
      <c r="M403" s="3" t="inlineStr">
        <is>
          <t>Approved</t>
        </is>
      </c>
      <c r="N403" s="3" t="inlineStr">
        <is>
          <t>Available for Distribution</t>
        </is>
      </c>
      <c r="O403" s="3" t="inlineStr">
        <is>
          <t>Czech Republic</t>
        </is>
      </c>
      <c r="P403" s="3" t="inlineStr">
        <is>
          <t>Z92-CZ10004</t>
        </is>
      </c>
      <c r="Q403" s="3" t="inlineStr">
        <is>
          <t>77242113UCO2001</t>
        </is>
      </c>
    </row>
    <row r="404">
      <c r="A404" s="2" t="str">
        <f>HYPERLINK("https://vtmf.veevavault.com/ui/#doc_info/24382793/1/0", "77242113UCO2001-CZE-Z92-CZ10004-Principal Investigator Financial Disclosure Form-21 Jun 2023 (v1.0)")</f>
        <v>77242113UCO2001-CZE-Z92-CZ10004-Principal Investigator Financial Disclosure Form-21 Jun 2023 (v1.0)</v>
      </c>
      <c r="B404" s="3" t="inlineStr">
        <is>
          <t>Marketa Zachova</t>
        </is>
      </c>
      <c r="C404" s="3" t="inlineStr">
        <is>
          <t>Site Management</t>
        </is>
      </c>
      <c r="D404" s="3" t="inlineStr">
        <is>
          <t>Site Set-up Documentation</t>
        </is>
      </c>
      <c r="E404" s="3" t="inlineStr">
        <is>
          <t>Principal Investigator Financial Disclosure Form</t>
        </is>
      </c>
      <c r="F404" s="3" t="inlineStr">
        <is>
          <t>M2_DoI Vanasek T_Hepato-gastroenterologie HK_CZ_CZE_77242113UCO2001_v1_21Jun2023</t>
        </is>
      </c>
      <c r="G404" s="2" t="str">
        <f>HYPERLINK("https://vtmf.veevavault.com/ui/#doc_info/24382793/1/0", "VTMF-19364263")</f>
        <v>VTMF-19364263</v>
      </c>
      <c r="H404" s="3" t="inlineStr">
        <is>
          <t/>
        </is>
      </c>
      <c r="I404" s="3" t="inlineStr">
        <is>
          <t>System</t>
        </is>
      </c>
      <c r="J404" s="3" t="inlineStr">
        <is>
          <t>Marketa Zachova</t>
        </is>
      </c>
      <c r="K404" s="4" t="n">
        <v>45111.503587962965</v>
      </c>
      <c r="L404" s="5" t="n">
        <v>45111.0</v>
      </c>
      <c r="M404" s="3" t="inlineStr">
        <is>
          <t>Approved</t>
        </is>
      </c>
      <c r="N404" s="3" t="inlineStr">
        <is>
          <t>Available for Distribution</t>
        </is>
      </c>
      <c r="O404" s="3" t="inlineStr">
        <is>
          <t>Czech Republic</t>
        </is>
      </c>
      <c r="P404" s="3" t="inlineStr">
        <is>
          <t>Z92-CZ10004</t>
        </is>
      </c>
      <c r="Q404" s="3" t="inlineStr">
        <is>
          <t>77242113UCO2001</t>
        </is>
      </c>
    </row>
    <row r="405">
      <c r="A405" s="2" t="str">
        <f>HYPERLINK("https://vtmf.veevavault.com/ui/#doc_info/24384635/1/0", "77242113UCO2001-CZE-Z92-CZ10004-Principal Investigator Financial Disclosure Form-21 Jun 2023 (v1.0)")</f>
        <v>77242113UCO2001-CZE-Z92-CZ10004-Principal Investigator Financial Disclosure Form-21 Jun 2023 (v1.0)</v>
      </c>
      <c r="B405" s="3" t="inlineStr">
        <is>
          <t>Jitka Kone</t>
        </is>
      </c>
      <c r="C405" s="3" t="inlineStr">
        <is>
          <t>Site Management</t>
        </is>
      </c>
      <c r="D405" s="3" t="inlineStr">
        <is>
          <t>Site Set-up Documentation</t>
        </is>
      </c>
      <c r="E405" s="3" t="inlineStr">
        <is>
          <t>Principal Investigator Financial Disclosure Form</t>
        </is>
      </c>
      <c r="F405" s="3" t="inlineStr">
        <is>
          <t>REDACTED_M2_DoI Vanasek T_Hepato-gastroenterologie HK_CZ_CZE_77242113UCO2001_v1_21Jun2023</t>
        </is>
      </c>
      <c r="G405" s="2" t="str">
        <f>HYPERLINK("https://vtmf.veevavault.com/ui/#doc_info/24384635/1/0", "VTMF-19365812")</f>
        <v>VTMF-19365812</v>
      </c>
      <c r="H405" s="3" t="inlineStr">
        <is>
          <t/>
        </is>
      </c>
      <c r="I405" s="3" t="inlineStr">
        <is>
          <t>System</t>
        </is>
      </c>
      <c r="J405" s="3" t="inlineStr">
        <is>
          <t>Jitka Kone</t>
        </is>
      </c>
      <c r="K405" s="4" t="n">
        <v>45111.685532407406</v>
      </c>
      <c r="L405" s="5" t="n">
        <v>45111.0</v>
      </c>
      <c r="M405" s="3" t="inlineStr">
        <is>
          <t>Approved</t>
        </is>
      </c>
      <c r="N405" s="3" t="inlineStr">
        <is>
          <t>Available for Distribution</t>
        </is>
      </c>
      <c r="O405" s="3" t="inlineStr">
        <is>
          <t>Czech Republic</t>
        </is>
      </c>
      <c r="P405" s="3" t="inlineStr">
        <is>
          <t>Z92-CZ10004</t>
        </is>
      </c>
      <c r="Q405" s="3" t="inlineStr">
        <is>
          <t>77242113UCO2001</t>
        </is>
      </c>
    </row>
    <row r="406">
      <c r="A406" s="2" t="str">
        <f>HYPERLINK("https://vtmf.veevavault.com/ui/#doc_info/25709170/1/0", "77242113UCO2001-CZE-Z92-CZ10004-Protocol Signature Page-07 Feb 2024 (v1.0)")</f>
        <v>77242113UCO2001-CZE-Z92-CZ10004-Protocol Signature Page-07 Feb 2024 (v1.0)</v>
      </c>
      <c r="B406" s="3" t="inlineStr">
        <is>
          <t>Lenka Placha</t>
        </is>
      </c>
      <c r="C406" s="3" t="inlineStr">
        <is>
          <t>Site Management</t>
        </is>
      </c>
      <c r="D406" s="3" t="inlineStr">
        <is>
          <t>Site Set-up Documentation</t>
        </is>
      </c>
      <c r="E406" s="3" t="inlineStr">
        <is>
          <t>Protocol Signature Page</t>
        </is>
      </c>
      <c r="F406" s="3" t="inlineStr">
        <is>
          <t>PSP_Vanasek Tomas_Protocol Amendment #2 , dated 31Oct2023_ 07Feb24</t>
        </is>
      </c>
      <c r="G406" s="2" t="str">
        <f>HYPERLINK("https://vtmf.veevavault.com/ui/#doc_info/25709170/1/0", "VTMF-20523386")</f>
        <v>VTMF-20523386</v>
      </c>
      <c r="H406" s="3" t="inlineStr">
        <is>
          <t/>
        </is>
      </c>
      <c r="I406" s="3" t="inlineStr">
        <is>
          <t>Anthony Suarez (veeva.com)</t>
        </is>
      </c>
      <c r="J406" s="3" t="inlineStr">
        <is>
          <t>Lenka Placha</t>
        </is>
      </c>
      <c r="K406" s="4" t="n">
        <v>45335.720138888886</v>
      </c>
      <c r="L406" s="5" t="n">
        <v>45335.0</v>
      </c>
      <c r="M406" s="3" t="inlineStr">
        <is>
          <t>Approved</t>
        </is>
      </c>
      <c r="N406" s="3" t="inlineStr">
        <is>
          <t>Available for Distribution, CLIX Filing, Site Close</t>
        </is>
      </c>
      <c r="O406" s="3" t="inlineStr">
        <is>
          <t>Czech Republic</t>
        </is>
      </c>
      <c r="P406" s="3" t="inlineStr">
        <is>
          <t>Z92-CZ10004</t>
        </is>
      </c>
      <c r="Q406" s="3" t="inlineStr">
        <is>
          <t>77242113UCO2001</t>
        </is>
      </c>
    </row>
    <row r="407">
      <c r="A407" s="2" t="str">
        <f>HYPERLINK("https://vtmf.veevavault.com/ui/#doc_info/26768687/1/0", "77242113UCO2001-CZE-Z92-CZ10004-Protocol Signature Page-26 Jun 2024 (v1.0)")</f>
        <v>77242113UCO2001-CZE-Z92-CZ10004-Protocol Signature Page-26 Jun 2024 (v1.0)</v>
      </c>
      <c r="B407" s="3" t="inlineStr">
        <is>
          <t>Lenka Placha</t>
        </is>
      </c>
      <c r="C407" s="3" t="inlineStr">
        <is>
          <t>Site Management</t>
        </is>
      </c>
      <c r="D407" s="3" t="inlineStr">
        <is>
          <t>Site Set-up Documentation</t>
        </is>
      </c>
      <c r="E407" s="3" t="inlineStr">
        <is>
          <t>Protocol Signature Page</t>
        </is>
      </c>
      <c r="F407" s="3" t="inlineStr">
        <is>
          <t>PSP_Vanasek Tomas_Protocol Amendment #3 , dated 02Apr2024_ 26Jun24</t>
        </is>
      </c>
      <c r="G407" s="2" t="str">
        <f>HYPERLINK("https://vtmf.veevavault.com/ui/#doc_info/26768687/1/0", "VTMF-21452102")</f>
        <v>VTMF-21452102</v>
      </c>
      <c r="H407" s="3" t="inlineStr">
        <is>
          <t/>
        </is>
      </c>
      <c r="I407" s="3" t="inlineStr">
        <is>
          <t>Anthony Suarez (veeva.com)</t>
        </is>
      </c>
      <c r="J407" s="3" t="inlineStr">
        <is>
          <t>Lenka Placha</t>
        </is>
      </c>
      <c r="K407" s="4" t="n">
        <v>45498.45234953704</v>
      </c>
      <c r="L407" s="5" t="n">
        <v>45498.0</v>
      </c>
      <c r="M407" s="3" t="inlineStr">
        <is>
          <t>Approved</t>
        </is>
      </c>
      <c r="N407" s="3" t="inlineStr">
        <is>
          <t>Available for Distribution, CLIX Filing, Site Close</t>
        </is>
      </c>
      <c r="O407" s="3" t="inlineStr">
        <is>
          <t>Czech Republic</t>
        </is>
      </c>
      <c r="P407" s="3" t="inlineStr">
        <is>
          <t>Z92-CZ10004</t>
        </is>
      </c>
      <c r="Q407" s="3" t="inlineStr">
        <is>
          <t>77242113UCO2001</t>
        </is>
      </c>
    </row>
    <row r="408">
      <c r="A408" s="2" t="str">
        <f>HYPERLINK("https://vtmf.veevavault.com/ui/#doc_info/27052899/1/0", "77242113UCO2001-CZE-Z92-CZ10004-Quality Review Documentation-10 Sep 2024 (v1.0)")</f>
        <v>77242113UCO2001-CZE-Z92-CZ10004-Quality Review Documentation-10 Sep 2024 (v1.0)</v>
      </c>
      <c r="B408" s="3" t="inlineStr">
        <is>
          <t>Lenka Placha</t>
        </is>
      </c>
      <c r="C408" s="3" t="inlineStr">
        <is>
          <t>Trial Management</t>
        </is>
      </c>
      <c r="D408" s="3" t="inlineStr">
        <is>
          <t>Trial Oversight</t>
        </is>
      </c>
      <c r="E408" s="3" t="inlineStr">
        <is>
          <t>Quality Review Documentation</t>
        </is>
      </c>
      <c r="F408" s="3" t="inlineStr">
        <is>
          <t>QRC Form_Site level_Site Z92-cZ10004_10Sep2024</t>
        </is>
      </c>
      <c r="G408" s="2" t="str">
        <f>HYPERLINK("https://vtmf.veevavault.com/ui/#doc_info/27052899/1/0", "VTMF-21684406")</f>
        <v>VTMF-21684406</v>
      </c>
      <c r="H408" s="3" t="inlineStr">
        <is>
          <t/>
        </is>
      </c>
      <c r="I408" s="3" t="inlineStr">
        <is>
          <t>System</t>
        </is>
      </c>
      <c r="J408" s="3" t="inlineStr">
        <is>
          <t>Lenka Placha</t>
        </is>
      </c>
      <c r="K408" s="4" t="n">
        <v>45545.97974537037</v>
      </c>
      <c r="L408" s="5" t="n">
        <v>45545.0</v>
      </c>
      <c r="M408" s="3" t="inlineStr">
        <is>
          <t>Approved</t>
        </is>
      </c>
      <c r="N408" s="3" t="inlineStr">
        <is>
          <t>Country Close, Site Close, Study Close</t>
        </is>
      </c>
      <c r="O408" s="3" t="inlineStr">
        <is>
          <t>Czech Republic</t>
        </is>
      </c>
      <c r="P408" s="3" t="inlineStr">
        <is>
          <t>Z92-CZ10004</t>
        </is>
      </c>
      <c r="Q408" s="3" t="inlineStr">
        <is>
          <t>77242113UCO2001</t>
        </is>
      </c>
    </row>
    <row r="409">
      <c r="A409" s="2" t="str">
        <f>HYPERLINK("https://vtmf.veevavault.com/ui/#doc_info/31741639/1/0", "77242113UCO2001-CZE-Z92-CZ10004-Quality Review Documentation-25 May 2026 (v1.0)")</f>
        <v>77242113UCO2001-CZE-Z92-CZ10004-Quality Review Documentation-25 May 2026 (v1.0)</v>
      </c>
      <c r="B409" s="3" t="inlineStr">
        <is>
          <t>Agnesa Ruiz Kajtarova</t>
        </is>
      </c>
      <c r="C409" s="3" t="inlineStr">
        <is>
          <t>Trial Management</t>
        </is>
      </c>
      <c r="D409" s="3" t="inlineStr">
        <is>
          <t>Trial Oversight</t>
        </is>
      </c>
      <c r="E409" s="3" t="inlineStr">
        <is>
          <t>Quality Review Documentation</t>
        </is>
      </c>
      <c r="F409" s="3" t="inlineStr">
        <is>
          <t>Final Quality Review_25MAY2026</t>
        </is>
      </c>
      <c r="G409" s="2" t="str">
        <f>HYPERLINK("https://vtmf.veevavault.com/ui/#doc_info/31741639/1/0", "VTMF-25618801")</f>
        <v>VTMF-25618801</v>
      </c>
      <c r="H409" s="3" t="inlineStr">
        <is>
          <t/>
        </is>
      </c>
      <c r="I409" s="3" t="inlineStr">
        <is>
          <t>System</t>
        </is>
      </c>
      <c r="J409" s="3" t="inlineStr">
        <is>
          <t>Agnesa Ruiz Kajtarova</t>
        </is>
      </c>
      <c r="K409" s="4" t="n">
        <v>46167.58806712963</v>
      </c>
      <c r="L409" s="5" t="n">
        <v>46167.0</v>
      </c>
      <c r="M409" s="3" t="inlineStr">
        <is>
          <t>Approved</t>
        </is>
      </c>
      <c r="N409" s="3" t="inlineStr">
        <is>
          <t>Country Close, Site Close, Study Close</t>
        </is>
      </c>
      <c r="O409" s="3" t="inlineStr">
        <is>
          <t>Czech Republic</t>
        </is>
      </c>
      <c r="P409" s="3" t="inlineStr">
        <is>
          <t>Z92-CZ10004</t>
        </is>
      </c>
      <c r="Q409" s="3" t="inlineStr">
        <is>
          <t>77242113UCO2001</t>
        </is>
      </c>
    </row>
    <row r="410">
      <c r="A410" s="2" t="str">
        <f>HYPERLINK("https://vtmf.veevavault.com/ui/#doc_info/31742162/1/0", "77242113UCO2001-CZE-Z92-CZ10004-Quality Review Documentation-25 May 2026 (v1.0)")</f>
        <v>77242113UCO2001-CZE-Z92-CZ10004-Quality Review Documentation-25 May 2026 (v1.0)</v>
      </c>
      <c r="B410" s="3" t="inlineStr">
        <is>
          <t>Agnesa Ruiz Kajtarova</t>
        </is>
      </c>
      <c r="C410" s="3" t="inlineStr">
        <is>
          <t>Trial Management</t>
        </is>
      </c>
      <c r="D410" s="3" t="inlineStr">
        <is>
          <t>Trial Oversight</t>
        </is>
      </c>
      <c r="E410" s="3" t="inlineStr">
        <is>
          <t>Quality Review Documentation</t>
        </is>
      </c>
      <c r="F410" s="3" t="inlineStr">
        <is>
          <t>Final Quality Review Confirmation Form_25MAY2026</t>
        </is>
      </c>
      <c r="G410" s="2" t="str">
        <f>HYPERLINK("https://vtmf.veevavault.com/ui/#doc_info/31742162/1/0", "VTMF-25619213")</f>
        <v>VTMF-25619213</v>
      </c>
      <c r="H410" s="3" t="inlineStr">
        <is>
          <t/>
        </is>
      </c>
      <c r="I410" s="3" t="inlineStr">
        <is>
          <t>System</t>
        </is>
      </c>
      <c r="J410" s="3" t="inlineStr">
        <is>
          <t>Agnesa Ruiz Kajtarova</t>
        </is>
      </c>
      <c r="K410" s="4" t="n">
        <v>46167.66805555556</v>
      </c>
      <c r="L410" s="5" t="n">
        <v>46167.0</v>
      </c>
      <c r="M410" s="3" t="inlineStr">
        <is>
          <t>Approved</t>
        </is>
      </c>
      <c r="N410" s="3" t="inlineStr">
        <is>
          <t>Country Close, Site Close, Study Close</t>
        </is>
      </c>
      <c r="O410" s="3" t="inlineStr">
        <is>
          <t>Czech Republic</t>
        </is>
      </c>
      <c r="P410" s="3" t="inlineStr">
        <is>
          <t>Z92-CZ10004</t>
        </is>
      </c>
      <c r="Q410" s="3" t="inlineStr">
        <is>
          <t>77242113UCO2001</t>
        </is>
      </c>
    </row>
    <row r="411">
      <c r="A411" s="2" t="str">
        <f>HYPERLINK("https://vtmf.veevavault.com/ui/#doc_info/27053105/2/0", "77242113UCO2001-CZE-Z92-CZ10004-Quality Review Documentation-28 Aug 2025 (v2.0)")</f>
        <v>77242113UCO2001-CZE-Z92-CZ10004-Quality Review Documentation-28 Aug 2025 (v2.0)</v>
      </c>
      <c r="B411" s="3" t="inlineStr">
        <is>
          <t>Lenka Placha</t>
        </is>
      </c>
      <c r="C411" s="3" t="inlineStr">
        <is>
          <t>Trial Management</t>
        </is>
      </c>
      <c r="D411" s="3" t="inlineStr">
        <is>
          <t>Trial Oversight</t>
        </is>
      </c>
      <c r="E411" s="3" t="inlineStr">
        <is>
          <t>Quality Review Documentation</t>
        </is>
      </c>
      <c r="F411" s="3" t="inlineStr">
        <is>
          <t>AQR_Evidence Report_Site level_Z92-CZ10004_28Aug2025</t>
        </is>
      </c>
      <c r="G411" s="2" t="str">
        <f>HYPERLINK("https://vtmf.veevavault.com/ui/#doc_info/27053105/2/0", "VTMF-21684418")</f>
        <v>VTMF-21684418</v>
      </c>
      <c r="H411" s="3" t="inlineStr">
        <is>
          <t/>
        </is>
      </c>
      <c r="I411" s="3" t="inlineStr">
        <is>
          <t>System</t>
        </is>
      </c>
      <c r="J411" s="3" t="inlineStr">
        <is>
          <t>Lenka Placha</t>
        </is>
      </c>
      <c r="K411" s="4" t="n">
        <v>45897.93181712963</v>
      </c>
      <c r="L411" s="5" t="n">
        <v>45897.0</v>
      </c>
      <c r="M411" s="3" t="inlineStr">
        <is>
          <t>Approved</t>
        </is>
      </c>
      <c r="N411" s="3" t="inlineStr">
        <is>
          <t>Country Close, Site Close, Study Close</t>
        </is>
      </c>
      <c r="O411" s="3" t="inlineStr">
        <is>
          <t>Czech Republic</t>
        </is>
      </c>
      <c r="P411" s="3" t="inlineStr">
        <is>
          <t>Z92-CZ10004</t>
        </is>
      </c>
      <c r="Q411" s="3" t="inlineStr">
        <is>
          <t>77242113UCO2001</t>
        </is>
      </c>
    </row>
    <row r="412">
      <c r="A412" s="2" t="str">
        <f>HYPERLINK("https://vtmf.veevavault.com/ui/#doc_info/29851687/1/0", "77242113UCO2001-CZE-Z92-CZ10004-Quality Review Documentation-28 Aug 2025 (v1.0)")</f>
        <v>77242113UCO2001-CZE-Z92-CZ10004-Quality Review Documentation-28 Aug 2025 (v1.0)</v>
      </c>
      <c r="B412" s="3" t="inlineStr">
        <is>
          <t>Lenka Placha</t>
        </is>
      </c>
      <c r="C412" s="3" t="inlineStr">
        <is>
          <t>Trial Management</t>
        </is>
      </c>
      <c r="D412" s="3" t="inlineStr">
        <is>
          <t>Trial Oversight</t>
        </is>
      </c>
      <c r="E412" s="3" t="inlineStr">
        <is>
          <t>Quality Review Documentation</t>
        </is>
      </c>
      <c r="F412" s="3" t="inlineStr">
        <is>
          <t>QRC Form_Site level_Site Z92-CZ10004_28Aug2025_Signature is missing</t>
        </is>
      </c>
      <c r="G412" s="2" t="str">
        <f>HYPERLINK("https://vtmf.veevavault.com/ui/#doc_info/29851687/1/0", "VTMF-24025970")</f>
        <v>VTMF-24025970</v>
      </c>
      <c r="H412" s="3" t="inlineStr">
        <is>
          <t/>
        </is>
      </c>
      <c r="I412" s="3" t="inlineStr">
        <is>
          <t>System</t>
        </is>
      </c>
      <c r="J412" s="3" t="inlineStr">
        <is>
          <t>Lenka Placha</t>
        </is>
      </c>
      <c r="K412" s="4" t="n">
        <v>45897.93431712963</v>
      </c>
      <c r="L412" s="5" t="n">
        <v>45897.0</v>
      </c>
      <c r="M412" s="3" t="inlineStr">
        <is>
          <t>Approved</t>
        </is>
      </c>
      <c r="N412" s="3" t="inlineStr">
        <is>
          <t>Country Close, Site Close, Study Close</t>
        </is>
      </c>
      <c r="O412" s="3" t="inlineStr">
        <is>
          <t>Czech Republic</t>
        </is>
      </c>
      <c r="P412" s="3" t="inlineStr">
        <is>
          <t>Z92-CZ10004</t>
        </is>
      </c>
      <c r="Q412" s="3" t="inlineStr">
        <is>
          <t>77242113UCO2001</t>
        </is>
      </c>
    </row>
    <row r="413">
      <c r="A413" s="2" t="str">
        <f>HYPERLINK("https://vtmf.veevavault.com/ui/#doc_info/25710004/1/0", "77242113UCO2001-CZE-Z92-CZ10004-Recruitment Plan-07 Feb 2024 (v1.0)")</f>
        <v>77242113UCO2001-CZE-Z92-CZ10004-Recruitment Plan-07 Feb 2024 (v1.0)</v>
      </c>
      <c r="B413" s="3" t="inlineStr">
        <is>
          <t>Lenka Placha</t>
        </is>
      </c>
      <c r="C413" s="3" t="inlineStr">
        <is>
          <t>Trial Management</t>
        </is>
      </c>
      <c r="D413" s="3" t="inlineStr">
        <is>
          <t>Trial Oversight</t>
        </is>
      </c>
      <c r="E413" s="3" t="inlineStr">
        <is>
          <t>Recruitment Plan</t>
        </is>
      </c>
      <c r="F413" s="3" t="inlineStr">
        <is>
          <t>Recruitment and Retention Plan_site Z92-CZ10004-07Feb24</t>
        </is>
      </c>
      <c r="G413" s="2" t="str">
        <f>HYPERLINK("https://vtmf.veevavault.com/ui/#doc_info/25710004/1/0", "VTMF-20524101")</f>
        <v>VTMF-20524101</v>
      </c>
      <c r="H413" s="3" t="inlineStr">
        <is>
          <t/>
        </is>
      </c>
      <c r="I413" s="3" t="inlineStr">
        <is>
          <t>Anthony Suarez (veeva.com)</t>
        </is>
      </c>
      <c r="J413" s="3" t="inlineStr">
        <is>
          <t>Lenka Placha</t>
        </is>
      </c>
      <c r="K413" s="4" t="n">
        <v>45335.826898148145</v>
      </c>
      <c r="L413" s="5" t="n">
        <v>45335.0</v>
      </c>
      <c r="M413" s="3" t="inlineStr">
        <is>
          <t>Approved</t>
        </is>
      </c>
      <c r="N413" s="3" t="inlineStr">
        <is>
          <t>Study Start</t>
        </is>
      </c>
      <c r="O413" s="3" t="inlineStr">
        <is>
          <t>Czech Republic</t>
        </is>
      </c>
      <c r="P413" s="3" t="inlineStr">
        <is>
          <t>Z92-CZ10004</t>
        </is>
      </c>
      <c r="Q413" s="3" t="inlineStr">
        <is>
          <t>77242113UCO2001</t>
        </is>
      </c>
    </row>
    <row r="414">
      <c r="A414" s="2" t="str">
        <f>HYPERLINK("https://vtmf.veevavault.com/ui/#doc_info/28222303/1/0", "77242113UCO2001-CZE-Z92-CZ10004-Relevant Communications-03 Feb 2025 (v1.0)")</f>
        <v>77242113UCO2001-CZE-Z92-CZ10004-Relevant Communications-03 Feb 2025 (v1.0)</v>
      </c>
      <c r="B414" s="3" t="inlineStr">
        <is>
          <t>Jitka Kone</t>
        </is>
      </c>
      <c r="C414" s="3" t="inlineStr">
        <is>
          <t>Site Management</t>
        </is>
      </c>
      <c r="D414" s="3" t="inlineStr">
        <is>
          <t>General</t>
        </is>
      </c>
      <c r="E414" s="3" t="inlineStr">
        <is>
          <t>Relevant Communications</t>
        </is>
      </c>
      <c r="F414" s="3" t="inlineStr">
        <is>
          <t>Cover letter_PCI 7.1 + EU CTR documentation</t>
        </is>
      </c>
      <c r="G414" s="2" t="str">
        <f>HYPERLINK("https://vtmf.veevavault.com/ui/#doc_info/28222303/1/0", "VTMF-22635522")</f>
        <v>VTMF-22635522</v>
      </c>
      <c r="H414" s="3" t="inlineStr">
        <is>
          <t/>
        </is>
      </c>
      <c r="I414" s="3" t="inlineStr">
        <is>
          <t>System</t>
        </is>
      </c>
      <c r="J414" s="3" t="inlineStr">
        <is>
          <t>Jitka Kone</t>
        </is>
      </c>
      <c r="K414" s="4" t="n">
        <v>45692.47729166667</v>
      </c>
      <c r="L414" s="5" t="n">
        <v>45692.0</v>
      </c>
      <c r="M414" s="3" t="inlineStr">
        <is>
          <t>Approved</t>
        </is>
      </c>
      <c r="N414" s="3" t="inlineStr">
        <is>
          <t>Available for Distribution, Country Close, Site Close, Study Close</t>
        </is>
      </c>
      <c r="O414" s="3" t="inlineStr">
        <is>
          <t>Czech Republic</t>
        </is>
      </c>
      <c r="P414" s="3" t="inlineStr">
        <is>
          <t>Z92-CZ10004</t>
        </is>
      </c>
      <c r="Q414" s="3" t="inlineStr">
        <is>
          <t>77242113UCO2001</t>
        </is>
      </c>
    </row>
    <row r="415">
      <c r="A415" s="2" t="str">
        <f>HYPERLINK("https://vtmf.veevavault.com/ui/#doc_info/27413454/1/0", "77242113UCO2001-CZE-Z92-CZ10004-Relevant Communications-05 Nov 2024 (v1.0)")</f>
        <v>77242113UCO2001-CZE-Z92-CZ10004-Relevant Communications-05 Nov 2024 (v1.0)</v>
      </c>
      <c r="B415" s="3" t="inlineStr">
        <is>
          <t>Lenka Placha</t>
        </is>
      </c>
      <c r="C415" s="3" t="inlineStr">
        <is>
          <t>Site Management</t>
        </is>
      </c>
      <c r="D415" s="3" t="inlineStr">
        <is>
          <t>General</t>
        </is>
      </c>
      <c r="E415" s="3" t="inlineStr">
        <is>
          <t>Relevant Communications</t>
        </is>
      </c>
      <c r="F415" s="3" t="inlineStr">
        <is>
          <t>email 05Nov24- information to site-new Alimentiv kit sent-  test video must be sent</t>
        </is>
      </c>
      <c r="G415" s="2" t="str">
        <f>HYPERLINK("https://vtmf.veevavault.com/ui/#doc_info/27413454/1/0", "VTMF-21990213")</f>
        <v>VTMF-21990213</v>
      </c>
      <c r="H415" s="3" t="inlineStr">
        <is>
          <t/>
        </is>
      </c>
      <c r="I415" s="3" t="inlineStr">
        <is>
          <t>System</t>
        </is>
      </c>
      <c r="J415" s="3" t="inlineStr">
        <is>
          <t>Lenka Placha</t>
        </is>
      </c>
      <c r="K415" s="4" t="n">
        <v>45601.35931712963</v>
      </c>
      <c r="L415" s="5" t="n">
        <v>45601.0</v>
      </c>
      <c r="M415" s="3" t="inlineStr">
        <is>
          <t>Approved</t>
        </is>
      </c>
      <c r="N415" s="3" t="inlineStr">
        <is>
          <t>Available for Distribution, Country Close, Site Close, Study Close</t>
        </is>
      </c>
      <c r="O415" s="3" t="inlineStr">
        <is>
          <t>Czech Republic</t>
        </is>
      </c>
      <c r="P415" s="3" t="inlineStr">
        <is>
          <t>Z92-CZ10004</t>
        </is>
      </c>
      <c r="Q415" s="3" t="inlineStr">
        <is>
          <t>77242113UCO2001</t>
        </is>
      </c>
    </row>
    <row r="416">
      <c r="A416" s="2" t="str">
        <f>HYPERLINK("https://vtmf.veevavault.com/ui/#doc_info/26856356/1/0", "77242113UCO2001-CZE-Z92-CZ10004-Relevant Communications-06 Aug 2024 (v1.0)")</f>
        <v>77242113UCO2001-CZE-Z92-CZ10004-Relevant Communications-06 Aug 2024 (v1.0)</v>
      </c>
      <c r="B416" s="3" t="inlineStr">
        <is>
          <t>Jitka Kone</t>
        </is>
      </c>
      <c r="C416" s="3" t="inlineStr">
        <is>
          <t>Site Management</t>
        </is>
      </c>
      <c r="D416" s="3" t="inlineStr">
        <is>
          <t>General</t>
        </is>
      </c>
      <c r="E416" s="3" t="inlineStr">
        <is>
          <t>Relevant Communications</t>
        </is>
      </c>
      <c r="F416" s="3" t="inlineStr">
        <is>
          <t>Letter to site_Pr.Am.3 + implementation</t>
        </is>
      </c>
      <c r="G416" s="2" t="str">
        <f>HYPERLINK("https://vtmf.veevavault.com/ui/#doc_info/26856356/1/0", "VTMF-21526045")</f>
        <v>VTMF-21526045</v>
      </c>
      <c r="H416" s="3" t="inlineStr">
        <is>
          <t/>
        </is>
      </c>
      <c r="I416" s="3" t="inlineStr">
        <is>
          <t>Anthony Suarez (veeva.com)</t>
        </is>
      </c>
      <c r="J416" s="3" t="inlineStr">
        <is>
          <t>Jitka Kone</t>
        </is>
      </c>
      <c r="K416" s="4" t="n">
        <v>45512.67799768518</v>
      </c>
      <c r="L416" s="5" t="n">
        <v>45512.0</v>
      </c>
      <c r="M416" s="3" t="inlineStr">
        <is>
          <t>Approved</t>
        </is>
      </c>
      <c r="N416" s="3" t="inlineStr">
        <is>
          <t>Available for Distribution, Country Close, Site Close, Study Close</t>
        </is>
      </c>
      <c r="O416" s="3" t="inlineStr">
        <is>
          <t>Czech Republic</t>
        </is>
      </c>
      <c r="P416" s="3" t="inlineStr">
        <is>
          <t>Z92-CZ10004</t>
        </is>
      </c>
      <c r="Q416" s="3" t="inlineStr">
        <is>
          <t>77242113UCO2001</t>
        </is>
      </c>
    </row>
    <row r="417">
      <c r="A417" s="2" t="str">
        <f>HYPERLINK("https://vtmf.veevavault.com/ui/#doc_info/28019725/1/0", "77242113UCO2001-CZE-Z92-CZ10004-Relevant Communications-06 Jan 2025 (v1.0)")</f>
        <v>77242113UCO2001-CZE-Z92-CZ10004-Relevant Communications-06 Jan 2025 (v1.0)</v>
      </c>
      <c r="B417" s="3" t="inlineStr">
        <is>
          <t>Lenka Placha</t>
        </is>
      </c>
      <c r="C417" s="3" t="inlineStr">
        <is>
          <t>Site Management</t>
        </is>
      </c>
      <c r="D417" s="3" t="inlineStr">
        <is>
          <t>General</t>
        </is>
      </c>
      <c r="E417" s="3" t="inlineStr">
        <is>
          <t>Relevant Communications</t>
        </is>
      </c>
      <c r="F417" s="3" t="inlineStr">
        <is>
          <t>email 06Jan25- new SAE form incl.instruction sent to site Z92-CZ10004</t>
        </is>
      </c>
      <c r="G417" s="2" t="str">
        <f>HYPERLINK("https://vtmf.veevavault.com/ui/#doc_info/28019725/1/0", "VTMF-22468774")</f>
        <v>VTMF-22468774</v>
      </c>
      <c r="H417" s="3" t="inlineStr">
        <is>
          <t/>
        </is>
      </c>
      <c r="I417" s="3" t="inlineStr">
        <is>
          <t>Lenka Placha</t>
        </is>
      </c>
      <c r="J417" s="3" t="inlineStr">
        <is>
          <t>Lenka Placha</t>
        </is>
      </c>
      <c r="K417" s="4" t="n">
        <v>45663.611296296294</v>
      </c>
      <c r="L417" s="5" t="n">
        <v>45663.0</v>
      </c>
      <c r="M417" s="3" t="inlineStr">
        <is>
          <t>Approved</t>
        </is>
      </c>
      <c r="N417" s="3" t="inlineStr">
        <is>
          <t>Available for Distribution, Country Close, Site Close, Study Close</t>
        </is>
      </c>
      <c r="O417" s="3" t="inlineStr">
        <is>
          <t>Czech Republic</t>
        </is>
      </c>
      <c r="P417" s="3" t="inlineStr">
        <is>
          <t>Z92-CZ10004</t>
        </is>
      </c>
      <c r="Q417" s="3" t="inlineStr">
        <is>
          <t>77242113UCO2001</t>
        </is>
      </c>
    </row>
    <row r="418">
      <c r="A418" s="2" t="str">
        <f>HYPERLINK("https://vtmf.veevavault.com/ui/#doc_info/26875955/1/0", "77242113UCO2001-CZE-Z92-CZ10004-Relevant Communications-07 Aug 2024 (v1.0)")</f>
        <v>77242113UCO2001-CZE-Z92-CZ10004-Relevant Communications-07 Aug 2024 (v1.0)</v>
      </c>
      <c r="B418" s="3" t="inlineStr">
        <is>
          <t>Lenka Placha</t>
        </is>
      </c>
      <c r="C418" s="3" t="inlineStr">
        <is>
          <t>IP and Trial Supplies</t>
        </is>
      </c>
      <c r="D418" s="3" t="inlineStr">
        <is>
          <t>General</t>
        </is>
      </c>
      <c r="E418" s="3" t="inlineStr">
        <is>
          <t>Relevant Communications</t>
        </is>
      </c>
      <c r="F418" s="3" t="inlineStr">
        <is>
          <t>email _07Aug24_site_Z92-CZ10004_notification to site- near expired IP kits should be stored separately -will be destroyed by SM</t>
        </is>
      </c>
      <c r="G418" s="2" t="str">
        <f>HYPERLINK("https://vtmf.veevavault.com/ui/#doc_info/26875955/1/0", "VTMF-21542958")</f>
        <v>VTMF-21542958</v>
      </c>
      <c r="H418" s="3" t="inlineStr">
        <is>
          <t/>
        </is>
      </c>
      <c r="I418" s="3" t="inlineStr">
        <is>
          <t>System</t>
        </is>
      </c>
      <c r="J418" s="3" t="inlineStr">
        <is>
          <t>Lenka Placha</t>
        </is>
      </c>
      <c r="K418" s="4" t="n">
        <v>45516.735</v>
      </c>
      <c r="L418" s="5" t="n">
        <v>45516.0</v>
      </c>
      <c r="M418" s="3" t="inlineStr">
        <is>
          <t>Approved</t>
        </is>
      </c>
      <c r="N418" s="3" t="inlineStr">
        <is>
          <t>Country Close, Site Close, Study Close</t>
        </is>
      </c>
      <c r="O418" s="3" t="inlineStr">
        <is>
          <t>Czech Republic</t>
        </is>
      </c>
      <c r="P418" s="3" t="inlineStr">
        <is>
          <t>Z92-CZ10004</t>
        </is>
      </c>
      <c r="Q418" s="3" t="inlineStr">
        <is>
          <t>77242113UCO2001</t>
        </is>
      </c>
    </row>
    <row r="419">
      <c r="A419" s="2" t="str">
        <f>HYPERLINK("https://vtmf.veevavault.com/ui/#doc_info/28622271/1/0", "77242113UCO2001-CZE-Z92-CZ10004-Relevant Communications-07 Mar 2025 (v1.0)")</f>
        <v>77242113UCO2001-CZE-Z92-CZ10004-Relevant Communications-07 Mar 2025 (v1.0)</v>
      </c>
      <c r="B419" s="3" t="inlineStr">
        <is>
          <t>Lenka Placha</t>
        </is>
      </c>
      <c r="C419" s="3" t="inlineStr">
        <is>
          <t>Site Management</t>
        </is>
      </c>
      <c r="D419" s="3" t="inlineStr">
        <is>
          <t>General</t>
        </is>
      </c>
      <c r="E419" s="3" t="inlineStr">
        <is>
          <t>Relevant Communications</t>
        </is>
      </c>
      <c r="F419" s="3" t="inlineStr">
        <is>
          <t>email 07Mar25-site Z92-CZ10004-SC confirmation Alimentiv laptop not needed</t>
        </is>
      </c>
      <c r="G419" s="2" t="str">
        <f>HYPERLINK("https://vtmf.veevavault.com/ui/#doc_info/28622271/1/0", "VTMF-22989409")</f>
        <v>VTMF-22989409</v>
      </c>
      <c r="H419" s="3" t="inlineStr">
        <is>
          <t/>
        </is>
      </c>
      <c r="I419" s="3" t="inlineStr">
        <is>
          <t>System</t>
        </is>
      </c>
      <c r="J419" s="3" t="inlineStr">
        <is>
          <t>Lenka Placha</t>
        </is>
      </c>
      <c r="K419" s="4" t="n">
        <v>45723.635833333334</v>
      </c>
      <c r="L419" s="5" t="n">
        <v>45723.0</v>
      </c>
      <c r="M419" s="3" t="inlineStr">
        <is>
          <t>Approved</t>
        </is>
      </c>
      <c r="N419" s="3" t="inlineStr">
        <is>
          <t>Available for Distribution, Country Close, Site Close, Study Close</t>
        </is>
      </c>
      <c r="O419" s="3" t="inlineStr">
        <is>
          <t>Czech Republic</t>
        </is>
      </c>
      <c r="P419" s="3" t="inlineStr">
        <is>
          <t>Z92-CZ10004</t>
        </is>
      </c>
      <c r="Q419" s="3" t="inlineStr">
        <is>
          <t>77242113UCO2001</t>
        </is>
      </c>
    </row>
    <row r="420">
      <c r="A420" s="2" t="str">
        <f>HYPERLINK("https://vtmf.veevavault.com/ui/#doc_info/26320722/1/0", "77242113UCO2001-CZE-Z92-CZ10004-Relevant Communications-07 May 2024 (v1.0)")</f>
        <v>77242113UCO2001-CZE-Z92-CZ10004-Relevant Communications-07 May 2024 (v1.0)</v>
      </c>
      <c r="B420" s="3" t="inlineStr">
        <is>
          <t>Lenka Placha</t>
        </is>
      </c>
      <c r="C420" s="3" t="inlineStr">
        <is>
          <t>Site Management</t>
        </is>
      </c>
      <c r="D420" s="3" t="inlineStr">
        <is>
          <t>General</t>
        </is>
      </c>
      <c r="E420" s="3" t="inlineStr">
        <is>
          <t>Relevant Communications</t>
        </is>
      </c>
      <c r="F420" s="3" t="inlineStr">
        <is>
          <t>ticket #T-CE00065200- site issue with endoscopy video recording_07May24</t>
        </is>
      </c>
      <c r="G420" s="2" t="str">
        <f>HYPERLINK("https://vtmf.veevavault.com/ui/#doc_info/26320722/1/0", "VTMF-21059834")</f>
        <v>VTMF-21059834</v>
      </c>
      <c r="H420" s="3" t="inlineStr">
        <is>
          <t/>
        </is>
      </c>
      <c r="I420" s="3" t="inlineStr">
        <is>
          <t>Lenka Placha</t>
        </is>
      </c>
      <c r="J420" s="3" t="inlineStr">
        <is>
          <t>Lenka Placha</t>
        </is>
      </c>
      <c r="K420" s="4" t="n">
        <v>45426.470625</v>
      </c>
      <c r="L420" s="5" t="n">
        <v>45426.0</v>
      </c>
      <c r="M420" s="3" t="inlineStr">
        <is>
          <t>Approved</t>
        </is>
      </c>
      <c r="N420" s="3" t="inlineStr">
        <is>
          <t>Available for Distribution, Country Close, Site Close, Study Close</t>
        </is>
      </c>
      <c r="O420" s="3" t="inlineStr">
        <is>
          <t>Czech Republic</t>
        </is>
      </c>
      <c r="P420" s="3" t="inlineStr">
        <is>
          <t>Z92-CZ10004</t>
        </is>
      </c>
      <c r="Q420" s="3" t="inlineStr">
        <is>
          <t>77242113UCO2001</t>
        </is>
      </c>
    </row>
    <row r="421">
      <c r="A421" s="2" t="str">
        <f>HYPERLINK("https://vtmf.veevavault.com/ui/#doc_info/25710023/1/0", "77242113UCO2001-CZE-Z92-CZ10004-Relevant Communications-13 Feb 2024 (v1.0)")</f>
        <v>77242113UCO2001-CZE-Z92-CZ10004-Relevant Communications-13 Feb 2024 (v1.0)</v>
      </c>
      <c r="B421" s="3" t="inlineStr">
        <is>
          <t>Lenka Placha</t>
        </is>
      </c>
      <c r="C421" s="3" t="inlineStr">
        <is>
          <t>Site Management</t>
        </is>
      </c>
      <c r="D421" s="3" t="inlineStr">
        <is>
          <t>General</t>
        </is>
      </c>
      <c r="E421" s="3" t="inlineStr">
        <is>
          <t>Relevant Communications</t>
        </is>
      </c>
      <c r="F421" s="3" t="inlineStr">
        <is>
          <t>email 13Feb24-completed recruitment retention plan sent to PI and SI</t>
        </is>
      </c>
      <c r="G421" s="2" t="str">
        <f>HYPERLINK("https://vtmf.veevavault.com/ui/#doc_info/25710023/1/0", "VTMF-20524120")</f>
        <v>VTMF-20524120</v>
      </c>
      <c r="H421" s="3" t="inlineStr">
        <is>
          <t/>
        </is>
      </c>
      <c r="I421" s="3" t="inlineStr">
        <is>
          <t>Lenka Placha</t>
        </is>
      </c>
      <c r="J421" s="3" t="inlineStr">
        <is>
          <t>Lenka Placha</t>
        </is>
      </c>
      <c r="K421" s="4" t="n">
        <v>45335.83025462963</v>
      </c>
      <c r="L421" s="5" t="n">
        <v>45335.0</v>
      </c>
      <c r="M421" s="3" t="inlineStr">
        <is>
          <t>Approved</t>
        </is>
      </c>
      <c r="N421" s="3" t="inlineStr">
        <is>
          <t>Available for Distribution, Country Close, Site Close, Study Close</t>
        </is>
      </c>
      <c r="O421" s="3" t="inlineStr">
        <is>
          <t>Czech Republic</t>
        </is>
      </c>
      <c r="P421" s="3" t="inlineStr">
        <is>
          <t>Z92-CZ10004</t>
        </is>
      </c>
      <c r="Q421" s="3" t="inlineStr">
        <is>
          <t>77242113UCO2001</t>
        </is>
      </c>
    </row>
    <row r="422">
      <c r="A422" s="2" t="str">
        <f>HYPERLINK("https://vtmf.veevavault.com/ui/#doc_info/26523120/1/0", "77242113UCO2001-CZE-Z92-CZ10004-Relevant Communications-14 Jun 2024 (v1.0)")</f>
        <v>77242113UCO2001-CZE-Z92-CZ10004-Relevant Communications-14 Jun 2024 (v1.0)</v>
      </c>
      <c r="B422" s="3" t="inlineStr">
        <is>
          <t>Lenka Placha</t>
        </is>
      </c>
      <c r="C422" s="3" t="inlineStr">
        <is>
          <t>Site Management</t>
        </is>
      </c>
      <c r="D422" s="3" t="inlineStr">
        <is>
          <t>General</t>
        </is>
      </c>
      <c r="E422" s="3" t="inlineStr">
        <is>
          <t>Relevant Communications</t>
        </is>
      </c>
      <c r="F422" s="3" t="inlineStr">
        <is>
          <t>email site Z92-CZ10004- info to site- expired lab kits need to be ordered new one_14Jun24</t>
        </is>
      </c>
      <c r="G422" s="2" t="str">
        <f>HYPERLINK("https://vtmf.veevavault.com/ui/#doc_info/26523120/1/0", "VTMF-21237954")</f>
        <v>VTMF-21237954</v>
      </c>
      <c r="H422" s="3" t="inlineStr">
        <is>
          <t/>
        </is>
      </c>
      <c r="I422" s="3" t="inlineStr">
        <is>
          <t>System</t>
        </is>
      </c>
      <c r="J422" s="3" t="inlineStr">
        <is>
          <t>Lenka Placha</t>
        </is>
      </c>
      <c r="K422" s="4" t="n">
        <v>45457.52591435185</v>
      </c>
      <c r="L422" s="5" t="n">
        <v>45457.0</v>
      </c>
      <c r="M422" s="3" t="inlineStr">
        <is>
          <t>Approved</t>
        </is>
      </c>
      <c r="N422" s="3" t="inlineStr">
        <is>
          <t>Available for Distribution, Country Close, Site Close, Study Close</t>
        </is>
      </c>
      <c r="O422" s="3" t="inlineStr">
        <is>
          <t>Czech Republic</t>
        </is>
      </c>
      <c r="P422" s="3" t="inlineStr">
        <is>
          <t>Z92-CZ10004</t>
        </is>
      </c>
      <c r="Q422" s="3" t="inlineStr">
        <is>
          <t>77242113UCO2001</t>
        </is>
      </c>
    </row>
    <row r="423">
      <c r="A423" s="2" t="str">
        <f>HYPERLINK("https://vtmf.veevavault.com/ui/#doc_info/26706684/1/0", "77242113UCO2001-CZE-Z92-CZ10004-Relevant Communications-15 Jul 2024 (v1.0)")</f>
        <v>77242113UCO2001-CZE-Z92-CZ10004-Relevant Communications-15 Jul 2024 (v1.0)</v>
      </c>
      <c r="B423" s="3" t="inlineStr">
        <is>
          <t>Lenka Placha</t>
        </is>
      </c>
      <c r="C423" s="3" t="inlineStr">
        <is>
          <t>Site Management</t>
        </is>
      </c>
      <c r="D423" s="3" t="inlineStr">
        <is>
          <t>General</t>
        </is>
      </c>
      <c r="E423" s="3" t="inlineStr">
        <is>
          <t>Relevant Communications</t>
        </is>
      </c>
      <c r="F423" s="3" t="inlineStr">
        <is>
          <t>email 15Jul24- notification to Pi and SC- pt.CZ100040001 does not fill in the diary repeatedly</t>
        </is>
      </c>
      <c r="G423" s="2" t="str">
        <f>HYPERLINK("https://vtmf.veevavault.com/ui/#doc_info/26706684/1/0", "VTMF-21398848")</f>
        <v>VTMF-21398848</v>
      </c>
      <c r="H423" s="3" t="inlineStr">
        <is>
          <t/>
        </is>
      </c>
      <c r="I423" s="3" t="inlineStr">
        <is>
          <t>System</t>
        </is>
      </c>
      <c r="J423" s="3" t="inlineStr">
        <is>
          <t>Lenka Placha</t>
        </is>
      </c>
      <c r="K423" s="4" t="n">
        <v>45488.393125</v>
      </c>
      <c r="L423" s="5" t="n">
        <v>45488.0</v>
      </c>
      <c r="M423" s="3" t="inlineStr">
        <is>
          <t>Approved</t>
        </is>
      </c>
      <c r="N423" s="3" t="inlineStr">
        <is>
          <t>Available for Distribution, Country Close, Site Close, Study Close</t>
        </is>
      </c>
      <c r="O423" s="3" t="inlineStr">
        <is>
          <t>Czech Republic</t>
        </is>
      </c>
      <c r="P423" s="3" t="inlineStr">
        <is>
          <t>Z92-CZ10004</t>
        </is>
      </c>
      <c r="Q423" s="3" t="inlineStr">
        <is>
          <t>77242113UCO2001</t>
        </is>
      </c>
    </row>
    <row r="424">
      <c r="A424" s="2" t="str">
        <f>HYPERLINK("https://vtmf.veevavault.com/ui/#doc_info/25939647/1/0", "77242113UCO2001-CZE-Z92-CZ10004-Relevant Communications-17 Mar 2024 (v1.0)")</f>
        <v>77242113UCO2001-CZE-Z92-CZ10004-Relevant Communications-17 Mar 2024 (v1.0)</v>
      </c>
      <c r="B424" s="3" t="inlineStr">
        <is>
          <t>Lenka Placha</t>
        </is>
      </c>
      <c r="C424" s="3" t="inlineStr">
        <is>
          <t>Site Management</t>
        </is>
      </c>
      <c r="D424" s="3" t="inlineStr">
        <is>
          <t>General</t>
        </is>
      </c>
      <c r="E424" s="3" t="inlineStr">
        <is>
          <t>Relevant Communications</t>
        </is>
      </c>
      <c r="F424" s="3" t="inlineStr">
        <is>
          <t>email 17Mar24- site Z92-CZ10004- SC reminder- items unresolved since SIV</t>
        </is>
      </c>
      <c r="G424" s="2" t="str">
        <f>HYPERLINK("https://vtmf.veevavault.com/ui/#doc_info/25939647/1/0", "VTMF-20726615")</f>
        <v>VTMF-20726615</v>
      </c>
      <c r="H424" s="3" t="inlineStr">
        <is>
          <t/>
        </is>
      </c>
      <c r="I424" s="3" t="inlineStr">
        <is>
          <t>System</t>
        </is>
      </c>
      <c r="J424" s="3" t="inlineStr">
        <is>
          <t>Lenka Placha</t>
        </is>
      </c>
      <c r="K424" s="4" t="n">
        <v>45368.489016203705</v>
      </c>
      <c r="L424" s="5" t="n">
        <v>45368.0</v>
      </c>
      <c r="M424" s="3" t="inlineStr">
        <is>
          <t>Approved</t>
        </is>
      </c>
      <c r="N424" s="3" t="inlineStr">
        <is>
          <t>Available for Distribution, Country Close, Site Close, Study Close</t>
        </is>
      </c>
      <c r="O424" s="3" t="inlineStr">
        <is>
          <t>Czech Republic</t>
        </is>
      </c>
      <c r="P424" s="3" t="inlineStr">
        <is>
          <t>Z92-CZ10004</t>
        </is>
      </c>
      <c r="Q424" s="3" t="inlineStr">
        <is>
          <t>77242113UCO2001</t>
        </is>
      </c>
    </row>
    <row r="425">
      <c r="A425" s="2" t="str">
        <f>HYPERLINK("https://vtmf.veevavault.com/ui/#doc_info/30067175/1/0", "77242113UCO2001-CZE-Z92-CZ10004-Relevant Communications-18 Sep 2025 (v1.0)")</f>
        <v>77242113UCO2001-CZE-Z92-CZ10004-Relevant Communications-18 Sep 2025 (v1.0)</v>
      </c>
      <c r="B425" s="3" t="inlineStr">
        <is>
          <t>Agnesa Ruiz Kajtarova</t>
        </is>
      </c>
      <c r="C425" s="3" t="inlineStr">
        <is>
          <t>Site Management</t>
        </is>
      </c>
      <c r="D425" s="3" t="inlineStr">
        <is>
          <t>General</t>
        </is>
      </c>
      <c r="E425" s="3" t="inlineStr">
        <is>
          <t>Relevant Communications</t>
        </is>
      </c>
      <c r="F425" s="3" t="inlineStr">
        <is>
          <t>Relevant Communication_New Lab Manual ver. 5.1_18Sep25</t>
        </is>
      </c>
      <c r="G425" s="2" t="str">
        <f>HYPERLINK("https://vtmf.veevavault.com/ui/#doc_info/30067175/1/0", "VTMF-24201317")</f>
        <v>VTMF-24201317</v>
      </c>
      <c r="H425" s="3" t="inlineStr">
        <is>
          <t/>
        </is>
      </c>
      <c r="I425" s="3" t="inlineStr">
        <is>
          <t>System</t>
        </is>
      </c>
      <c r="J425" s="3" t="inlineStr">
        <is>
          <t>Agnesa Ruiz Kajtarova</t>
        </is>
      </c>
      <c r="K425" s="4" t="n">
        <v>45930.713472222225</v>
      </c>
      <c r="L425" s="5" t="n">
        <v>45930.0</v>
      </c>
      <c r="M425" s="3" t="inlineStr">
        <is>
          <t>Approved</t>
        </is>
      </c>
      <c r="N425" s="3" t="inlineStr">
        <is>
          <t>Available for Distribution, Country Close, Site Close, Study Close</t>
        </is>
      </c>
      <c r="O425" s="3" t="inlineStr">
        <is>
          <t>Czech Republic</t>
        </is>
      </c>
      <c r="P425" s="3" t="inlineStr">
        <is>
          <t>Z92-CZ10004</t>
        </is>
      </c>
      <c r="Q425" s="3" t="inlineStr">
        <is>
          <t>77242113UCO2001</t>
        </is>
      </c>
    </row>
    <row r="426">
      <c r="A426" s="2" t="str">
        <f>HYPERLINK("https://vtmf.veevavault.com/ui/#doc_info/25965789/1/0", "77242113UCO2001-CZE-Z92-CZ10004-Relevant Communications-20 Mar 2024 (v1.0)")</f>
        <v>77242113UCO2001-CZE-Z92-CZ10004-Relevant Communications-20 Mar 2024 (v1.0)</v>
      </c>
      <c r="B426" s="3" t="inlineStr">
        <is>
          <t>Lenka Placha</t>
        </is>
      </c>
      <c r="C426" s="3" t="inlineStr">
        <is>
          <t>Site Management</t>
        </is>
      </c>
      <c r="D426" s="3" t="inlineStr">
        <is>
          <t>General</t>
        </is>
      </c>
      <c r="E426" s="3" t="inlineStr">
        <is>
          <t>Relevant Communications</t>
        </is>
      </c>
      <c r="F426" s="3" t="inlineStr">
        <is>
          <t>email 20Mar24- SC informed SM about change of tasks in DL and endoscop status_site Z92-CZ10004</t>
        </is>
      </c>
      <c r="G426" s="2" t="str">
        <f>HYPERLINK("https://vtmf.veevavault.com/ui/#doc_info/25965789/1/0", "VTMF-20749371")</f>
        <v>VTMF-20749371</v>
      </c>
      <c r="H426" s="3" t="inlineStr">
        <is>
          <t/>
        </is>
      </c>
      <c r="I426" s="3" t="inlineStr">
        <is>
          <t>System</t>
        </is>
      </c>
      <c r="J426" s="3" t="inlineStr">
        <is>
          <t>Lenka Placha</t>
        </is>
      </c>
      <c r="K426" s="4" t="n">
        <v>45371.85417824074</v>
      </c>
      <c r="L426" s="5" t="n">
        <v>45371.0</v>
      </c>
      <c r="M426" s="3" t="inlineStr">
        <is>
          <t>Approved</t>
        </is>
      </c>
      <c r="N426" s="3" t="inlineStr">
        <is>
          <t>Available for Distribution, Country Close, Site Close, Study Close</t>
        </is>
      </c>
      <c r="O426" s="3" t="inlineStr">
        <is>
          <t>Czech Republic</t>
        </is>
      </c>
      <c r="P426" s="3" t="inlineStr">
        <is>
          <t>Z92-CZ10004</t>
        </is>
      </c>
      <c r="Q426" s="3" t="inlineStr">
        <is>
          <t>77242113UCO2001</t>
        </is>
      </c>
    </row>
    <row r="427">
      <c r="A427" s="2" t="str">
        <f>HYPERLINK("https://vtmf.veevavault.com/ui/#doc_info/26373014/1/0", "77242113UCO2001-CZE-Z92-CZ10004-Relevant Communications-22 May 2024 (v1.0)")</f>
        <v>77242113UCO2001-CZE-Z92-CZ10004-Relevant Communications-22 May 2024 (v1.0)</v>
      </c>
      <c r="B427" s="3" t="inlineStr">
        <is>
          <t>Vladimir Buzalka</t>
        </is>
      </c>
      <c r="C427" s="3" t="inlineStr">
        <is>
          <t>Site Management</t>
        </is>
      </c>
      <c r="D427" s="3" t="inlineStr">
        <is>
          <t>General</t>
        </is>
      </c>
      <c r="E427" s="3" t="inlineStr">
        <is>
          <t>Relevant Communications</t>
        </is>
      </c>
      <c r="F427" s="3" t="inlineStr">
        <is>
          <t>Principal Investigator (PI) Serious Breach reporting responsibilities under EU CTR notification; 22MAY2024</t>
        </is>
      </c>
      <c r="G427" s="2" t="str">
        <f>HYPERLINK("https://vtmf.veevavault.com/ui/#doc_info/26373014/1/0", "VTMF-21105603")</f>
        <v>VTMF-21105603</v>
      </c>
      <c r="H427" s="3" t="inlineStr">
        <is>
          <t/>
        </is>
      </c>
      <c r="I427" s="3" t="inlineStr">
        <is>
          <t>System</t>
        </is>
      </c>
      <c r="J427" s="3" t="inlineStr">
        <is>
          <t>Vladimir Buzalka</t>
        </is>
      </c>
      <c r="K427" s="4" t="n">
        <v>45434.49275462963</v>
      </c>
      <c r="L427" s="5" t="n">
        <v>45434.0</v>
      </c>
      <c r="M427" s="3" t="inlineStr">
        <is>
          <t>Approved</t>
        </is>
      </c>
      <c r="N427" s="3" t="inlineStr">
        <is>
          <t>Available for Distribution, Country Close, Site Close, Study Close</t>
        </is>
      </c>
      <c r="O427" s="3" t="inlineStr">
        <is>
          <t>Czech Republic</t>
        </is>
      </c>
      <c r="P427" s="3" t="inlineStr">
        <is>
          <t>Z92-CZ10004</t>
        </is>
      </c>
      <c r="Q427" s="3" t="inlineStr">
        <is>
          <t>77242113UCO2001</t>
        </is>
      </c>
    </row>
    <row r="428">
      <c r="A428" s="2" t="str">
        <f>HYPERLINK("https://vtmf.veevavault.com/ui/#doc_info/26387858/1/0", "77242113UCO2001-CZE-Z92-CZ10004-Relevant Communications-23 May 2024 (v1.0)")</f>
        <v>77242113UCO2001-CZE-Z92-CZ10004-Relevant Communications-23 May 2024 (v1.0)</v>
      </c>
      <c r="B428" s="3" t="inlineStr">
        <is>
          <t>Lenka Placha</t>
        </is>
      </c>
      <c r="C428" s="3" t="inlineStr">
        <is>
          <t>Site Management</t>
        </is>
      </c>
      <c r="D428" s="3" t="inlineStr">
        <is>
          <t>General</t>
        </is>
      </c>
      <c r="E428" s="3" t="inlineStr">
        <is>
          <t>Relevant Communications</t>
        </is>
      </c>
      <c r="F428" s="3" t="inlineStr">
        <is>
          <t>email 23May24- pharmacy information that they are not able to read CDs_site Z92-CZ10004</t>
        </is>
      </c>
      <c r="G428" s="2" t="str">
        <f>HYPERLINK("https://vtmf.veevavault.com/ui/#doc_info/26387858/1/0", "VTMF-21118578")</f>
        <v>VTMF-21118578</v>
      </c>
      <c r="H428" s="3" t="inlineStr">
        <is>
          <t/>
        </is>
      </c>
      <c r="I428" s="3" t="inlineStr">
        <is>
          <t>System</t>
        </is>
      </c>
      <c r="J428" s="3" t="inlineStr">
        <is>
          <t>Lenka Placha</t>
        </is>
      </c>
      <c r="K428" s="4" t="n">
        <v>45436.313368055555</v>
      </c>
      <c r="L428" s="5" t="n">
        <v>45436.0</v>
      </c>
      <c r="M428" s="3" t="inlineStr">
        <is>
          <t>Approved</t>
        </is>
      </c>
      <c r="N428" s="3" t="inlineStr">
        <is>
          <t>Available for Distribution, Country Close, Site Close, Study Close</t>
        </is>
      </c>
      <c r="O428" s="3" t="inlineStr">
        <is>
          <t>Czech Republic</t>
        </is>
      </c>
      <c r="P428" s="3" t="inlineStr">
        <is>
          <t>Z92-CZ10004</t>
        </is>
      </c>
      <c r="Q428" s="3" t="inlineStr">
        <is>
          <t>77242113UCO2001</t>
        </is>
      </c>
    </row>
    <row r="429">
      <c r="A429" s="2" t="str">
        <f>HYPERLINK("https://vtmf.veevavault.com/ui/#doc_info/26387954/1/0", "77242113UCO2001-CZE-Z92-CZ10004-Relevant Communications-23 May 2024 (v1.0)")</f>
        <v>77242113UCO2001-CZE-Z92-CZ10004-Relevant Communications-23 May 2024 (v1.0)</v>
      </c>
      <c r="B429" s="3" t="inlineStr">
        <is>
          <t>Lenka Placha</t>
        </is>
      </c>
      <c r="C429" s="3" t="inlineStr">
        <is>
          <t>Site Management</t>
        </is>
      </c>
      <c r="D429" s="3" t="inlineStr">
        <is>
          <t>General</t>
        </is>
      </c>
      <c r="E429" s="3" t="inlineStr">
        <is>
          <t>Relevant Communications</t>
        </is>
      </c>
      <c r="F429" s="3" t="inlineStr">
        <is>
          <t>email 23May24- site confirmed that they are able to read CDs_site Z92-CZ10004</t>
        </is>
      </c>
      <c r="G429" s="2" t="str">
        <f>HYPERLINK("https://vtmf.veevavault.com/ui/#doc_info/26387954/1/0", "VTMF-21118612")</f>
        <v>VTMF-21118612</v>
      </c>
      <c r="H429" s="3" t="inlineStr">
        <is>
          <t/>
        </is>
      </c>
      <c r="I429" s="3" t="inlineStr">
        <is>
          <t>System</t>
        </is>
      </c>
      <c r="J429" s="3" t="inlineStr">
        <is>
          <t>Lenka Placha</t>
        </is>
      </c>
      <c r="K429" s="4" t="n">
        <v>45436.31790509259</v>
      </c>
      <c r="L429" s="5" t="n">
        <v>45436.0</v>
      </c>
      <c r="M429" s="3" t="inlineStr">
        <is>
          <t>Approved</t>
        </is>
      </c>
      <c r="N429" s="3" t="inlineStr">
        <is>
          <t>Available for Distribution, Country Close, Site Close, Study Close</t>
        </is>
      </c>
      <c r="O429" s="3" t="inlineStr">
        <is>
          <t>Czech Republic</t>
        </is>
      </c>
      <c r="P429" s="3" t="inlineStr">
        <is>
          <t>Z92-CZ10004</t>
        </is>
      </c>
      <c r="Q429" s="3" t="inlineStr">
        <is>
          <t>77242113UCO2001</t>
        </is>
      </c>
    </row>
    <row r="430">
      <c r="A430" s="2" t="str">
        <f>HYPERLINK("https://vtmf.veevavault.com/ui/#doc_info/28736614/1/0", "77242113UCO2001-CZE-Z92-CZ10004-Relevant Communications-25 Mar 2025 (v1.0)")</f>
        <v>77242113UCO2001-CZE-Z92-CZ10004-Relevant Communications-25 Mar 2025 (v1.0)</v>
      </c>
      <c r="B430" s="3" t="inlineStr">
        <is>
          <t>Lenka Placha</t>
        </is>
      </c>
      <c r="C430" s="3" t="inlineStr">
        <is>
          <t>Site Management</t>
        </is>
      </c>
      <c r="D430" s="3" t="inlineStr">
        <is>
          <t>General</t>
        </is>
      </c>
      <c r="E430" s="3" t="inlineStr">
        <is>
          <t>Relevant Communications</t>
        </is>
      </c>
      <c r="F430" s="3" t="inlineStr">
        <is>
          <t>email 25Mar25- SM sent to site updated Safety data sheet, PQR and TOR instruction_site Z92-CZ10004</t>
        </is>
      </c>
      <c r="G430" s="2" t="str">
        <f>HYPERLINK("https://vtmf.veevavault.com/ui/#doc_info/28736614/1/0", "VTMF-23086469")</f>
        <v>VTMF-23086469</v>
      </c>
      <c r="H430" s="3" t="inlineStr">
        <is>
          <t/>
        </is>
      </c>
      <c r="I430" s="3" t="inlineStr">
        <is>
          <t>System</t>
        </is>
      </c>
      <c r="J430" s="3" t="inlineStr">
        <is>
          <t>Lenka Placha</t>
        </is>
      </c>
      <c r="K430" s="4" t="n">
        <v>45741.567928240744</v>
      </c>
      <c r="L430" s="5" t="n">
        <v>45741.0</v>
      </c>
      <c r="M430" s="3" t="inlineStr">
        <is>
          <t>Approved</t>
        </is>
      </c>
      <c r="N430" s="3" t="inlineStr">
        <is>
          <t>Available for Distribution, Country Close, Site Close, Study Close</t>
        </is>
      </c>
      <c r="O430" s="3" t="inlineStr">
        <is>
          <t>Czech Republic</t>
        </is>
      </c>
      <c r="P430" s="3" t="inlineStr">
        <is>
          <t>Z92-CZ10004</t>
        </is>
      </c>
      <c r="Q430" s="3" t="inlineStr">
        <is>
          <t>77242113UCO2001</t>
        </is>
      </c>
    </row>
    <row r="431">
      <c r="A431" s="2" t="str">
        <f>HYPERLINK("https://vtmf.veevavault.com/ui/#doc_info/26404961/1/0", "77242113UCO2001-CZE-Z92-CZ10004-Relevant Communications-27 May 2024 (v1.0)")</f>
        <v>77242113UCO2001-CZE-Z92-CZ10004-Relevant Communications-27 May 2024 (v1.0)</v>
      </c>
      <c r="B431" s="3" t="inlineStr">
        <is>
          <t>Vladimir Buzalka</t>
        </is>
      </c>
      <c r="C431" s="3" t="inlineStr">
        <is>
          <t>Site Management</t>
        </is>
      </c>
      <c r="D431" s="3" t="inlineStr">
        <is>
          <t>General</t>
        </is>
      </c>
      <c r="E431" s="3" t="inlineStr">
        <is>
          <t>Relevant Communications</t>
        </is>
      </c>
      <c r="F431" s="3" t="inlineStr">
        <is>
          <t>Principal Investigator (PI) Serious Breach reporting responsibilities under EU CTR_ Publish Date_ 10 May 2024; 27MAY2024</t>
        </is>
      </c>
      <c r="G431" s="2" t="str">
        <f>HYPERLINK("https://vtmf.veevavault.com/ui/#doc_info/26404961/1/0", "VTMF-21133396")</f>
        <v>VTMF-21133396</v>
      </c>
      <c r="H431" s="3" t="inlineStr">
        <is>
          <t/>
        </is>
      </c>
      <c r="I431" s="3" t="inlineStr">
        <is>
          <t>System</t>
        </is>
      </c>
      <c r="J431" s="3" t="inlineStr">
        <is>
          <t>Vladimir Buzalka</t>
        </is>
      </c>
      <c r="K431" s="4" t="n">
        <v>45440.42065972222</v>
      </c>
      <c r="L431" s="5" t="n">
        <v>45440.0</v>
      </c>
      <c r="M431" s="3" t="inlineStr">
        <is>
          <t>Approved</t>
        </is>
      </c>
      <c r="N431" s="3" t="inlineStr">
        <is>
          <t>Available for Distribution, Country Close, Site Close, Study Close</t>
        </is>
      </c>
      <c r="O431" s="3" t="inlineStr">
        <is>
          <t>Czech Republic</t>
        </is>
      </c>
      <c r="P431" s="3" t="inlineStr">
        <is>
          <t>Z92-CZ10004</t>
        </is>
      </c>
      <c r="Q431" s="3" t="inlineStr">
        <is>
          <t>77242113UCO2001</t>
        </is>
      </c>
    </row>
    <row r="432">
      <c r="A432" s="2" t="str">
        <f>HYPERLINK("https://vtmf.veevavault.com/ui/#doc_info/29918368/1/0", "77242113UCO2001-CZE-Z92-CZ10004-Relevant Communications-29 Aug 2025 (v1.0)")</f>
        <v>77242113UCO2001-CZE-Z92-CZ10004-Relevant Communications-29 Aug 2025 (v1.0)</v>
      </c>
      <c r="B432" s="3" t="inlineStr">
        <is>
          <t>Agnesa Ruiz Kajtarova</t>
        </is>
      </c>
      <c r="C432" s="3" t="inlineStr">
        <is>
          <t>Site Management</t>
        </is>
      </c>
      <c r="D432" s="3" t="inlineStr">
        <is>
          <t>General</t>
        </is>
      </c>
      <c r="E432" s="3" t="inlineStr">
        <is>
          <t>Relevant Communications</t>
        </is>
      </c>
      <c r="F432" s="3" t="inlineStr">
        <is>
          <t>Relevant Communication_New SM from 29Aug2025_29Aug2025</t>
        </is>
      </c>
      <c r="G432" s="2" t="str">
        <f>HYPERLINK("https://vtmf.veevavault.com/ui/#doc_info/29918368/1/0", "VTMF-24083541")</f>
        <v>VTMF-24083541</v>
      </c>
      <c r="H432" s="3" t="inlineStr">
        <is>
          <t/>
        </is>
      </c>
      <c r="I432" s="3" t="inlineStr">
        <is>
          <t>System</t>
        </is>
      </c>
      <c r="J432" s="3" t="inlineStr">
        <is>
          <t>Agnesa Ruiz Kajtarova</t>
        </is>
      </c>
      <c r="K432" s="4" t="n">
        <v>45909.63563657407</v>
      </c>
      <c r="L432" s="5" t="n">
        <v>45909.0</v>
      </c>
      <c r="M432" s="3" t="inlineStr">
        <is>
          <t>Approved</t>
        </is>
      </c>
      <c r="N432" s="3" t="inlineStr">
        <is>
          <t>Available for Distribution, Country Close, Site Close, Study Close</t>
        </is>
      </c>
      <c r="O432" s="3" t="inlineStr">
        <is>
          <t>Czech Republic</t>
        </is>
      </c>
      <c r="P432" s="3" t="inlineStr">
        <is>
          <t>Z92-CZ10004</t>
        </is>
      </c>
      <c r="Q432" s="3" t="inlineStr">
        <is>
          <t>77242113UCO2001</t>
        </is>
      </c>
    </row>
    <row r="433">
      <c r="A433" s="2" t="str">
        <f>HYPERLINK("https://vtmf.veevavault.com/ui/#doc_info/26471115/1/0", "77242113UCO2001-CZE-Z92-CZ10004-Relevant Communications-30 May 2024 (v1.0)")</f>
        <v>77242113UCO2001-CZE-Z92-CZ10004-Relevant Communications-30 May 2024 (v1.0)</v>
      </c>
      <c r="B433" s="3" t="inlineStr">
        <is>
          <t>Lenka Placha</t>
        </is>
      </c>
      <c r="C433" s="3" t="inlineStr">
        <is>
          <t>Site Management</t>
        </is>
      </c>
      <c r="D433" s="3" t="inlineStr">
        <is>
          <t>General</t>
        </is>
      </c>
      <c r="E433" s="3" t="inlineStr">
        <is>
          <t>Relevant Communications</t>
        </is>
      </c>
      <c r="F433" s="3" t="inlineStr">
        <is>
          <t>Cover letter_ICF-CZ-3 dat. 25Jan2024_site Z92-CZ10004-30May2024</t>
        </is>
      </c>
      <c r="G433" s="2" t="str">
        <f>HYPERLINK("https://vtmf.veevavault.com/ui/#doc_info/26471115/1/0", "VTMF-21191842")</f>
        <v>VTMF-21191842</v>
      </c>
      <c r="H433" s="3" t="inlineStr">
        <is>
          <t/>
        </is>
      </c>
      <c r="I433" s="3" t="inlineStr">
        <is>
          <t>System</t>
        </is>
      </c>
      <c r="J433" s="3" t="inlineStr">
        <is>
          <t>Lenka Placha</t>
        </is>
      </c>
      <c r="K433" s="4" t="n">
        <v>45449.759884259256</v>
      </c>
      <c r="L433" s="5" t="n">
        <v>45449.0</v>
      </c>
      <c r="M433" s="3" t="inlineStr">
        <is>
          <t>Approved</t>
        </is>
      </c>
      <c r="N433" s="3" t="inlineStr">
        <is>
          <t>Available for Distribution, Country Close, Site Close, Study Close</t>
        </is>
      </c>
      <c r="O433" s="3" t="inlineStr">
        <is>
          <t>Czech Republic</t>
        </is>
      </c>
      <c r="P433" s="3" t="inlineStr">
        <is>
          <t>Z92-CZ10004</t>
        </is>
      </c>
      <c r="Q433" s="3" t="inlineStr">
        <is>
          <t>77242113UCO2001</t>
        </is>
      </c>
    </row>
    <row r="434">
      <c r="A434" s="2" t="str">
        <f>HYPERLINK("https://vtmf.veevavault.com/ui/#doc_info/30845746/1/0", "77242113UCO2001-CZE-Z92-CZ10004-Remote Monitoring Contact Report-12 Jan 2026 (v1.0)")</f>
        <v>77242113UCO2001-CZE-Z92-CZ10004-Remote Monitoring Contact Report-12 Jan 2026 (v1.0)</v>
      </c>
      <c r="B434" s="3" t="inlineStr">
        <is>
          <t>Admin User Medidata</t>
        </is>
      </c>
      <c r="C434" s="3" t="inlineStr">
        <is>
          <t>Site Management</t>
        </is>
      </c>
      <c r="D434" s="3" t="inlineStr">
        <is>
          <t>Site Management</t>
        </is>
      </c>
      <c r="E434" s="3" t="inlineStr">
        <is>
          <t>Remote Monitoring Contact Report</t>
        </is>
      </c>
      <c r="F434" s="3" t="inlineStr">
        <is>
          <t/>
        </is>
      </c>
      <c r="G434" s="2" t="str">
        <f>HYPERLINK("https://vtmf.veevavault.com/ui/#doc_info/30845746/1/0", "VTMF-24858551")</f>
        <v>VTMF-24858551</v>
      </c>
      <c r="H434" s="3" t="inlineStr">
        <is>
          <t/>
        </is>
      </c>
      <c r="I434" s="3" t="inlineStr">
        <is>
          <t>System</t>
        </is>
      </c>
      <c r="J434" s="3" t="inlineStr">
        <is>
          <t>Admin User Medidata</t>
        </is>
      </c>
      <c r="K434" s="4" t="n">
        <v>46048.43236111111</v>
      </c>
      <c r="L434" s="5" t="n">
        <v>46048.0</v>
      </c>
      <c r="M434" s="3" t="inlineStr">
        <is>
          <t>Approved</t>
        </is>
      </c>
      <c r="N434" s="3" t="inlineStr">
        <is>
          <t>Not associated to a milestone</t>
        </is>
      </c>
      <c r="O434" s="3" t="inlineStr">
        <is>
          <t>Czech Republic</t>
        </is>
      </c>
      <c r="P434" s="3" t="inlineStr">
        <is>
          <t>Z92-CZ10004</t>
        </is>
      </c>
      <c r="Q434" s="3" t="inlineStr">
        <is>
          <t>77242113UCO2001</t>
        </is>
      </c>
    </row>
    <row r="435">
      <c r="A435" s="2" t="str">
        <f>HYPERLINK("https://vtmf.veevavault.com/ui/#doc_info/25724583/1/0", "77242113UCO2001-CZE-Z92-CZ10004-RTSM System Faxes or RTSM System Emails-15 Feb 2024 (v1.0)")</f>
        <v>77242113UCO2001-CZE-Z92-CZ10004-RTSM System Faxes or RTSM System Emails-15 Feb 2024 (v1.0)</v>
      </c>
      <c r="B435" s="3" t="inlineStr">
        <is>
          <t>Lenka Placha</t>
        </is>
      </c>
      <c r="C435" s="3" t="inlineStr">
        <is>
          <t>IP and Trial Supplies</t>
        </is>
      </c>
      <c r="D435" s="3" t="inlineStr">
        <is>
          <t>Interactive Response Technology</t>
        </is>
      </c>
      <c r="E435" s="3" t="inlineStr">
        <is>
          <t>RTSM System Faxes or RTSM System Emails</t>
        </is>
      </c>
      <c r="F435" s="3" t="inlineStr">
        <is>
          <t>IWRS email- site activation-15Feb24</t>
        </is>
      </c>
      <c r="G435" s="2" t="str">
        <f>HYPERLINK("https://vtmf.veevavault.com/ui/#doc_info/25724583/1/0", "VTMF-20536871")</f>
        <v>VTMF-20536871</v>
      </c>
      <c r="H435" s="3" t="inlineStr">
        <is>
          <t/>
        </is>
      </c>
      <c r="I435" s="3" t="inlineStr">
        <is>
          <t>Anthony Suarez (veeva.com)</t>
        </is>
      </c>
      <c r="J435" s="3" t="inlineStr">
        <is>
          <t>Lenka Placha</t>
        </is>
      </c>
      <c r="K435" s="4" t="n">
        <v>45337.64207175926</v>
      </c>
      <c r="L435" s="5" t="n">
        <v>45337.0</v>
      </c>
      <c r="M435" s="3" t="inlineStr">
        <is>
          <t>Approved</t>
        </is>
      </c>
      <c r="N435" s="3" t="inlineStr">
        <is>
          <t>Not associated to a milestone</t>
        </is>
      </c>
      <c r="O435" s="3" t="inlineStr">
        <is>
          <t>Czech Republic</t>
        </is>
      </c>
      <c r="P435" s="3" t="inlineStr">
        <is>
          <t>Z92-CZ10004</t>
        </is>
      </c>
      <c r="Q435" s="3" t="inlineStr">
        <is>
          <t>77242113UCO2001</t>
        </is>
      </c>
    </row>
    <row r="436">
      <c r="A436" s="2" t="str">
        <f>HYPERLINK("https://vtmf.veevavault.com/ui/#doc_info/31278241/1/0", "77242113UCO2001-CZE-Z92-CZ10004-Sample Storage Condition Log-09 Mar 2026 (v1.0)")</f>
        <v>77242113UCO2001-CZE-Z92-CZ10004-Sample Storage Condition Log-09 Mar 2026 (v1.0)</v>
      </c>
      <c r="B436" s="3" t="inlineStr">
        <is>
          <t>Michaela Sapíková</t>
        </is>
      </c>
      <c r="C436" s="3" t="inlineStr">
        <is>
          <t>Centralized Testing</t>
        </is>
      </c>
      <c r="D436" s="3" t="inlineStr">
        <is>
          <t>Sample Documentation</t>
        </is>
      </c>
      <c r="E436" s="3" t="inlineStr">
        <is>
          <t>Sample Storage Condition Log</t>
        </is>
      </c>
      <c r="F436" s="3" t="inlineStr">
        <is>
          <t>Frozen_lab_samples_Temperature Log_Apr2024-Apr2025</t>
        </is>
      </c>
      <c r="G436" s="2" t="str">
        <f>HYPERLINK("https://vtmf.veevavault.com/ui/#doc_info/31278241/1/0", "VTMF-25225491")</f>
        <v>VTMF-25225491</v>
      </c>
      <c r="H436" s="3" t="inlineStr">
        <is>
          <t/>
        </is>
      </c>
      <c r="I436" s="3" t="inlineStr">
        <is>
          <t>System</t>
        </is>
      </c>
      <c r="J436" s="3" t="inlineStr">
        <is>
          <t>Michaela Sapíková</t>
        </is>
      </c>
      <c r="K436" s="4" t="n">
        <v>46107.52908564815</v>
      </c>
      <c r="L436" s="5" t="n">
        <v>46107.0</v>
      </c>
      <c r="M436" s="3" t="inlineStr">
        <is>
          <t>Approved</t>
        </is>
      </c>
      <c r="N436" s="3" t="inlineStr">
        <is>
          <t/>
        </is>
      </c>
      <c r="O436" s="3" t="inlineStr">
        <is>
          <t>Czech Republic</t>
        </is>
      </c>
      <c r="P436" s="3" t="inlineStr">
        <is>
          <t>Z92-CZ10004</t>
        </is>
      </c>
      <c r="Q436" s="3" t="inlineStr">
        <is>
          <t>77242113UCO2001</t>
        </is>
      </c>
    </row>
    <row r="437">
      <c r="A437" s="2" t="str">
        <f>HYPERLINK("https://vtmf.veevavault.com/ui/#doc_info/24158350/1/0", "77242113UCO2001-CZE-Z92-CZ10004-Site Confirmation Letter-- (v1.0)")</f>
        <v>77242113UCO2001-CZE-Z92-CZ10004-Site Confirmation Letter-- (v1.0)</v>
      </c>
      <c r="B437" s="3" t="inlineStr">
        <is>
          <t>Lucie Duskova</t>
        </is>
      </c>
      <c r="C437" s="3" t="inlineStr">
        <is>
          <t>Site Management</t>
        </is>
      </c>
      <c r="D437" s="3" t="inlineStr">
        <is>
          <t>Site Management</t>
        </is>
      </c>
      <c r="E437" s="3" t="inlineStr">
        <is>
          <t>Site Confirmation Letter</t>
        </is>
      </c>
      <c r="F437" s="3" t="inlineStr">
        <is>
          <t>Site Qualification visit confirmation letter_Vanasek Tomas_18MAY2023</t>
        </is>
      </c>
      <c r="G437" s="2" t="str">
        <f>HYPERLINK("https://vtmf.veevavault.com/ui/#doc_info/24158350/1/0", "VTMF-19168976")</f>
        <v>VTMF-19168976</v>
      </c>
      <c r="H437" s="3" t="inlineStr">
        <is>
          <t/>
        </is>
      </c>
      <c r="I437" s="3" t="inlineStr">
        <is>
          <t>Anthony Suarez (veeva.com)</t>
        </is>
      </c>
      <c r="J437" s="3" t="inlineStr">
        <is>
          <t>Lucie Duskova</t>
        </is>
      </c>
      <c r="K437" s="4" t="n">
        <v>45075.668391203704</v>
      </c>
      <c r="L437" s="5" t="n">
        <v>45075.0</v>
      </c>
      <c r="M437" s="3" t="inlineStr">
        <is>
          <t>Approved</t>
        </is>
      </c>
      <c r="N437" s="3" t="inlineStr">
        <is>
          <t>Available for Distribution, CLIX Filing, Site Close</t>
        </is>
      </c>
      <c r="O437" s="3" t="inlineStr">
        <is>
          <t>Czech Republic</t>
        </is>
      </c>
      <c r="P437" s="3" t="inlineStr">
        <is>
          <t>Z92-CZ10004</t>
        </is>
      </c>
      <c r="Q437" s="3" t="inlineStr">
        <is>
          <t>77242113UCO2001</t>
        </is>
      </c>
    </row>
    <row r="438">
      <c r="A438" s="2" t="str">
        <f>HYPERLINK("https://vtmf.veevavault.com/ui/#doc_info/26876751/1/0", "77242113UCO2001-CZE-Z92-CZ10004-Site Confirmation Letter--09 Aug 2024 (v1.0)")</f>
        <v>77242113UCO2001-CZE-Z92-CZ10004-Site Confirmation Letter--09 Aug 2024 (v1.0)</v>
      </c>
      <c r="B438" s="3" t="inlineStr">
        <is>
          <t>Lenka Placha</t>
        </is>
      </c>
      <c r="C438" s="3" t="inlineStr">
        <is>
          <t>Site Management</t>
        </is>
      </c>
      <c r="D438" s="3" t="inlineStr">
        <is>
          <t>Site Management</t>
        </is>
      </c>
      <c r="E438" s="3" t="inlineStr">
        <is>
          <t>Site Confirmation Letter</t>
        </is>
      </c>
      <c r="F438" s="3" t="inlineStr">
        <is>
          <t>77242113UCO2001-CZE-Z92-CZ10004-Site Confirmation Letter-SMVR_CL-09 Aug 2024_update</t>
        </is>
      </c>
      <c r="G438" s="2" t="str">
        <f>HYPERLINK("https://vtmf.veevavault.com/ui/#doc_info/26876751/1/0", "VTMF-21543562")</f>
        <v>VTMF-21543562</v>
      </c>
      <c r="H438" s="3" t="inlineStr">
        <is>
          <t/>
        </is>
      </c>
      <c r="I438" s="3" t="inlineStr">
        <is>
          <t>Anthony Suarez (veeva.com)</t>
        </is>
      </c>
      <c r="J438" s="3" t="inlineStr">
        <is>
          <t>Lenka Placha</t>
        </is>
      </c>
      <c r="K438" s="4" t="n">
        <v>45516.82650462963</v>
      </c>
      <c r="L438" s="5" t="n">
        <v>45516.0</v>
      </c>
      <c r="M438" s="3" t="inlineStr">
        <is>
          <t>Approved</t>
        </is>
      </c>
      <c r="N438" s="3" t="inlineStr">
        <is>
          <t>Available for Distribution, CLIX Filing, Site Close</t>
        </is>
      </c>
      <c r="O438" s="3" t="inlineStr">
        <is>
          <t>Czech Republic</t>
        </is>
      </c>
      <c r="P438" s="3" t="inlineStr">
        <is>
          <t>Z92-CZ10004</t>
        </is>
      </c>
      <c r="Q438" s="3" t="inlineStr">
        <is>
          <t>77242113UCO2001</t>
        </is>
      </c>
    </row>
    <row r="439">
      <c r="A439" s="2" t="str">
        <f>HYPERLINK("https://vtmf.veevavault.com/ui/#doc_info/31188645/1/0", "77242113UCO2001-CZE-Z92-CZ10004-Site Confirmation Letter-SCVR_CL-18 Mar 2026 (v1.0)")</f>
        <v>77242113UCO2001-CZE-Z92-CZ10004-Site Confirmation Letter-SCVR_CL-18 Mar 2026 (v1.0)</v>
      </c>
      <c r="B439" s="3" t="inlineStr">
        <is>
          <t>Admin User Medidata</t>
        </is>
      </c>
      <c r="C439" s="3" t="inlineStr">
        <is>
          <t>Site Management</t>
        </is>
      </c>
      <c r="D439" s="3" t="inlineStr">
        <is>
          <t>Site Management</t>
        </is>
      </c>
      <c r="E439" s="3" t="inlineStr">
        <is>
          <t>Site Confirmation Letter</t>
        </is>
      </c>
      <c r="F439" s="3" t="inlineStr">
        <is>
          <t/>
        </is>
      </c>
      <c r="G439" s="2" t="str">
        <f>HYPERLINK("https://vtmf.veevavault.com/ui/#doc_info/31188645/1/0", "VTMF-25148575")</f>
        <v>VTMF-25148575</v>
      </c>
      <c r="H439" s="3" t="inlineStr">
        <is>
          <t/>
        </is>
      </c>
      <c r="I439" s="3" t="inlineStr">
        <is>
          <t>System</t>
        </is>
      </c>
      <c r="J439" s="3" t="inlineStr">
        <is>
          <t>Admin User Medidata</t>
        </is>
      </c>
      <c r="K439" s="4" t="n">
        <v>46097.60016203704</v>
      </c>
      <c r="L439" s="5" t="n">
        <v>46097.0</v>
      </c>
      <c r="M439" s="3" t="inlineStr">
        <is>
          <t>Approved</t>
        </is>
      </c>
      <c r="N439" s="3" t="inlineStr">
        <is>
          <t>Available for Distribution, CLIX Filing, Not associated to a milestone</t>
        </is>
      </c>
      <c r="O439" s="3" t="inlineStr">
        <is>
          <t>Czech Republic</t>
        </is>
      </c>
      <c r="P439" s="3" t="inlineStr">
        <is>
          <t>Z92-CZ10004</t>
        </is>
      </c>
      <c r="Q439" s="3" t="inlineStr">
        <is>
          <t>77242113UCO2001</t>
        </is>
      </c>
    </row>
    <row r="440">
      <c r="A440" s="2" t="str">
        <f>HYPERLINK("https://vtmf.veevavault.com/ui/#doc_info/25623941/1/0", "77242113UCO2001-CZE-Z92-CZ10004-Site Confirmation Letter-SIVR_CL-07 Feb 2024 (v1.0)")</f>
        <v>77242113UCO2001-CZE-Z92-CZ10004-Site Confirmation Letter-SIVR_CL-07 Feb 2024 (v1.0)</v>
      </c>
      <c r="B440" s="3" t="inlineStr">
        <is>
          <t>Admin User Medidata</t>
        </is>
      </c>
      <c r="C440" s="3" t="inlineStr">
        <is>
          <t>Site Management</t>
        </is>
      </c>
      <c r="D440" s="3" t="inlineStr">
        <is>
          <t>Site Management</t>
        </is>
      </c>
      <c r="E440" s="3" t="inlineStr">
        <is>
          <t>Site Confirmation Letter</t>
        </is>
      </c>
      <c r="F440" s="3" t="inlineStr">
        <is>
          <t/>
        </is>
      </c>
      <c r="G440" s="2" t="str">
        <f>HYPERLINK("https://vtmf.veevavault.com/ui/#doc_info/25623941/1/0", "VTMF-20447913")</f>
        <v>VTMF-20447913</v>
      </c>
      <c r="H440" s="3" t="inlineStr">
        <is>
          <t/>
        </is>
      </c>
      <c r="I440" s="3" t="inlineStr">
        <is>
          <t>System</t>
        </is>
      </c>
      <c r="J440" s="3" t="inlineStr">
        <is>
          <t>Admin User Medidata</t>
        </is>
      </c>
      <c r="K440" s="4" t="n">
        <v>45323.393842592595</v>
      </c>
      <c r="L440" s="5" t="n">
        <v>45323.0</v>
      </c>
      <c r="M440" s="3" t="inlineStr">
        <is>
          <t>Approved</t>
        </is>
      </c>
      <c r="N440" s="3" t="inlineStr">
        <is>
          <t>Available for Distribution, CLIX Filing, Site Close</t>
        </is>
      </c>
      <c r="O440" s="3" t="inlineStr">
        <is>
          <t>Czech Republic</t>
        </is>
      </c>
      <c r="P440" s="3" t="inlineStr">
        <is>
          <t>Z92-CZ10004</t>
        </is>
      </c>
      <c r="Q440" s="3" t="inlineStr">
        <is>
          <t>77242113UCO2001</t>
        </is>
      </c>
    </row>
    <row r="441">
      <c r="A441" s="2" t="str">
        <f>HYPERLINK("https://vtmf.veevavault.com/ui/#doc_info/30751013/1/0", "77242113UCO2001-CZE-Z92-CZ10004-Site Confirmation Letter-SMVR_CL-12 Jan 2026 (v1.0)")</f>
        <v>77242113UCO2001-CZE-Z92-CZ10004-Site Confirmation Letter-SMVR_CL-12 Jan 2026 (v1.0)</v>
      </c>
      <c r="B441" s="3" t="inlineStr">
        <is>
          <t>Admin User Medidata</t>
        </is>
      </c>
      <c r="C441" s="3" t="inlineStr">
        <is>
          <t>Site Management</t>
        </is>
      </c>
      <c r="D441" s="3" t="inlineStr">
        <is>
          <t>Site Management</t>
        </is>
      </c>
      <c r="E441" s="3" t="inlineStr">
        <is>
          <t>Site Confirmation Letter</t>
        </is>
      </c>
      <c r="F441" s="3" t="inlineStr">
        <is>
          <t/>
        </is>
      </c>
      <c r="G441" s="2" t="str">
        <f>HYPERLINK("https://vtmf.veevavault.com/ui/#doc_info/30751013/1/0", "VTMF-24778674")</f>
        <v>VTMF-24778674</v>
      </c>
      <c r="H441" s="3" t="inlineStr">
        <is>
          <t/>
        </is>
      </c>
      <c r="I441" s="3" t="inlineStr">
        <is>
          <t>System</t>
        </is>
      </c>
      <c r="J441" s="3" t="inlineStr">
        <is>
          <t>Admin User Medidata</t>
        </is>
      </c>
      <c r="K441" s="4" t="n">
        <v>46031.72472222222</v>
      </c>
      <c r="L441" s="5" t="n">
        <v>46031.0</v>
      </c>
      <c r="M441" s="3" t="inlineStr">
        <is>
          <t>Approved</t>
        </is>
      </c>
      <c r="N441" s="3" t="inlineStr">
        <is>
          <t>Available for Distribution, CLIX Filing, Not associated to a milestone</t>
        </is>
      </c>
      <c r="O441" s="3" t="inlineStr">
        <is>
          <t>Czech Republic</t>
        </is>
      </c>
      <c r="P441" s="3" t="inlineStr">
        <is>
          <t>Z92-CZ10004</t>
        </is>
      </c>
      <c r="Q441" s="3" t="inlineStr">
        <is>
          <t>77242113UCO2001</t>
        </is>
      </c>
    </row>
    <row r="442">
      <c r="A442" s="2" t="str">
        <f>HYPERLINK("https://vtmf.veevavault.com/ui/#doc_info/29087208/1/0", "77242113UCO2001-CZE-Z92-CZ10004-Site Confirmation Letter-SMVR_CL-15 May 2025 (v1.0)")</f>
        <v>77242113UCO2001-CZE-Z92-CZ10004-Site Confirmation Letter-SMVR_CL-15 May 2025 (v1.0)</v>
      </c>
      <c r="B442" s="3" t="inlineStr">
        <is>
          <t>Admin User Medidata</t>
        </is>
      </c>
      <c r="C442" s="3" t="inlineStr">
        <is>
          <t>Site Management</t>
        </is>
      </c>
      <c r="D442" s="3" t="inlineStr">
        <is>
          <t>Site Management</t>
        </is>
      </c>
      <c r="E442" s="3" t="inlineStr">
        <is>
          <t>Site Confirmation Letter</t>
        </is>
      </c>
      <c r="F442" s="3" t="inlineStr">
        <is>
          <t/>
        </is>
      </c>
      <c r="G442" s="2" t="str">
        <f>HYPERLINK("https://vtmf.veevavault.com/ui/#doc_info/29087208/1/0", "VTMF-23372400")</f>
        <v>VTMF-23372400</v>
      </c>
      <c r="H442" s="3" t="inlineStr">
        <is>
          <t/>
        </is>
      </c>
      <c r="I442" s="3" t="inlineStr">
        <is>
          <t>System</t>
        </is>
      </c>
      <c r="J442" s="3" t="inlineStr">
        <is>
          <t>Admin User Medidata</t>
        </is>
      </c>
      <c r="K442" s="4" t="n">
        <v>45789.05521990741</v>
      </c>
      <c r="L442" s="5" t="n">
        <v>45788.0</v>
      </c>
      <c r="M442" s="3" t="inlineStr">
        <is>
          <t>Approved</t>
        </is>
      </c>
      <c r="N442" s="3" t="inlineStr">
        <is>
          <t>Available for Distribution, CLIX Filing, Not associated to a milestone</t>
        </is>
      </c>
      <c r="O442" s="3" t="inlineStr">
        <is>
          <t>Czech Republic</t>
        </is>
      </c>
      <c r="P442" s="3" t="inlineStr">
        <is>
          <t>Z92-CZ10004</t>
        </is>
      </c>
      <c r="Q442" s="3" t="inlineStr">
        <is>
          <t>77242113UCO2001</t>
        </is>
      </c>
    </row>
    <row r="443">
      <c r="A443" s="2" t="str">
        <f>HYPERLINK("https://vtmf.veevavault.com/ui/#doc_info/30619684/1/0", "77242113UCO2001-CZE-Z92-CZ10004-Site Confirmation Letter-SMVR_CL-18 Dec 2025 (v1.0)")</f>
        <v>77242113UCO2001-CZE-Z92-CZ10004-Site Confirmation Letter-SMVR_CL-18 Dec 2025 (v1.0)</v>
      </c>
      <c r="B443" s="3" t="inlineStr">
        <is>
          <t>Admin User Medidata</t>
        </is>
      </c>
      <c r="C443" s="3" t="inlineStr">
        <is>
          <t>Site Management</t>
        </is>
      </c>
      <c r="D443" s="3" t="inlineStr">
        <is>
          <t>Site Management</t>
        </is>
      </c>
      <c r="E443" s="3" t="inlineStr">
        <is>
          <t>Site Confirmation Letter</t>
        </is>
      </c>
      <c r="F443" s="3" t="inlineStr">
        <is>
          <t/>
        </is>
      </c>
      <c r="G443" s="2" t="str">
        <f>HYPERLINK("https://vtmf.veevavault.com/ui/#doc_info/30619684/1/0", "VTMF-24672166")</f>
        <v>VTMF-24672166</v>
      </c>
      <c r="H443" s="3" t="inlineStr">
        <is>
          <t/>
        </is>
      </c>
      <c r="I443" s="3" t="inlineStr">
        <is>
          <t>System</t>
        </is>
      </c>
      <c r="J443" s="3" t="inlineStr">
        <is>
          <t>Admin User Medidata</t>
        </is>
      </c>
      <c r="K443" s="4" t="n">
        <v>46007.9747337963</v>
      </c>
      <c r="L443" s="5" t="n">
        <v>46007.0</v>
      </c>
      <c r="M443" s="3" t="inlineStr">
        <is>
          <t>Approved</t>
        </is>
      </c>
      <c r="N443" s="3" t="inlineStr">
        <is>
          <t>Available for Distribution, CLIX Filing, Not associated to a milestone</t>
        </is>
      </c>
      <c r="O443" s="3" t="inlineStr">
        <is>
          <t>Czech Republic</t>
        </is>
      </c>
      <c r="P443" s="3" t="inlineStr">
        <is>
          <t>Z92-CZ10004</t>
        </is>
      </c>
      <c r="Q443" s="3" t="inlineStr">
        <is>
          <t>77242113UCO2001</t>
        </is>
      </c>
    </row>
    <row r="444">
      <c r="A444" s="2" t="str">
        <f>HYPERLINK("https://vtmf.veevavault.com/ui/#doc_info/30385163/1/0", "77242113UCO2001-CZE-Z92-CZ10004-Site Confirmation Letter-SMVR_CL-19 Nov 2025 (v1.0)")</f>
        <v>77242113UCO2001-CZE-Z92-CZ10004-Site Confirmation Letter-SMVR_CL-19 Nov 2025 (v1.0)</v>
      </c>
      <c r="B444" s="3" t="inlineStr">
        <is>
          <t>Admin User Medidata</t>
        </is>
      </c>
      <c r="C444" s="3" t="inlineStr">
        <is>
          <t>Site Management</t>
        </is>
      </c>
      <c r="D444" s="3" t="inlineStr">
        <is>
          <t>Site Management</t>
        </is>
      </c>
      <c r="E444" s="3" t="inlineStr">
        <is>
          <t>Site Confirmation Letter</t>
        </is>
      </c>
      <c r="F444" s="3" t="inlineStr">
        <is>
          <t/>
        </is>
      </c>
      <c r="G444" s="2" t="str">
        <f>HYPERLINK("https://vtmf.veevavault.com/ui/#doc_info/30385163/1/0", "VTMF-24474161")</f>
        <v>VTMF-24474161</v>
      </c>
      <c r="H444" s="3" t="inlineStr">
        <is>
          <t/>
        </is>
      </c>
      <c r="I444" s="3" t="inlineStr">
        <is>
          <t>System</t>
        </is>
      </c>
      <c r="J444" s="3" t="inlineStr">
        <is>
          <t>Admin User Medidata</t>
        </is>
      </c>
      <c r="K444" s="4" t="n">
        <v>45975.64065972222</v>
      </c>
      <c r="L444" s="5" t="n">
        <v>45975.0</v>
      </c>
      <c r="M444" s="3" t="inlineStr">
        <is>
          <t>Approved</t>
        </is>
      </c>
      <c r="N444" s="3" t="inlineStr">
        <is>
          <t>Available for Distribution, CLIX Filing, Not associated to a milestone</t>
        </is>
      </c>
      <c r="O444" s="3" t="inlineStr">
        <is>
          <t>Czech Republic</t>
        </is>
      </c>
      <c r="P444" s="3" t="inlineStr">
        <is>
          <t>Z92-CZ10004</t>
        </is>
      </c>
      <c r="Q444" s="3" t="inlineStr">
        <is>
          <t>77242113UCO2001</t>
        </is>
      </c>
    </row>
    <row r="445">
      <c r="A445" s="2" t="str">
        <f>HYPERLINK("https://vtmf.veevavault.com/ui/#doc_info/29764468/1/0", "77242113UCO2001-CZE-Z92-CZ10004-Site Confirmation Letter-SMVR_CL-21 Aug 2025 (v1.0)")</f>
        <v>77242113UCO2001-CZE-Z92-CZ10004-Site Confirmation Letter-SMVR_CL-21 Aug 2025 (v1.0)</v>
      </c>
      <c r="B445" s="3" t="inlineStr">
        <is>
          <t>Admin User Medidata</t>
        </is>
      </c>
      <c r="C445" s="3" t="inlineStr">
        <is>
          <t>Site Management</t>
        </is>
      </c>
      <c r="D445" s="3" t="inlineStr">
        <is>
          <t>Site Management</t>
        </is>
      </c>
      <c r="E445" s="3" t="inlineStr">
        <is>
          <t>Site Confirmation Letter</t>
        </is>
      </c>
      <c r="F445" s="3" t="inlineStr">
        <is>
          <t/>
        </is>
      </c>
      <c r="G445" s="2" t="str">
        <f>HYPERLINK("https://vtmf.veevavault.com/ui/#doc_info/29764468/1/0", "VTMF-23951064")</f>
        <v>VTMF-23951064</v>
      </c>
      <c r="H445" s="3" t="inlineStr">
        <is>
          <t/>
        </is>
      </c>
      <c r="I445" s="3" t="inlineStr">
        <is>
          <t>System</t>
        </is>
      </c>
      <c r="J445" s="3" t="inlineStr">
        <is>
          <t>Admin User Medidata</t>
        </is>
      </c>
      <c r="K445" s="4" t="n">
        <v>45883.55613425926</v>
      </c>
      <c r="L445" s="5" t="n">
        <v>45883.0</v>
      </c>
      <c r="M445" s="3" t="inlineStr">
        <is>
          <t>Approved</t>
        </is>
      </c>
      <c r="N445" s="3" t="inlineStr">
        <is>
          <t>Available for Distribution, CLIX Filing, Not associated to a milestone</t>
        </is>
      </c>
      <c r="O445" s="3" t="inlineStr">
        <is>
          <t>Czech Republic</t>
        </is>
      </c>
      <c r="P445" s="3" t="inlineStr">
        <is>
          <t>Z92-CZ10004</t>
        </is>
      </c>
      <c r="Q445" s="3" t="inlineStr">
        <is>
          <t>77242113UCO2001</t>
        </is>
      </c>
    </row>
    <row r="446">
      <c r="A446" s="2" t="str">
        <f>HYPERLINK("https://vtmf.veevavault.com/ui/#doc_info/28086273/1/0", "77242113UCO2001-CZE-Z92-CZ10004-Site Confirmation Letter-SMVR_CL-21 Jan 2025 (v1.0)")</f>
        <v>77242113UCO2001-CZE-Z92-CZ10004-Site Confirmation Letter-SMVR_CL-21 Jan 2025 (v1.0)</v>
      </c>
      <c r="B446" s="3" t="inlineStr">
        <is>
          <t>Admin User Medidata</t>
        </is>
      </c>
      <c r="C446" s="3" t="inlineStr">
        <is>
          <t>Site Management</t>
        </is>
      </c>
      <c r="D446" s="3" t="inlineStr">
        <is>
          <t>Site Management</t>
        </is>
      </c>
      <c r="E446" s="3" t="inlineStr">
        <is>
          <t>Site Confirmation Letter</t>
        </is>
      </c>
      <c r="F446" s="3" t="inlineStr">
        <is>
          <t/>
        </is>
      </c>
      <c r="G446" s="2" t="str">
        <f>HYPERLINK("https://vtmf.veevavault.com/ui/#doc_info/28086273/1/0", "VTMF-22524346")</f>
        <v>VTMF-22524346</v>
      </c>
      <c r="H446" s="3" t="inlineStr">
        <is>
          <t/>
        </is>
      </c>
      <c r="I446" s="3" t="inlineStr">
        <is>
          <t>System</t>
        </is>
      </c>
      <c r="J446" s="3" t="inlineStr">
        <is>
          <t>Admin User Medidata</t>
        </is>
      </c>
      <c r="K446" s="4" t="n">
        <v>45672.933171296296</v>
      </c>
      <c r="L446" s="5" t="n">
        <v>45672.0</v>
      </c>
      <c r="M446" s="3" t="inlineStr">
        <is>
          <t>Approved</t>
        </is>
      </c>
      <c r="N446" s="3" t="inlineStr">
        <is>
          <t>Available for Distribution, CLIX Filing, Not associated to a milestone</t>
        </is>
      </c>
      <c r="O446" s="3" t="inlineStr">
        <is>
          <t>Czech Republic</t>
        </is>
      </c>
      <c r="P446" s="3" t="inlineStr">
        <is>
          <t>Z92-CZ10004</t>
        </is>
      </c>
      <c r="Q446" s="3" t="inlineStr">
        <is>
          <t>77242113UCO2001</t>
        </is>
      </c>
    </row>
    <row r="447">
      <c r="A447" s="2" t="str">
        <f>HYPERLINK("https://vtmf.veevavault.com/ui/#doc_info/27507839/1/0", "77242113UCO2001-CZE-Z92-CZ10004-Site Confirmation Letter-SMVR_CL-22 Nov 2024 (v1.0)")</f>
        <v>77242113UCO2001-CZE-Z92-CZ10004-Site Confirmation Letter-SMVR_CL-22 Nov 2024 (v1.0)</v>
      </c>
      <c r="B447" s="3" t="inlineStr">
        <is>
          <t>Admin User Medidata</t>
        </is>
      </c>
      <c r="C447" s="3" t="inlineStr">
        <is>
          <t>Site Management</t>
        </is>
      </c>
      <c r="D447" s="3" t="inlineStr">
        <is>
          <t>Site Management</t>
        </is>
      </c>
      <c r="E447" s="3" t="inlineStr">
        <is>
          <t>Site Confirmation Letter</t>
        </is>
      </c>
      <c r="F447" s="3" t="inlineStr">
        <is>
          <t/>
        </is>
      </c>
      <c r="G447" s="2" t="str">
        <f>HYPERLINK("https://vtmf.veevavault.com/ui/#doc_info/27507839/1/0", "VTMF-22063601")</f>
        <v>VTMF-22063601</v>
      </c>
      <c r="H447" s="3" t="inlineStr">
        <is>
          <t/>
        </is>
      </c>
      <c r="I447" s="3" t="inlineStr">
        <is>
          <t>System</t>
        </is>
      </c>
      <c r="J447" s="3" t="inlineStr">
        <is>
          <t>Admin User Medidata</t>
        </is>
      </c>
      <c r="K447" s="4" t="n">
        <v>45614.77559027778</v>
      </c>
      <c r="L447" s="5" t="n">
        <v>45614.0</v>
      </c>
      <c r="M447" s="3" t="inlineStr">
        <is>
          <t>Approved</t>
        </is>
      </c>
      <c r="N447" s="3" t="inlineStr">
        <is>
          <t>Available for Distribution, CLIX Filing, Not associated to a milestone</t>
        </is>
      </c>
      <c r="O447" s="3" t="inlineStr">
        <is>
          <t>Czech Republic</t>
        </is>
      </c>
      <c r="P447" s="3" t="inlineStr">
        <is>
          <t>Z92-CZ10004</t>
        </is>
      </c>
      <c r="Q447" s="3" t="inlineStr">
        <is>
          <t>77242113UCO2001</t>
        </is>
      </c>
    </row>
    <row r="448">
      <c r="A448" s="2" t="str">
        <f>HYPERLINK("https://vtmf.veevavault.com/ui/#doc_info/26153077/1/0", "77242113UCO2001-CZE-Z92-CZ10004-Site Confirmation Letter-SMVR_CL-24 Apr 2024 (v1.0)")</f>
        <v>77242113UCO2001-CZE-Z92-CZ10004-Site Confirmation Letter-SMVR_CL-24 Apr 2024 (v1.0)</v>
      </c>
      <c r="B448" s="3" t="inlineStr">
        <is>
          <t>Admin User Medidata</t>
        </is>
      </c>
      <c r="C448" s="3" t="inlineStr">
        <is>
          <t>Site Management</t>
        </is>
      </c>
      <c r="D448" s="3" t="inlineStr">
        <is>
          <t>Site Management</t>
        </is>
      </c>
      <c r="E448" s="3" t="inlineStr">
        <is>
          <t>Site Confirmation Letter</t>
        </is>
      </c>
      <c r="F448" s="3" t="inlineStr">
        <is>
          <t/>
        </is>
      </c>
      <c r="G448" s="2" t="str">
        <f>HYPERLINK("https://vtmf.veevavault.com/ui/#doc_info/26153077/1/0", "VTMF-20914946")</f>
        <v>VTMF-20914946</v>
      </c>
      <c r="H448" s="3" t="inlineStr">
        <is>
          <t/>
        </is>
      </c>
      <c r="I448" s="3" t="inlineStr">
        <is>
          <t>System</t>
        </is>
      </c>
      <c r="J448" s="3" t="inlineStr">
        <is>
          <t>Admin User Medidata</t>
        </is>
      </c>
      <c r="K448" s="4" t="n">
        <v>45399.97461805555</v>
      </c>
      <c r="L448" s="5" t="n">
        <v>45399.0</v>
      </c>
      <c r="M448" s="3" t="inlineStr">
        <is>
          <t>Approved</t>
        </is>
      </c>
      <c r="N448" s="3" t="inlineStr">
        <is>
          <t>Available for Distribution, CLIX Filing, Site Close</t>
        </is>
      </c>
      <c r="O448" s="3" t="inlineStr">
        <is>
          <t>Czech Republic</t>
        </is>
      </c>
      <c r="P448" s="3" t="inlineStr">
        <is>
          <t>Z92-CZ10004</t>
        </is>
      </c>
      <c r="Q448" s="3" t="inlineStr">
        <is>
          <t>77242113UCO2001</t>
        </is>
      </c>
    </row>
    <row r="449">
      <c r="A449" s="2" t="str">
        <f>HYPERLINK("https://vtmf.veevavault.com/ui/#doc_info/27101772/1/0", "77242113UCO2001-CZE-Z92-CZ10004-Site Confirmation Letter-SMVR_CL-26 Sep 2024 (v1.0)")</f>
        <v>77242113UCO2001-CZE-Z92-CZ10004-Site Confirmation Letter-SMVR_CL-26 Sep 2024 (v1.0)</v>
      </c>
      <c r="B449" s="3" t="inlineStr">
        <is>
          <t>Admin User Medidata</t>
        </is>
      </c>
      <c r="C449" s="3" t="inlineStr">
        <is>
          <t>Site Management</t>
        </is>
      </c>
      <c r="D449" s="3" t="inlineStr">
        <is>
          <t>Site Management</t>
        </is>
      </c>
      <c r="E449" s="3" t="inlineStr">
        <is>
          <t>Site Confirmation Letter</t>
        </is>
      </c>
      <c r="F449" s="3" t="inlineStr">
        <is>
          <t/>
        </is>
      </c>
      <c r="G449" s="2" t="str">
        <f>HYPERLINK("https://vtmf.veevavault.com/ui/#doc_info/27101772/1/0", "VTMF-21725796")</f>
        <v>VTMF-21725796</v>
      </c>
      <c r="H449" s="3" t="inlineStr">
        <is>
          <t/>
        </is>
      </c>
      <c r="I449" s="3" t="inlineStr">
        <is>
          <t>System</t>
        </is>
      </c>
      <c r="J449" s="3" t="inlineStr">
        <is>
          <t>Admin User Medidata</t>
        </is>
      </c>
      <c r="K449" s="4" t="n">
        <v>45553.97623842592</v>
      </c>
      <c r="L449" s="5" t="n">
        <v>45553.0</v>
      </c>
      <c r="M449" s="3" t="inlineStr">
        <is>
          <t>Approved</t>
        </is>
      </c>
      <c r="N449" s="3" t="inlineStr">
        <is>
          <t>Available for Distribution, CLIX Filing, Site Close</t>
        </is>
      </c>
      <c r="O449" s="3" t="inlineStr">
        <is>
          <t>Czech Republic</t>
        </is>
      </c>
      <c r="P449" s="3" t="inlineStr">
        <is>
          <t>Z92-CZ10004</t>
        </is>
      </c>
      <c r="Q449" s="3" t="inlineStr">
        <is>
          <t>77242113UCO2001</t>
        </is>
      </c>
    </row>
    <row r="450">
      <c r="A450" s="2" t="str">
        <f>HYPERLINK("https://vtmf.veevavault.com/ui/#doc_info/24106744/2/0", "77242113UCO2001-CZE-Z92-CZ10004-Site Signature Sheet-07 Feb 2024 (v2.0)")</f>
        <v>77242113UCO2001-CZE-Z92-CZ10004-Site Signature Sheet-07 Feb 2024 (v2.0)</v>
      </c>
      <c r="B450" s="3" t="inlineStr">
        <is>
          <t>EDL Admin</t>
        </is>
      </c>
      <c r="C450" s="3" t="inlineStr">
        <is>
          <t>Site Management</t>
        </is>
      </c>
      <c r="D450" s="3" t="inlineStr">
        <is>
          <t>Site Set-up Documentation</t>
        </is>
      </c>
      <c r="E450" s="3" t="inlineStr">
        <is>
          <t>Site Signature Sheet</t>
        </is>
      </c>
      <c r="F450" s="3" t="inlineStr">
        <is>
          <t>DL_Vanasek Tomas_initial_SIV-site Z92-CZ10004_07Feb24</t>
        </is>
      </c>
      <c r="G450" s="2" t="str">
        <f>HYPERLINK("https://vtmf.veevavault.com/ui/#doc_info/24106744/2/0", "VTMF-19121355")</f>
        <v>VTMF-19121355</v>
      </c>
      <c r="H450" s="3" t="inlineStr">
        <is>
          <t/>
        </is>
      </c>
      <c r="I450" s="3" t="inlineStr">
        <is>
          <t>Anthony Suarez (veeva.com)</t>
        </is>
      </c>
      <c r="J450" s="3" t="inlineStr">
        <is>
          <t>Lenka Placha</t>
        </is>
      </c>
      <c r="K450" s="4" t="n">
        <v>45371.851435185185</v>
      </c>
      <c r="L450" s="5" t="n">
        <v>45371.0</v>
      </c>
      <c r="M450" s="3" t="inlineStr">
        <is>
          <t>Approved</t>
        </is>
      </c>
      <c r="N450" s="3" t="inlineStr">
        <is>
          <t>Available for Distribution, CLIX Filing, Site Close</t>
        </is>
      </c>
      <c r="O450" s="3" t="inlineStr">
        <is>
          <t>Czech Republic</t>
        </is>
      </c>
      <c r="P450" s="3" t="inlineStr">
        <is>
          <t>Z92-CZ10004</t>
        </is>
      </c>
      <c r="Q450" s="3" t="inlineStr">
        <is>
          <t>77242113UCO2001</t>
        </is>
      </c>
    </row>
    <row r="451">
      <c r="A451" s="2" t="str">
        <f>HYPERLINK("https://vtmf.veevavault.com/ui/#doc_info/31277135/1/0", "77242113UCO2001-CZE-Z92-CZ10004-Site Signature Sheet-18 Mar 2026 (v1.0)")</f>
        <v>77242113UCO2001-CZE-Z92-CZ10004-Site Signature Sheet-18 Mar 2026 (v1.0)</v>
      </c>
      <c r="B451" s="3" t="inlineStr">
        <is>
          <t>Michaela Sapíková</t>
        </is>
      </c>
      <c r="C451" s="3" t="inlineStr">
        <is>
          <t>Site Management</t>
        </is>
      </c>
      <c r="D451" s="3" t="inlineStr">
        <is>
          <t>Site Set-up Documentation</t>
        </is>
      </c>
      <c r="E451" s="3" t="inlineStr">
        <is>
          <t>Site Signature Sheet</t>
        </is>
      </c>
      <c r="F451" s="3" t="inlineStr">
        <is>
          <t>Delegation Log_18Mar2026</t>
        </is>
      </c>
      <c r="G451" s="2" t="str">
        <f>HYPERLINK("https://vtmf.veevavault.com/ui/#doc_info/31277135/1/0", "VTMF-25224527")</f>
        <v>VTMF-25224527</v>
      </c>
      <c r="H451" s="3" t="inlineStr">
        <is>
          <t/>
        </is>
      </c>
      <c r="I451" s="3" t="inlineStr">
        <is>
          <t>System</t>
        </is>
      </c>
      <c r="J451" s="3" t="inlineStr">
        <is>
          <t>Michaela Sapíková</t>
        </is>
      </c>
      <c r="K451" s="4" t="n">
        <v>46107.41950231481</v>
      </c>
      <c r="L451" s="5" t="n">
        <v>46107.0</v>
      </c>
      <c r="M451" s="3" t="inlineStr">
        <is>
          <t>Approved</t>
        </is>
      </c>
      <c r="N451" s="3" t="inlineStr">
        <is>
          <t>Available for Distribution, CLIX Filing, Site Close, Study Start</t>
        </is>
      </c>
      <c r="O451" s="3" t="inlineStr">
        <is>
          <t>Czech Republic</t>
        </is>
      </c>
      <c r="P451" s="3" t="inlineStr">
        <is>
          <t>Z92-CZ10004</t>
        </is>
      </c>
      <c r="Q451" s="3" t="inlineStr">
        <is>
          <t>77242113UCO2001</t>
        </is>
      </c>
    </row>
    <row r="452">
      <c r="A452" s="2" t="str">
        <f>HYPERLINK("https://vtmf.veevavault.com/ui/#doc_info/25939428/1/0", "77242113UCO2001-CZE-Z92-CZ10004-Site Training Documentation-02 Aug 2022 (v1.0)")</f>
        <v>77242113UCO2001-CZE-Z92-CZ10004-Site Training Documentation-02 Aug 2022 (v1.0)</v>
      </c>
      <c r="B452" s="3" t="inlineStr">
        <is>
          <t>Lenka Placha</t>
        </is>
      </c>
      <c r="C452" s="3" t="inlineStr">
        <is>
          <t>Site Management</t>
        </is>
      </c>
      <c r="D452" s="3" t="inlineStr">
        <is>
          <t>Site Initiation</t>
        </is>
      </c>
      <c r="E452" s="3" t="inlineStr">
        <is>
          <t>Site Training Documentation</t>
        </is>
      </c>
      <c r="F452" s="3" t="inlineStr">
        <is>
          <t>IATA_SN Chudickova Jana_Initial_02Aug22-02Aug24</t>
        </is>
      </c>
      <c r="G452" s="2" t="str">
        <f>HYPERLINK("https://vtmf.veevavault.com/ui/#doc_info/25939428/1/0", "VTMF-20726460")</f>
        <v>VTMF-20726460</v>
      </c>
      <c r="H452" s="3" t="inlineStr">
        <is>
          <t/>
        </is>
      </c>
      <c r="I452" s="3" t="inlineStr">
        <is>
          <t>Anthony Suarez (veeva.com)</t>
        </is>
      </c>
      <c r="J452" s="3" t="inlineStr">
        <is>
          <t>Lenka Placha</t>
        </is>
      </c>
      <c r="K452" s="4" t="n">
        <v>45368.05619212963</v>
      </c>
      <c r="L452" s="5" t="n">
        <v>45367.0</v>
      </c>
      <c r="M452" s="3" t="inlineStr">
        <is>
          <t>Approved</t>
        </is>
      </c>
      <c r="N452" s="3" t="inlineStr">
        <is>
          <t>Available for Distribution, CLIX Filing, Site Close</t>
        </is>
      </c>
      <c r="O452" s="3" t="inlineStr">
        <is>
          <t>Czech Republic</t>
        </is>
      </c>
      <c r="P452" s="3" t="inlineStr">
        <is>
          <t>Z92-CZ10004</t>
        </is>
      </c>
      <c r="Q452" s="3" t="inlineStr">
        <is>
          <t>77242113UCO2001</t>
        </is>
      </c>
    </row>
    <row r="453">
      <c r="A453" s="2" t="str">
        <f>HYPERLINK("https://vtmf.veevavault.com/ui/#doc_info/25939429/2/0", "77242113UCO2001-CZE-Z92-CZ10004-Site Training Documentation-06 Jan 2025 (v2.0)")</f>
        <v>77242113UCO2001-CZE-Z92-CZ10004-Site Training Documentation-06 Jan 2025 (v2.0)</v>
      </c>
      <c r="B453" s="3" t="inlineStr">
        <is>
          <t>Lenka Placha</t>
        </is>
      </c>
      <c r="C453" s="3" t="inlineStr">
        <is>
          <t>Site Management</t>
        </is>
      </c>
      <c r="D453" s="3" t="inlineStr">
        <is>
          <t>Site Initiation</t>
        </is>
      </c>
      <c r="E453" s="3" t="inlineStr">
        <is>
          <t>Site Training Documentation</t>
        </is>
      </c>
      <c r="F453" s="3" t="inlineStr">
        <is>
          <t>IATA_SN Hnidkova Miluse_interim_06Jan25-06Jan27</t>
        </is>
      </c>
      <c r="G453" s="2" t="str">
        <f>HYPERLINK("https://vtmf.veevavault.com/ui/#doc_info/25939429/2/0", "VTMF-20726461")</f>
        <v>VTMF-20726461</v>
      </c>
      <c r="H453" s="3" t="inlineStr">
        <is>
          <t/>
        </is>
      </c>
      <c r="I453" s="3" t="inlineStr">
        <is>
          <t>Anthony Suarez (veeva.com)</t>
        </is>
      </c>
      <c r="J453" s="3" t="inlineStr">
        <is>
          <t>Lenka Placha</t>
        </is>
      </c>
      <c r="K453" s="4" t="n">
        <v>45679.52427083333</v>
      </c>
      <c r="L453" s="5" t="n">
        <v>45679.0</v>
      </c>
      <c r="M453" s="3" t="inlineStr">
        <is>
          <t>Approved</t>
        </is>
      </c>
      <c r="N453" s="3" t="inlineStr">
        <is>
          <t>Available for Distribution, CLIX Filing, Site Close</t>
        </is>
      </c>
      <c r="O453" s="3" t="inlineStr">
        <is>
          <t>Czech Republic</t>
        </is>
      </c>
      <c r="P453" s="3" t="inlineStr">
        <is>
          <t>Z92-CZ10004</t>
        </is>
      </c>
      <c r="Q453" s="3" t="inlineStr">
        <is>
          <t>77242113UCO2001</t>
        </is>
      </c>
    </row>
    <row r="454">
      <c r="A454" s="2" t="str">
        <f>HYPERLINK("https://vtmf.veevavault.com/ui/#doc_info/25939431/2/0", "77242113UCO2001-CZE-Z92-CZ10004-Site Training Documentation-06 Jan 2025 (v2.0)")</f>
        <v>77242113UCO2001-CZE-Z92-CZ10004-Site Training Documentation-06 Jan 2025 (v2.0)</v>
      </c>
      <c r="B454" s="3" t="inlineStr">
        <is>
          <t>Lenka Placha</t>
        </is>
      </c>
      <c r="C454" s="3" t="inlineStr">
        <is>
          <t>Site Management</t>
        </is>
      </c>
      <c r="D454" s="3" t="inlineStr">
        <is>
          <t>Site Initiation</t>
        </is>
      </c>
      <c r="E454" s="3" t="inlineStr">
        <is>
          <t>Site Training Documentation</t>
        </is>
      </c>
      <c r="F454" s="3" t="inlineStr">
        <is>
          <t>IATA_SN Zdarska Petra_Interim_06Jan25-06Jan27</t>
        </is>
      </c>
      <c r="G454" s="2" t="str">
        <f>HYPERLINK("https://vtmf.veevavault.com/ui/#doc_info/25939431/2/0", "VTMF-20726463")</f>
        <v>VTMF-20726463</v>
      </c>
      <c r="H454" s="3" t="inlineStr">
        <is>
          <t/>
        </is>
      </c>
      <c r="I454" s="3" t="inlineStr">
        <is>
          <t>System</t>
        </is>
      </c>
      <c r="J454" s="3" t="inlineStr">
        <is>
          <t>Lenka Placha</t>
        </is>
      </c>
      <c r="K454" s="4" t="n">
        <v>45679.52846064815</v>
      </c>
      <c r="L454" s="5" t="n">
        <v>45679.0</v>
      </c>
      <c r="M454" s="3" t="inlineStr">
        <is>
          <t>Approved</t>
        </is>
      </c>
      <c r="N454" s="3" t="inlineStr">
        <is>
          <t>Available for Distribution, CLIX Filing, Site Close</t>
        </is>
      </c>
      <c r="O454" s="3" t="inlineStr">
        <is>
          <t>Czech Republic</t>
        </is>
      </c>
      <c r="P454" s="3" t="inlineStr">
        <is>
          <t>Z92-CZ10004</t>
        </is>
      </c>
      <c r="Q454" s="3" t="inlineStr">
        <is>
          <t>77242113UCO2001</t>
        </is>
      </c>
    </row>
    <row r="455">
      <c r="A455" s="2" t="str">
        <f>HYPERLINK("https://vtmf.veevavault.com/ui/#doc_info/25939430/1/0", "77242113UCO2001-CZE-Z92-CZ10004-Site Training Documentation-11 Sep 2023 (v1.0)")</f>
        <v>77242113UCO2001-CZE-Z92-CZ10004-Site Training Documentation-11 Sep 2023 (v1.0)</v>
      </c>
      <c r="B455" s="3" t="inlineStr">
        <is>
          <t>Lenka Placha</t>
        </is>
      </c>
      <c r="C455" s="3" t="inlineStr">
        <is>
          <t>Site Management</t>
        </is>
      </c>
      <c r="D455" s="3" t="inlineStr">
        <is>
          <t>Site Initiation</t>
        </is>
      </c>
      <c r="E455" s="3" t="inlineStr">
        <is>
          <t>Site Training Documentation</t>
        </is>
      </c>
      <c r="F455" s="3" t="inlineStr">
        <is>
          <t>IATA_SN Kutikova Simona_Initial_11Sep23-11Sep25</t>
        </is>
      </c>
      <c r="G455" s="2" t="str">
        <f>HYPERLINK("https://vtmf.veevavault.com/ui/#doc_info/25939430/1/0", "VTMF-20726462")</f>
        <v>VTMF-20726462</v>
      </c>
      <c r="H455" s="3" t="inlineStr">
        <is>
          <t/>
        </is>
      </c>
      <c r="I455" s="3" t="inlineStr">
        <is>
          <t>Anthony Suarez (veeva.com)</t>
        </is>
      </c>
      <c r="J455" s="3" t="inlineStr">
        <is>
          <t>Lenka Placha</t>
        </is>
      </c>
      <c r="K455" s="4" t="n">
        <v>45368.05619212963</v>
      </c>
      <c r="L455" s="5" t="n">
        <v>45367.0</v>
      </c>
      <c r="M455" s="3" t="inlineStr">
        <is>
          <t>Approved</t>
        </is>
      </c>
      <c r="N455" s="3" t="inlineStr">
        <is>
          <t>Available for Distribution, CLIX Filing, Site Close</t>
        </is>
      </c>
      <c r="O455" s="3" t="inlineStr">
        <is>
          <t>Czech Republic</t>
        </is>
      </c>
      <c r="P455" s="3" t="inlineStr">
        <is>
          <t>Z92-CZ10004</t>
        </is>
      </c>
      <c r="Q455" s="3" t="inlineStr">
        <is>
          <t>77242113UCO2001</t>
        </is>
      </c>
    </row>
    <row r="456">
      <c r="A456" s="2" t="str">
        <f>HYPERLINK("https://vtmf.veevavault.com/ui/#doc_info/25939432/1/0", "77242113UCO2001-CZE-Z92-CZ10004-Site Training Documentation-14 Oct 2023 (v1.0)")</f>
        <v>77242113UCO2001-CZE-Z92-CZ10004-Site Training Documentation-14 Oct 2023 (v1.0)</v>
      </c>
      <c r="B456" s="3" t="inlineStr">
        <is>
          <t>Lenka Placha</t>
        </is>
      </c>
      <c r="C456" s="3" t="inlineStr">
        <is>
          <t>Site Management</t>
        </is>
      </c>
      <c r="D456" s="3" t="inlineStr">
        <is>
          <t>Site Initiation</t>
        </is>
      </c>
      <c r="E456" s="3" t="inlineStr">
        <is>
          <t>Site Training Documentation</t>
        </is>
      </c>
      <c r="F456" s="3" t="inlineStr">
        <is>
          <t>IATA_PI Vanasek Tomas_Initial_14Oct23-14Oct25</t>
        </is>
      </c>
      <c r="G456" s="2" t="str">
        <f>HYPERLINK("https://vtmf.veevavault.com/ui/#doc_info/25939432/1/0", "VTMF-20726464")</f>
        <v>VTMF-20726464</v>
      </c>
      <c r="H456" s="3" t="inlineStr">
        <is>
          <t/>
        </is>
      </c>
      <c r="I456" s="3" t="inlineStr">
        <is>
          <t>Anthony Suarez (veeva.com)</t>
        </is>
      </c>
      <c r="J456" s="3" t="inlineStr">
        <is>
          <t>Lenka Placha</t>
        </is>
      </c>
      <c r="K456" s="4" t="n">
        <v>45368.05619212963</v>
      </c>
      <c r="L456" s="5" t="n">
        <v>45367.0</v>
      </c>
      <c r="M456" s="3" t="inlineStr">
        <is>
          <t>Approved</t>
        </is>
      </c>
      <c r="N456" s="3" t="inlineStr">
        <is>
          <t>Available for Distribution, CLIX Filing, Site Close</t>
        </is>
      </c>
      <c r="O456" s="3" t="inlineStr">
        <is>
          <t>Czech Republic</t>
        </is>
      </c>
      <c r="P456" s="3" t="inlineStr">
        <is>
          <t>Z92-CZ10004</t>
        </is>
      </c>
      <c r="Q456" s="3" t="inlineStr">
        <is>
          <t>77242113UCO2001</t>
        </is>
      </c>
    </row>
    <row r="457">
      <c r="A457" s="2" t="str">
        <f>HYPERLINK("https://vtmf.veevavault.com/ui/#doc_info/25939433/1/0", "77242113UCO2001-CZE-Z92-CZ10004-Site Training Documentation-14 Oct 2023 (v1.0)")</f>
        <v>77242113UCO2001-CZE-Z92-CZ10004-Site Training Documentation-14 Oct 2023 (v1.0)</v>
      </c>
      <c r="B457" s="3" t="inlineStr">
        <is>
          <t>Lenka Placha</t>
        </is>
      </c>
      <c r="C457" s="3" t="inlineStr">
        <is>
          <t>Site Management</t>
        </is>
      </c>
      <c r="D457" s="3" t="inlineStr">
        <is>
          <t>Site Initiation</t>
        </is>
      </c>
      <c r="E457" s="3" t="inlineStr">
        <is>
          <t>Site Training Documentation</t>
        </is>
      </c>
      <c r="F457" s="3" t="inlineStr">
        <is>
          <t>IATA_SI Volfova Miroslava_Initial_ 14Oct23-14Oct25</t>
        </is>
      </c>
      <c r="G457" s="2" t="str">
        <f>HYPERLINK("https://vtmf.veevavault.com/ui/#doc_info/25939433/1/0", "VTMF-20726465")</f>
        <v>VTMF-20726465</v>
      </c>
      <c r="H457" s="3" t="inlineStr">
        <is>
          <t/>
        </is>
      </c>
      <c r="I457" s="3" t="inlineStr">
        <is>
          <t>Anthony Suarez (veeva.com)</t>
        </is>
      </c>
      <c r="J457" s="3" t="inlineStr">
        <is>
          <t>Lenka Placha</t>
        </is>
      </c>
      <c r="K457" s="4" t="n">
        <v>45368.05619212963</v>
      </c>
      <c r="L457" s="5" t="n">
        <v>45367.0</v>
      </c>
      <c r="M457" s="3" t="inlineStr">
        <is>
          <t>Approved</t>
        </is>
      </c>
      <c r="N457" s="3" t="inlineStr">
        <is>
          <t>Available for Distribution, CLIX Filing, Site Close</t>
        </is>
      </c>
      <c r="O457" s="3" t="inlineStr">
        <is>
          <t>Czech Republic</t>
        </is>
      </c>
      <c r="P457" s="3" t="inlineStr">
        <is>
          <t>Z92-CZ10004</t>
        </is>
      </c>
      <c r="Q457" s="3" t="inlineStr">
        <is>
          <t>77242113UCO2001</t>
        </is>
      </c>
    </row>
    <row r="458">
      <c r="A458" s="2" t="str">
        <f>HYPERLINK("https://vtmf.veevavault.com/ui/#doc_info/31278322/1/0", "77242113UCO2001-CZE-Z92-CZ10004-Site Training Documentation-18 Mar 2026 (v1.0)")</f>
        <v>77242113UCO2001-CZE-Z92-CZ10004-Site Training Documentation-18 Mar 2026 (v1.0)</v>
      </c>
      <c r="B458" s="3" t="inlineStr">
        <is>
          <t>Michaela Sapíková</t>
        </is>
      </c>
      <c r="C458" s="3" t="inlineStr">
        <is>
          <t>Site Management</t>
        </is>
      </c>
      <c r="D458" s="3" t="inlineStr">
        <is>
          <t>Site Initiation</t>
        </is>
      </c>
      <c r="E458" s="3" t="inlineStr">
        <is>
          <t>Site Training Documentation</t>
        </is>
      </c>
      <c r="F458" s="3" t="inlineStr">
        <is>
          <t>Training Log_site staff</t>
        </is>
      </c>
      <c r="G458" s="2" t="str">
        <f>HYPERLINK("https://vtmf.veevavault.com/ui/#doc_info/31278322/1/0", "VTMF-25225588")</f>
        <v>VTMF-25225588</v>
      </c>
      <c r="H458" s="3" t="inlineStr">
        <is>
          <t/>
        </is>
      </c>
      <c r="I458" s="3" t="inlineStr">
        <is>
          <t>System</t>
        </is>
      </c>
      <c r="J458" s="3" t="inlineStr">
        <is>
          <t>Michaela Sapíková</t>
        </is>
      </c>
      <c r="K458" s="4" t="n">
        <v>46107.54386574074</v>
      </c>
      <c r="L458" s="5" t="n">
        <v>46107.0</v>
      </c>
      <c r="M458" s="3" t="inlineStr">
        <is>
          <t>Approved</t>
        </is>
      </c>
      <c r="N458" s="3" t="inlineStr">
        <is>
          <t>Available for Distribution, CLIX Filing, Site Start</t>
        </is>
      </c>
      <c r="O458" s="3" t="inlineStr">
        <is>
          <t>Czech Republic</t>
        </is>
      </c>
      <c r="P458" s="3" t="inlineStr">
        <is>
          <t>Z92-CZ10004</t>
        </is>
      </c>
      <c r="Q458" s="3" t="inlineStr">
        <is>
          <t>77242113UCO2001</t>
        </is>
      </c>
    </row>
    <row r="459">
      <c r="A459" s="2" t="str">
        <f>HYPERLINK("https://vtmf.veevavault.com/ui/#doc_info/26152966/2/0", "77242113UCO2001-CZE-Z92-CZ10004-Site Training Documentation-27 May 2024 (v2.0)")</f>
        <v>77242113UCO2001-CZE-Z92-CZ10004-Site Training Documentation-27 May 2024 (v2.0)</v>
      </c>
      <c r="B459" s="3" t="inlineStr">
        <is>
          <t>Lenka Placha</t>
        </is>
      </c>
      <c r="C459" s="3" t="inlineStr">
        <is>
          <t>Site Management</t>
        </is>
      </c>
      <c r="D459" s="3" t="inlineStr">
        <is>
          <t>Site Initiation</t>
        </is>
      </c>
      <c r="E459" s="3" t="inlineStr">
        <is>
          <t>Site Training Documentation</t>
        </is>
      </c>
      <c r="F459" s="3" t="inlineStr">
        <is>
          <t>CSSRS certificate PI_ Vanasek Tomas_27May24</t>
        </is>
      </c>
      <c r="G459" s="2" t="str">
        <f>HYPERLINK("https://vtmf.veevavault.com/ui/#doc_info/26152966/2/0", "VTMF-20914860")</f>
        <v>VTMF-20914860</v>
      </c>
      <c r="H459" s="3" t="inlineStr">
        <is>
          <t/>
        </is>
      </c>
      <c r="I459" s="3" t="inlineStr">
        <is>
          <t>Anthony Suarez (veeva.com)</t>
        </is>
      </c>
      <c r="J459" s="3" t="inlineStr">
        <is>
          <t>Lenka Placha</t>
        </is>
      </c>
      <c r="K459" s="4" t="n">
        <v>45440.520787037036</v>
      </c>
      <c r="L459" s="5" t="n">
        <v>45440.0</v>
      </c>
      <c r="M459" s="3" t="inlineStr">
        <is>
          <t>Approved</t>
        </is>
      </c>
      <c r="N459" s="3" t="inlineStr">
        <is>
          <t>Available for Distribution, CLIX Filing, Site Close</t>
        </is>
      </c>
      <c r="O459" s="3" t="inlineStr">
        <is>
          <t>Czech Republic</t>
        </is>
      </c>
      <c r="P459" s="3" t="inlineStr">
        <is>
          <t>Z92-CZ10004</t>
        </is>
      </c>
      <c r="Q459" s="3" t="inlineStr">
        <is>
          <t>77242113UCO2001</t>
        </is>
      </c>
    </row>
    <row r="460">
      <c r="A460" s="2" t="str">
        <f>HYPERLINK("https://vtmf.veevavault.com/ui/#doc_info/26405304/1/0", "77242113UCO2001-CZE-Z92-CZ10004-Site Training Documentation-27 May 2024 (v1.0)")</f>
        <v>77242113UCO2001-CZE-Z92-CZ10004-Site Training Documentation-27 May 2024 (v1.0)</v>
      </c>
      <c r="B460" s="3" t="inlineStr">
        <is>
          <t>Lenka Placha</t>
        </is>
      </c>
      <c r="C460" s="3" t="inlineStr">
        <is>
          <t>Site Management</t>
        </is>
      </c>
      <c r="D460" s="3" t="inlineStr">
        <is>
          <t>Site Initiation</t>
        </is>
      </c>
      <c r="E460" s="3" t="inlineStr">
        <is>
          <t>Site Training Documentation</t>
        </is>
      </c>
      <c r="F460" s="3" t="inlineStr">
        <is>
          <t>CSSRS certificate SI_ Volfova Miroslava_27May24</t>
        </is>
      </c>
      <c r="G460" s="2" t="str">
        <f>HYPERLINK("https://vtmf.veevavault.com/ui/#doc_info/26405304/1/0", "VTMF-21133600")</f>
        <v>VTMF-21133600</v>
      </c>
      <c r="H460" s="3" t="inlineStr">
        <is>
          <t/>
        </is>
      </c>
      <c r="I460" s="3" t="inlineStr">
        <is>
          <t>Anthony Suarez (veeva.com)</t>
        </is>
      </c>
      <c r="J460" s="3" t="inlineStr">
        <is>
          <t>Lenka Placha</t>
        </is>
      </c>
      <c r="K460" s="4" t="n">
        <v>45440.44665509259</v>
      </c>
      <c r="L460" s="5" t="n">
        <v>45440.0</v>
      </c>
      <c r="M460" s="3" t="inlineStr">
        <is>
          <t>Approved</t>
        </is>
      </c>
      <c r="N460" s="3" t="inlineStr">
        <is>
          <t>Available for Distribution, CLIX Filing, Site Close</t>
        </is>
      </c>
      <c r="O460" s="3" t="inlineStr">
        <is>
          <t>Czech Republic</t>
        </is>
      </c>
      <c r="P460" s="3" t="inlineStr">
        <is>
          <t>Z92-CZ10004</t>
        </is>
      </c>
      <c r="Q460" s="3" t="inlineStr">
        <is>
          <t>77242113UCO2001</t>
        </is>
      </c>
    </row>
    <row r="461">
      <c r="A461" s="2" t="str">
        <f>HYPERLINK("https://vtmf.veevavault.com/ui/#doc_info/24382834/1/0", "77242113UCO2001-CZE-Z92-CZ10004-Site/Staff Qualification Supporting Information (v1.0)")</f>
        <v>77242113UCO2001-CZE-Z92-CZ10004-Site/Staff Qualification Supporting Information (v1.0)</v>
      </c>
      <c r="B461" s="3" t="inlineStr">
        <is>
          <t>Marketa Zachova</t>
        </is>
      </c>
      <c r="C461" s="3" t="inlineStr">
        <is>
          <t>Site Management</t>
        </is>
      </c>
      <c r="D461" s="3" t="inlineStr">
        <is>
          <t>Site Set-up Documentation</t>
        </is>
      </c>
      <c r="E461" s="3" t="inlineStr">
        <is>
          <t>Site and Staff Qualification Supporting Information</t>
        </is>
      </c>
      <c r="F461" s="3" t="inlineStr">
        <is>
          <t>N1_Site Suitability Form Hepato-gastroenterologie HK_CZ_CZE_77242113UCO2001_v1_21Jun2023</t>
        </is>
      </c>
      <c r="G461" s="2" t="str">
        <f>HYPERLINK("https://vtmf.veevavault.com/ui/#doc_info/24382834/1/0", "VTMF-19364302")</f>
        <v>VTMF-19364302</v>
      </c>
      <c r="H461" s="3" t="inlineStr">
        <is>
          <t/>
        </is>
      </c>
      <c r="I461" s="3" t="inlineStr">
        <is>
          <t>Anthony Suarez (veeva.com)</t>
        </is>
      </c>
      <c r="J461" s="3" t="inlineStr">
        <is>
          <t>Marketa Zachova</t>
        </is>
      </c>
      <c r="K461" s="4" t="n">
        <v>45111.50697916667</v>
      </c>
      <c r="L461" s="5" t="n">
        <v>45111.0</v>
      </c>
      <c r="M461" s="3" t="inlineStr">
        <is>
          <t>Approved</t>
        </is>
      </c>
      <c r="N461" s="3" t="inlineStr">
        <is>
          <t>Available for Distribution, CLIX Filing, Site Close</t>
        </is>
      </c>
      <c r="O461" s="3" t="inlineStr">
        <is>
          <t>Czech Republic</t>
        </is>
      </c>
      <c r="P461" s="3" t="inlineStr">
        <is>
          <t>Z92-CZ10004</t>
        </is>
      </c>
      <c r="Q461" s="3" t="inlineStr">
        <is>
          <t>77242113UCO2001</t>
        </is>
      </c>
    </row>
    <row r="462">
      <c r="A462" s="2" t="str">
        <f>HYPERLINK("https://vtmf.veevavault.com/ui/#doc_info/24384662/1/0", "77242113UCO2001-CZE-Z92-CZ10004-Site/Staff Qualification Supporting Information (v1.0)")</f>
        <v>77242113UCO2001-CZE-Z92-CZ10004-Site/Staff Qualification Supporting Information (v1.0)</v>
      </c>
      <c r="B462" s="3" t="inlineStr">
        <is>
          <t>Jitka Kone</t>
        </is>
      </c>
      <c r="C462" s="3" t="inlineStr">
        <is>
          <t>Site Management</t>
        </is>
      </c>
      <c r="D462" s="3" t="inlineStr">
        <is>
          <t>Site Set-up Documentation</t>
        </is>
      </c>
      <c r="E462" s="3" t="inlineStr">
        <is>
          <t>Site and Staff Qualification Supporting Information</t>
        </is>
      </c>
      <c r="F462" s="3" t="inlineStr">
        <is>
          <t>REDACTED_N1_Site Suitability Form Hepato-gastroenterologie HK_CZ_CZE_77242113UCO2001_v1_21Jun2023</t>
        </is>
      </c>
      <c r="G462" s="2" t="str">
        <f>HYPERLINK("https://vtmf.veevavault.com/ui/#doc_info/24384662/1/0", "VTMF-19365837")</f>
        <v>VTMF-19365837</v>
      </c>
      <c r="H462" s="3" t="inlineStr">
        <is>
          <t/>
        </is>
      </c>
      <c r="I462" s="3" t="inlineStr">
        <is>
          <t>Anthony Suarez (veeva.com)</t>
        </is>
      </c>
      <c r="J462" s="3" t="inlineStr">
        <is>
          <t>Jitka Kone</t>
        </is>
      </c>
      <c r="K462" s="4" t="n">
        <v>45111.68922453704</v>
      </c>
      <c r="L462" s="5" t="n">
        <v>45111.0</v>
      </c>
      <c r="M462" s="3" t="inlineStr">
        <is>
          <t>Approved</t>
        </is>
      </c>
      <c r="N462" s="3" t="inlineStr">
        <is>
          <t>Available for Distribution, CLIX Filing, Site Close</t>
        </is>
      </c>
      <c r="O462" s="3" t="inlineStr">
        <is>
          <t>Czech Republic</t>
        </is>
      </c>
      <c r="P462" s="3" t="inlineStr">
        <is>
          <t>Z92-CZ10004</t>
        </is>
      </c>
      <c r="Q462" s="3" t="inlineStr">
        <is>
          <t>77242113UCO2001</t>
        </is>
      </c>
    </row>
    <row r="463">
      <c r="A463" s="2" t="str">
        <f>HYPERLINK("https://vtmf.veevavault.com/ui/#doc_info/24405015/1/0", "77242113UCO2001-CZE-Z92-CZ10004-Site/Staff Qualification Supporting Information (v1.0)")</f>
        <v>77242113UCO2001-CZE-Z92-CZ10004-Site/Staff Qualification Supporting Information (v1.0)</v>
      </c>
      <c r="B463" s="3" t="inlineStr">
        <is>
          <t>Marketa Zachova</t>
        </is>
      </c>
      <c r="C463" s="3" t="inlineStr">
        <is>
          <t>Site Management</t>
        </is>
      </c>
      <c r="D463" s="3" t="inlineStr">
        <is>
          <t>Site Set-up Documentation</t>
        </is>
      </c>
      <c r="E463" s="3" t="inlineStr">
        <is>
          <t>Site and Staff Qualification Supporting Information</t>
        </is>
      </c>
      <c r="F463" s="3" t="inlineStr">
        <is>
          <t>N1_Registration of Facility Hepato-gastroenterologie_CZ_CZE_77242113UCO2001_v1_15May2002</t>
        </is>
      </c>
      <c r="G463" s="2" t="str">
        <f>HYPERLINK("https://vtmf.veevavault.com/ui/#doc_info/24405015/1/0", "VTMF-19382923")</f>
        <v>VTMF-19382923</v>
      </c>
      <c r="H463" s="3" t="inlineStr">
        <is>
          <t/>
        </is>
      </c>
      <c r="I463" s="3" t="inlineStr">
        <is>
          <t>Anthony Suarez (veeva.com)</t>
        </is>
      </c>
      <c r="J463" s="3" t="inlineStr">
        <is>
          <t>Marketa Zachova</t>
        </is>
      </c>
      <c r="K463" s="4" t="n">
        <v>45114.430497685185</v>
      </c>
      <c r="L463" s="5" t="n">
        <v>45114.0</v>
      </c>
      <c r="M463" s="3" t="inlineStr">
        <is>
          <t>Approved</t>
        </is>
      </c>
      <c r="N463" s="3" t="inlineStr">
        <is>
          <t>Available for Distribution, CLIX Filing, Site Close</t>
        </is>
      </c>
      <c r="O463" s="3" t="inlineStr">
        <is>
          <t>Czech Republic</t>
        </is>
      </c>
      <c r="P463" s="3" t="inlineStr">
        <is>
          <t>Z92-CZ10004</t>
        </is>
      </c>
      <c r="Q463" s="3" t="inlineStr">
        <is>
          <t>77242113UCO2001</t>
        </is>
      </c>
    </row>
    <row r="464">
      <c r="A464" s="2" t="str">
        <f>HYPERLINK("https://vtmf.veevavault.com/ui/#doc_info/24408094/1/0", "77242113UCO2001-CZE-Z92-CZ10004-Site/Staff Qualification Supporting Information (v1.0)")</f>
        <v>77242113UCO2001-CZE-Z92-CZ10004-Site/Staff Qualification Supporting Information (v1.0)</v>
      </c>
      <c r="B464" s="3" t="inlineStr">
        <is>
          <t>Marketa Zachova</t>
        </is>
      </c>
      <c r="C464" s="3" t="inlineStr">
        <is>
          <t>Site Management</t>
        </is>
      </c>
      <c r="D464" s="3" t="inlineStr">
        <is>
          <t>Site Set-up Documentation</t>
        </is>
      </c>
      <c r="E464" s="3" t="inlineStr">
        <is>
          <t>Site and Staff Qualification Supporting Information</t>
        </is>
      </c>
      <c r="F464" s="3" t="inlineStr">
        <is>
          <t>REDACTED_N1_Registration of Facility Hepato-gastroenterologie_CZ_CZE_77242113UCO2001_v1_15May2002</t>
        </is>
      </c>
      <c r="G464" s="2" t="str">
        <f>HYPERLINK("https://vtmf.veevavault.com/ui/#doc_info/24408094/1/0", "VTMF-19385560")</f>
        <v>VTMF-19385560</v>
      </c>
      <c r="H464" s="3" t="inlineStr">
        <is>
          <t/>
        </is>
      </c>
      <c r="I464" s="3" t="inlineStr">
        <is>
          <t>Anthony Suarez (veeva.com)</t>
        </is>
      </c>
      <c r="J464" s="3" t="inlineStr">
        <is>
          <t>Marketa Zachova</t>
        </is>
      </c>
      <c r="K464" s="4" t="n">
        <v>45114.70402777778</v>
      </c>
      <c r="L464" s="5" t="n">
        <v>45114.0</v>
      </c>
      <c r="M464" s="3" t="inlineStr">
        <is>
          <t>Approved</t>
        </is>
      </c>
      <c r="N464" s="3" t="inlineStr">
        <is>
          <t>Available for Distribution, CLIX Filing, Site Close</t>
        </is>
      </c>
      <c r="O464" s="3" t="inlineStr">
        <is>
          <t>Czech Republic</t>
        </is>
      </c>
      <c r="P464" s="3" t="inlineStr">
        <is>
          <t>Z92-CZ10004</t>
        </is>
      </c>
      <c r="Q464" s="3" t="inlineStr">
        <is>
          <t>77242113UCO2001</t>
        </is>
      </c>
    </row>
    <row r="465">
      <c r="A465" s="2" t="str">
        <f>HYPERLINK("https://vtmf.veevavault.com/ui/#doc_info/25672196/1/0", "77242113UCO2001-CZE-Z92-CZ10004-Source Data-07 Feb 2024 (v1.0)")</f>
        <v>77242113UCO2001-CZE-Z92-CZ10004-Source Data-07 Feb 2024 (v1.0)</v>
      </c>
      <c r="B465" s="3" t="inlineStr">
        <is>
          <t>VI-2153 Enterprise RPA Bot</t>
        </is>
      </c>
      <c r="C465" s="3" t="inlineStr">
        <is>
          <t>Site Management</t>
        </is>
      </c>
      <c r="D465" s="3" t="inlineStr">
        <is>
          <t>Site Management</t>
        </is>
      </c>
      <c r="E465" s="3" t="inlineStr">
        <is>
          <t>Source Data</t>
        </is>
      </c>
      <c r="F465" s="3" t="inlineStr">
        <is>
          <t>SDIA</t>
        </is>
      </c>
      <c r="G465" s="2" t="str">
        <f>HYPERLINK("https://vtmf.veevavault.com/ui/#doc_info/25672196/1/0", "VTMF-20490762")</f>
        <v>VTMF-20490762</v>
      </c>
      <c r="H465" s="3" t="inlineStr">
        <is>
          <t/>
        </is>
      </c>
      <c r="I465" s="3" t="inlineStr">
        <is>
          <t>Anthony Suarez (veeva.com)</t>
        </is>
      </c>
      <c r="J465" s="3" t="inlineStr">
        <is>
          <t>VI-2153 Enterprise RPA Bot</t>
        </is>
      </c>
      <c r="K465" s="4" t="n">
        <v>45329.61380787037</v>
      </c>
      <c r="L465" s="5" t="n">
        <v>45330.0</v>
      </c>
      <c r="M465" s="3" t="inlineStr">
        <is>
          <t>Approved</t>
        </is>
      </c>
      <c r="N465" s="3" t="inlineStr">
        <is>
          <t>Available for Distribution, CLIX Filing, Site Close</t>
        </is>
      </c>
      <c r="O465" s="3" t="inlineStr">
        <is>
          <t>Czech Republic</t>
        </is>
      </c>
      <c r="P465" s="3" t="inlineStr">
        <is>
          <t>Z92-CZ10004</t>
        </is>
      </c>
      <c r="Q465" s="3" t="inlineStr">
        <is>
          <t>77242113UCO2001</t>
        </is>
      </c>
    </row>
    <row r="466">
      <c r="A466" s="2" t="str">
        <f>HYPERLINK("https://vtmf.veevavault.com/ui/#doc_info/25731985/1/0", "77242113UCO2001-CZE-Z92-CZ10004-Source Data-07 Feb 2024 (v1.0)")</f>
        <v>77242113UCO2001-CZE-Z92-CZ10004-Source Data-07 Feb 2024 (v1.0)</v>
      </c>
      <c r="B466" s="3" t="inlineStr">
        <is>
          <t>Lenka Placha</t>
        </is>
      </c>
      <c r="C466" s="3" t="inlineStr">
        <is>
          <t>Site Management</t>
        </is>
      </c>
      <c r="D466" s="3" t="inlineStr">
        <is>
          <t>Site Management</t>
        </is>
      </c>
      <c r="E466" s="3" t="inlineStr">
        <is>
          <t>Source Data</t>
        </is>
      </c>
      <c r="F466" s="3" t="inlineStr">
        <is>
          <t>PI statement -source documentation_07Feb24</t>
        </is>
      </c>
      <c r="G466" s="2" t="str">
        <f>HYPERLINK("https://vtmf.veevavault.com/ui/#doc_info/25731985/1/0", "VTMF-20543337")</f>
        <v>VTMF-20543337</v>
      </c>
      <c r="H466" s="3" t="inlineStr">
        <is>
          <t/>
        </is>
      </c>
      <c r="I466" s="3" t="inlineStr">
        <is>
          <t>Anthony Suarez (veeva.com)</t>
        </is>
      </c>
      <c r="J466" s="3" t="inlineStr">
        <is>
          <t>Lenka Placha</t>
        </is>
      </c>
      <c r="K466" s="4" t="n">
        <v>45338.523622685185</v>
      </c>
      <c r="L466" s="5" t="n">
        <v>45338.0</v>
      </c>
      <c r="M466" s="3" t="inlineStr">
        <is>
          <t>Approved</t>
        </is>
      </c>
      <c r="N466" s="3" t="inlineStr">
        <is>
          <t>Available for Distribution, CLIX Filing, Site Close</t>
        </is>
      </c>
      <c r="O466" s="3" t="inlineStr">
        <is>
          <t>Czech Republic</t>
        </is>
      </c>
      <c r="P466" s="3" t="inlineStr">
        <is>
          <t>Z92-CZ10004</t>
        </is>
      </c>
      <c r="Q466" s="3" t="inlineStr">
        <is>
          <t>77242113UCO2001</t>
        </is>
      </c>
    </row>
    <row r="467">
      <c r="A467" s="2" t="str">
        <f>HYPERLINK("https://vtmf.veevavault.com/ui/#doc_info/29828275/1/0", "77242113UCO2001-CZE-Z92-CZ10004-Source Data-21 Aug 2025 (v1.0)")</f>
        <v>77242113UCO2001-CZE-Z92-CZ10004-Source Data-21 Aug 2025 (v1.0)</v>
      </c>
      <c r="B467" s="3" t="inlineStr">
        <is>
          <t>Lenka Placha</t>
        </is>
      </c>
      <c r="C467" s="3" t="inlineStr">
        <is>
          <t>Site Management</t>
        </is>
      </c>
      <c r="D467" s="3" t="inlineStr">
        <is>
          <t>Site Management</t>
        </is>
      </c>
      <c r="E467" s="3" t="inlineStr">
        <is>
          <t>Source Data</t>
        </is>
      </c>
      <c r="F467" s="3" t="inlineStr">
        <is>
          <t>Site confirmation video receipt form- ALIMENTIV_PI Vanasek Tomas_16Apr2025- email 21Aug2025</t>
        </is>
      </c>
      <c r="G467" s="2" t="str">
        <f>HYPERLINK("https://vtmf.veevavault.com/ui/#doc_info/29828275/1/0", "VTMF-24005847")</f>
        <v>VTMF-24005847</v>
      </c>
      <c r="H467" s="3" t="inlineStr">
        <is>
          <t/>
        </is>
      </c>
      <c r="I467" s="3" t="inlineStr">
        <is>
          <t>System</t>
        </is>
      </c>
      <c r="J467" s="3" t="inlineStr">
        <is>
          <t>Lenka Placha</t>
        </is>
      </c>
      <c r="K467" s="4" t="n">
        <v>45895.38774305556</v>
      </c>
      <c r="L467" s="5" t="n">
        <v>45895.0</v>
      </c>
      <c r="M467" s="3" t="inlineStr">
        <is>
          <t>Approved</t>
        </is>
      </c>
      <c r="N467" s="3" t="inlineStr">
        <is>
          <t>Available for Distribution, CLIX Filing, Site Start</t>
        </is>
      </c>
      <c r="O467" s="3" t="inlineStr">
        <is>
          <t>Czech Republic</t>
        </is>
      </c>
      <c r="P467" s="3" t="inlineStr">
        <is>
          <t>Z92-CZ10004</t>
        </is>
      </c>
      <c r="Q467" s="3" t="inlineStr">
        <is>
          <t>77242113UCO2001</t>
        </is>
      </c>
    </row>
    <row r="468">
      <c r="A468" s="2" t="str">
        <f>HYPERLINK("https://vtmf.veevavault.com/ui/#doc_info/25731611/2/0", "77242113UCO2001-CZE-Z92-CZ10004-Sub-Investigator Curriculum Vitae-21 Aug 2025 (v2.0)")</f>
        <v>77242113UCO2001-CZE-Z92-CZ10004-Sub-Investigator Curriculum Vitae-21 Aug 2025 (v2.0)</v>
      </c>
      <c r="B468" s="3" t="inlineStr">
        <is>
          <t>Lenka Placha</t>
        </is>
      </c>
      <c r="C468" s="3" t="inlineStr">
        <is>
          <t>Site Management</t>
        </is>
      </c>
      <c r="D468" s="3" t="inlineStr">
        <is>
          <t>Site Set-up Documentation</t>
        </is>
      </c>
      <c r="E468" s="3" t="inlineStr">
        <is>
          <t>Sub-Investigator Curriculum Vitae</t>
        </is>
      </c>
      <c r="F468" s="3" t="inlineStr">
        <is>
          <t>CV_EN_SI Gabrisova Paula_revised_21Aug2025__Missing specification that completed training ICH GCP was R3</t>
        </is>
      </c>
      <c r="G468" s="2" t="str">
        <f>HYPERLINK("https://vtmf.veevavault.com/ui/#doc_info/25731611/2/0", "VTMF-20543003")</f>
        <v>VTMF-20543003</v>
      </c>
      <c r="H468" s="3" t="inlineStr">
        <is>
          <t/>
        </is>
      </c>
      <c r="I468" s="3" t="inlineStr">
        <is>
          <t>System</t>
        </is>
      </c>
      <c r="J468" s="3" t="inlineStr">
        <is>
          <t>Lenka Placha</t>
        </is>
      </c>
      <c r="K468" s="4" t="n">
        <v>45897.832037037035</v>
      </c>
      <c r="L468" s="5" t="n">
        <v>45897.0</v>
      </c>
      <c r="M468" s="3" t="inlineStr">
        <is>
          <t>Approved</t>
        </is>
      </c>
      <c r="N468" s="3" t="inlineStr">
        <is>
          <t>Available for Distribution, CLIX Filing, Site Close</t>
        </is>
      </c>
      <c r="O468" s="3" t="inlineStr">
        <is>
          <t>Czech Republic</t>
        </is>
      </c>
      <c r="P468" s="3" t="inlineStr">
        <is>
          <t>Z92-CZ10004</t>
        </is>
      </c>
      <c r="Q468" s="3" t="inlineStr">
        <is>
          <t>77242113UCO2001</t>
        </is>
      </c>
    </row>
    <row r="469">
      <c r="A469" s="2" t="str">
        <f>HYPERLINK("https://vtmf.veevavault.com/ui/#doc_info/27052802/2/0", "77242113UCO2001-CZE-Z92-CZ10004-Sub-Investigator Curriculum Vitae-21 Aug 2025 (v2.0)")</f>
        <v>77242113UCO2001-CZE-Z92-CZ10004-Sub-Investigator Curriculum Vitae-21 Aug 2025 (v2.0)</v>
      </c>
      <c r="B469" s="3" t="inlineStr">
        <is>
          <t>Lenka Placha</t>
        </is>
      </c>
      <c r="C469" s="3" t="inlineStr">
        <is>
          <t>Site Management</t>
        </is>
      </c>
      <c r="D469" s="3" t="inlineStr">
        <is>
          <t>Site Set-up Documentation</t>
        </is>
      </c>
      <c r="E469" s="3" t="inlineStr">
        <is>
          <t>Sub-Investigator Curriculum Vitae</t>
        </is>
      </c>
      <c r="F469" s="3" t="inlineStr">
        <is>
          <t>CV_EN_SI Zimandlova Dana_revised_21AUG2025_Missing information that ICH GCP R3 training was completed in JUL2025</t>
        </is>
      </c>
      <c r="G469" s="2" t="str">
        <f>HYPERLINK("https://vtmf.veevavault.com/ui/#doc_info/27052802/2/0", "VTMF-21684242")</f>
        <v>VTMF-21684242</v>
      </c>
      <c r="H469" s="3" t="inlineStr">
        <is>
          <t/>
        </is>
      </c>
      <c r="I469" s="3" t="inlineStr">
        <is>
          <t>System</t>
        </is>
      </c>
      <c r="J469" s="3" t="inlineStr">
        <is>
          <t>Agnesa Ruiz Kajtarova</t>
        </is>
      </c>
      <c r="K469" s="4" t="n">
        <v>45912.64508101852</v>
      </c>
      <c r="L469" s="5" t="n">
        <v>45912.0</v>
      </c>
      <c r="M469" s="3" t="inlineStr">
        <is>
          <t>Approved</t>
        </is>
      </c>
      <c r="N469" s="3" t="inlineStr">
        <is>
          <t>Available for Distribution, CLIX Filing, Site Close</t>
        </is>
      </c>
      <c r="O469" s="3" t="inlineStr">
        <is>
          <t>Czech Republic</t>
        </is>
      </c>
      <c r="P469" s="3" t="inlineStr">
        <is>
          <t>Z92-CZ10004</t>
        </is>
      </c>
      <c r="Q469" s="3" t="inlineStr">
        <is>
          <t>77242113UCO2001</t>
        </is>
      </c>
    </row>
    <row r="470">
      <c r="A470" s="2" t="str">
        <f>HYPERLINK("https://vtmf.veevavault.com/ui/#doc_info/24106747/2/0", "77242113UCO2001-CZE-Z92-CZ10004-Sub-Investigator Curriculum Vitae-25 Aug 2025 (v2.0)")</f>
        <v>77242113UCO2001-CZE-Z92-CZ10004-Sub-Investigator Curriculum Vitae-25 Aug 2025 (v2.0)</v>
      </c>
      <c r="B470" s="3" t="inlineStr">
        <is>
          <t>EDL Admin</t>
        </is>
      </c>
      <c r="C470" s="3" t="inlineStr">
        <is>
          <t>Site Management</t>
        </is>
      </c>
      <c r="D470" s="3" t="inlineStr">
        <is>
          <t>Site Set-up Documentation</t>
        </is>
      </c>
      <c r="E470" s="3" t="inlineStr">
        <is>
          <t>Sub-Investigator Curriculum Vitae</t>
        </is>
      </c>
      <c r="F470" s="3" t="inlineStr">
        <is>
          <t>CV_EN_SI Volfova Miroslava_revised_25AUG2025_Missing that ICH GCP R3 was completed on Jul2025</t>
        </is>
      </c>
      <c r="G470" s="2" t="str">
        <f>HYPERLINK("https://vtmf.veevavault.com/ui/#doc_info/24106747/2/0", "VTMF-19121358")</f>
        <v>VTMF-19121358</v>
      </c>
      <c r="H470" s="3" t="inlineStr">
        <is>
          <t/>
        </is>
      </c>
      <c r="I470" s="3" t="inlineStr">
        <is>
          <t>System</t>
        </is>
      </c>
      <c r="J470" s="3" t="inlineStr">
        <is>
          <t>Agnesa Ruiz Kajtarova</t>
        </is>
      </c>
      <c r="K470" s="4" t="n">
        <v>45912.64341435185</v>
      </c>
      <c r="L470" s="5" t="n">
        <v>45912.0</v>
      </c>
      <c r="M470" s="3" t="inlineStr">
        <is>
          <t>Approved</t>
        </is>
      </c>
      <c r="N470" s="3" t="inlineStr">
        <is>
          <t>Available for Distribution, CLIX Filing, Site Close</t>
        </is>
      </c>
      <c r="O470" s="3" t="inlineStr">
        <is>
          <t>Czech Republic</t>
        </is>
      </c>
      <c r="P470" s="3" t="inlineStr">
        <is>
          <t>Z92-CZ10004</t>
        </is>
      </c>
      <c r="Q470" s="3" t="inlineStr">
        <is>
          <t>77242113UCO2001</t>
        </is>
      </c>
    </row>
    <row r="471">
      <c r="A471" s="2" t="str">
        <f>HYPERLINK("https://vtmf.veevavault.com/ui/#doc_info/31278364/1/0", "77242113UCO2001-CZE-Z92-CZ10004-Subject Screening Log-18 Mar 2026 (v1.0)")</f>
        <v>77242113UCO2001-CZE-Z92-CZ10004-Subject Screening Log-18 Mar 2026 (v1.0)</v>
      </c>
      <c r="B471" s="3" t="inlineStr">
        <is>
          <t>Michaela Sapíková</t>
        </is>
      </c>
      <c r="C471" s="3" t="inlineStr">
        <is>
          <t>Site Management</t>
        </is>
      </c>
      <c r="D471" s="3" t="inlineStr">
        <is>
          <t>Site Management</t>
        </is>
      </c>
      <c r="E471" s="3" t="inlineStr">
        <is>
          <t>Subject Screening Log</t>
        </is>
      </c>
      <c r="F471" s="3" t="inlineStr">
        <is>
          <t>ICF log site Z92-CZ10004 08Jul2024</t>
        </is>
      </c>
      <c r="G471" s="2" t="str">
        <f>HYPERLINK("https://vtmf.veevavault.com/ui/#doc_info/31278364/1/0", "VTMF-25225680")</f>
        <v>VTMF-25225680</v>
      </c>
      <c r="H471" s="3" t="inlineStr">
        <is>
          <t/>
        </is>
      </c>
      <c r="I471" s="3" t="inlineStr">
        <is>
          <t>System</t>
        </is>
      </c>
      <c r="J471" s="3" t="inlineStr">
        <is>
          <t>Michaela Sapíková</t>
        </is>
      </c>
      <c r="K471" s="4" t="n">
        <v>46107.55961805556</v>
      </c>
      <c r="L471" s="5" t="n">
        <v>46126.0</v>
      </c>
      <c r="M471" s="3" t="inlineStr">
        <is>
          <t>Approved</t>
        </is>
      </c>
      <c r="N471" s="3" t="inlineStr">
        <is>
          <t>Available for Distribution, CLIX Filing, Site Close</t>
        </is>
      </c>
      <c r="O471" s="3" t="inlineStr">
        <is>
          <t>Czech Republic</t>
        </is>
      </c>
      <c r="P471" s="3" t="inlineStr">
        <is>
          <t>Z92-CZ10004</t>
        </is>
      </c>
      <c r="Q471" s="3" t="inlineStr">
        <is>
          <t>77242113UCO2001</t>
        </is>
      </c>
    </row>
    <row r="472">
      <c r="A472" s="2" t="str">
        <f>HYPERLINK("https://vtmf.veevavault.com/ui/#doc_info/27773817/1/0", "77242113UCO2001-CZE-Z92-CZ10004-Subject Screening Log-22 Nov 2024 (v1.0)")</f>
        <v>77242113UCO2001-CZE-Z92-CZ10004-Subject Screening Log-22 Nov 2024 (v1.0)</v>
      </c>
      <c r="B472" s="3" t="inlineStr">
        <is>
          <t>Lenka Placha</t>
        </is>
      </c>
      <c r="C472" s="3" t="inlineStr">
        <is>
          <t>Site Management</t>
        </is>
      </c>
      <c r="D472" s="3" t="inlineStr">
        <is>
          <t>Site Management</t>
        </is>
      </c>
      <c r="E472" s="3" t="inlineStr">
        <is>
          <t>Subject Screening Log</t>
        </is>
      </c>
      <c r="F472" s="3" t="inlineStr">
        <is>
          <t>Subj screening log- site Z92-CZ10004_ 22Nov24</t>
        </is>
      </c>
      <c r="G472" s="2" t="str">
        <f>HYPERLINK("https://vtmf.veevavault.com/ui/#doc_info/27773817/1/0", "VTMF-22270645")</f>
        <v>VTMF-22270645</v>
      </c>
      <c r="H472" s="3" t="inlineStr">
        <is>
          <t/>
        </is>
      </c>
      <c r="I472" s="3" t="inlineStr">
        <is>
          <t>Anthony Suarez (veeva.com)</t>
        </is>
      </c>
      <c r="J472" s="3" t="inlineStr">
        <is>
          <t>Lenka Placha</t>
        </is>
      </c>
      <c r="K472" s="4" t="n">
        <v>45625.90201388889</v>
      </c>
      <c r="L472" s="5" t="n">
        <v>45625.0</v>
      </c>
      <c r="M472" s="3" t="inlineStr">
        <is>
          <t>Approved</t>
        </is>
      </c>
      <c r="N472" s="3" t="inlineStr">
        <is>
          <t>Available for Distribution, CLIX Filing, Site Close</t>
        </is>
      </c>
      <c r="O472" s="3" t="inlineStr">
        <is>
          <t>Czech Republic</t>
        </is>
      </c>
      <c r="P472" s="3" t="inlineStr">
        <is>
          <t>Z92-CZ10004</t>
        </is>
      </c>
      <c r="Q472" s="3" t="inlineStr">
        <is>
          <t>77242113UCO2001</t>
        </is>
      </c>
    </row>
    <row r="473">
      <c r="A473" s="2" t="str">
        <f>HYPERLINK("https://vtmf.veevavault.com/ui/#doc_info/27773876/1/0", "77242113UCO2001-CZE-Z92-CZ10004-Subject Screening Log-22 Nov 2024 (v1.0)")</f>
        <v>77242113UCO2001-CZE-Z92-CZ10004-Subject Screening Log-22 Nov 2024 (v1.0)</v>
      </c>
      <c r="B473" s="3" t="inlineStr">
        <is>
          <t>Lenka Placha</t>
        </is>
      </c>
      <c r="C473" s="3" t="inlineStr">
        <is>
          <t>Site Management</t>
        </is>
      </c>
      <c r="D473" s="3" t="inlineStr">
        <is>
          <t>Site Management</t>
        </is>
      </c>
      <c r="E473" s="3" t="inlineStr">
        <is>
          <t>Subject Screening Log</t>
        </is>
      </c>
      <c r="F473" s="3" t="inlineStr">
        <is>
          <t>ICF logs-site Z92-CZ10004_22Nov24</t>
        </is>
      </c>
      <c r="G473" s="2" t="str">
        <f>HYPERLINK("https://vtmf.veevavault.com/ui/#doc_info/27773876/1/0", "VTMF-22270765")</f>
        <v>VTMF-22270765</v>
      </c>
      <c r="H473" s="3" t="inlineStr">
        <is>
          <t/>
        </is>
      </c>
      <c r="I473" s="3" t="inlineStr">
        <is>
          <t>System</t>
        </is>
      </c>
      <c r="J473" s="3" t="inlineStr">
        <is>
          <t>Lenka Placha</t>
        </is>
      </c>
      <c r="K473" s="4" t="n">
        <v>45625.969305555554</v>
      </c>
      <c r="L473" s="5" t="n">
        <v>45625.0</v>
      </c>
      <c r="M473" s="3" t="inlineStr">
        <is>
          <t>Approved</t>
        </is>
      </c>
      <c r="N473" s="3" t="inlineStr">
        <is>
          <t>Available for Distribution, CLIX Filing, Site Close</t>
        </is>
      </c>
      <c r="O473" s="3" t="inlineStr">
        <is>
          <t>Czech Republic</t>
        </is>
      </c>
      <c r="P473" s="3" t="inlineStr">
        <is>
          <t>Z92-CZ10004</t>
        </is>
      </c>
      <c r="Q473" s="3" t="inlineStr">
        <is>
          <t>77242113UCO2001</t>
        </is>
      </c>
    </row>
    <row r="474">
      <c r="A474" s="2" t="str">
        <f>HYPERLINK("https://vtmf.veevavault.com/ui/#doc_info/31278342/1/0", "77242113UCO2001-CZE-Z92-CZ10004-Subject Screening Log-22 Nov 2024 (v1.0)")</f>
        <v>77242113UCO2001-CZE-Z92-CZ10004-Subject Screening Log-22 Nov 2024 (v1.0)</v>
      </c>
      <c r="B474" s="3" t="inlineStr">
        <is>
          <t>Michaela Sapíková</t>
        </is>
      </c>
      <c r="C474" s="3" t="inlineStr">
        <is>
          <t>Site Management</t>
        </is>
      </c>
      <c r="D474" s="3" t="inlineStr">
        <is>
          <t>Site Management</t>
        </is>
      </c>
      <c r="E474" s="3" t="inlineStr">
        <is>
          <t>Subject Screening Log</t>
        </is>
      </c>
      <c r="F474" s="3" t="inlineStr">
        <is>
          <t>Subject screening log_22Nov2024</t>
        </is>
      </c>
      <c r="G474" s="2" t="str">
        <f>HYPERLINK("https://vtmf.veevavault.com/ui/#doc_info/31278342/1/0", "VTMF-25225623")</f>
        <v>VTMF-25225623</v>
      </c>
      <c r="H474" s="3" t="inlineStr">
        <is>
          <t/>
        </is>
      </c>
      <c r="I474" s="3" t="inlineStr">
        <is>
          <t>System</t>
        </is>
      </c>
      <c r="J474" s="3" t="inlineStr">
        <is>
          <t>Michaela Sapíková</t>
        </is>
      </c>
      <c r="K474" s="4" t="n">
        <v>46107.549421296295</v>
      </c>
      <c r="L474" s="5" t="n">
        <v>46107.0</v>
      </c>
      <c r="M474" s="3" t="inlineStr">
        <is>
          <t>Approved</t>
        </is>
      </c>
      <c r="N474" s="3" t="inlineStr">
        <is>
          <t>Available for Distribution, CLIX Filing, Site Close</t>
        </is>
      </c>
      <c r="O474" s="3" t="inlineStr">
        <is>
          <t>Czech Republic</t>
        </is>
      </c>
      <c r="P474" s="3" t="inlineStr">
        <is>
          <t>Z92-CZ10004</t>
        </is>
      </c>
      <c r="Q474" s="3" t="inlineStr">
        <is>
          <t>77242113UCO2001</t>
        </is>
      </c>
    </row>
    <row r="475">
      <c r="A475" s="2" t="str">
        <f>HYPERLINK("https://vtmf.veevavault.com/ui/#doc_info/31277467/1/0", "77242113UCO2001-CZE-Z92-CZ10004-Temperature Log (v1.0)")</f>
        <v>77242113UCO2001-CZE-Z92-CZ10004-Temperature Log (v1.0)</v>
      </c>
      <c r="B475" s="3" t="inlineStr">
        <is>
          <t>Michaela Sapíková</t>
        </is>
      </c>
      <c r="C475" s="3" t="inlineStr">
        <is>
          <t>IP and Trial Supplies</t>
        </is>
      </c>
      <c r="D475" s="3" t="inlineStr">
        <is>
          <t>IP Documentation</t>
        </is>
      </c>
      <c r="E475" s="3" t="inlineStr">
        <is>
          <t>Temperature Log</t>
        </is>
      </c>
      <c r="F475" s="3" t="inlineStr">
        <is>
          <t>IP Temperature log_Mar2024-Nov2025_Farmacy</t>
        </is>
      </c>
      <c r="G475" s="2" t="str">
        <f>HYPERLINK("https://vtmf.veevavault.com/ui/#doc_info/31277467/1/0", "VTMF-25224882")</f>
        <v>VTMF-25224882</v>
      </c>
      <c r="H475" s="3" t="inlineStr">
        <is>
          <t/>
        </is>
      </c>
      <c r="I475" s="3" t="inlineStr">
        <is>
          <t>System</t>
        </is>
      </c>
      <c r="J475" s="3" t="inlineStr">
        <is>
          <t>Michaela Sapíková</t>
        </is>
      </c>
      <c r="K475" s="4" t="n">
        <v>46107.462546296294</v>
      </c>
      <c r="L475" s="5" t="n">
        <v>46107.0</v>
      </c>
      <c r="M475" s="3" t="inlineStr">
        <is>
          <t>Approved</t>
        </is>
      </c>
      <c r="N475" s="3" t="inlineStr">
        <is>
          <t>Site Close</t>
        </is>
      </c>
      <c r="O475" s="3" t="inlineStr">
        <is>
          <t>Czech Republic</t>
        </is>
      </c>
      <c r="P475" s="3" t="inlineStr">
        <is>
          <t>Z92-CZ10004</t>
        </is>
      </c>
      <c r="Q475" s="3" t="inlineStr">
        <is>
          <t>77242113UCO2001</t>
        </is>
      </c>
    </row>
    <row r="476">
      <c r="A476" s="2" t="str">
        <f>HYPERLINK("https://vtmf.veevavault.com/ui/#doc_info/31277508/1/0", "77242113UCO2001-CZE-Z92-CZ10004-Temperature Log (v1.0)")</f>
        <v>77242113UCO2001-CZE-Z92-CZ10004-Temperature Log (v1.0)</v>
      </c>
      <c r="B476" s="3" t="inlineStr">
        <is>
          <t>Michaela Sapíková</t>
        </is>
      </c>
      <c r="C476" s="3" t="inlineStr">
        <is>
          <t>IP and Trial Supplies</t>
        </is>
      </c>
      <c r="D476" s="3" t="inlineStr">
        <is>
          <t>IP Documentation</t>
        </is>
      </c>
      <c r="E476" s="3" t="inlineStr">
        <is>
          <t>Temperature Log</t>
        </is>
      </c>
      <c r="F476" s="3" t="inlineStr">
        <is>
          <t>IP Temperature log_CT material_Mar2024-Nov2025</t>
        </is>
      </c>
      <c r="G476" s="2" t="str">
        <f>HYPERLINK("https://vtmf.veevavault.com/ui/#doc_info/31277508/1/0", "VTMF-25224891")</f>
        <v>VTMF-25224891</v>
      </c>
      <c r="H476" s="3" t="inlineStr">
        <is>
          <t/>
        </is>
      </c>
      <c r="I476" s="3" t="inlineStr">
        <is>
          <t>System</t>
        </is>
      </c>
      <c r="J476" s="3" t="inlineStr">
        <is>
          <t>Michaela Sapíková</t>
        </is>
      </c>
      <c r="K476" s="4" t="n">
        <v>46107.464108796295</v>
      </c>
      <c r="L476" s="5" t="n">
        <v>46107.0</v>
      </c>
      <c r="M476" s="3" t="inlineStr">
        <is>
          <t>Approved</t>
        </is>
      </c>
      <c r="N476" s="3" t="inlineStr">
        <is>
          <t>Site Close</t>
        </is>
      </c>
      <c r="O476" s="3" t="inlineStr">
        <is>
          <t>Czech Republic</t>
        </is>
      </c>
      <c r="P476" s="3" t="inlineStr">
        <is>
          <t>Z92-CZ10004</t>
        </is>
      </c>
      <c r="Q476" s="3" t="inlineStr">
        <is>
          <t>77242113UCO2001</t>
        </is>
      </c>
    </row>
    <row r="477">
      <c r="A477" s="2" t="str">
        <f>HYPERLINK("https://vtmf.veevavault.com/ui/#doc_info/28055951/1/0", "77242113UCO2001-CZE-Z92-CZ10004-Temperature Monitor Validation/Calibration Cert.-27 Aug 2024 (v1.0)")</f>
        <v>77242113UCO2001-CZE-Z92-CZ10004-Temperature Monitor Validation/Calibration Cert.-27 Aug 2024 (v1.0)</v>
      </c>
      <c r="B477" s="3" t="inlineStr">
        <is>
          <t>Jitka Kone</t>
        </is>
      </c>
      <c r="C477" s="3" t="inlineStr">
        <is>
          <t>IP and Trial Supplies</t>
        </is>
      </c>
      <c r="D477" s="3" t="inlineStr">
        <is>
          <t>Storage</t>
        </is>
      </c>
      <c r="E477" s="3" t="inlineStr">
        <is>
          <t>Temperature Monitor Validation/Calibration Certificates</t>
        </is>
      </c>
      <c r="F477" s="3" t="inlineStr">
        <is>
          <t>Calibration certificate datalogger_KLT-24K-7734</t>
        </is>
      </c>
      <c r="G477" s="2" t="str">
        <f>HYPERLINK("https://vtmf.veevavault.com/ui/#doc_info/28055951/1/0", "VTMF-22498776")</f>
        <v>VTMF-22498776</v>
      </c>
      <c r="H477" s="3" t="inlineStr">
        <is>
          <t/>
        </is>
      </c>
      <c r="I477" s="3" t="inlineStr">
        <is>
          <t>System</t>
        </is>
      </c>
      <c r="J477" s="3" t="inlineStr">
        <is>
          <t>Jitka Kone</t>
        </is>
      </c>
      <c r="K477" s="4" t="n">
        <v>45667.570914351854</v>
      </c>
      <c r="L477" s="5" t="n">
        <v>45667.0</v>
      </c>
      <c r="M477" s="3" t="inlineStr">
        <is>
          <t>Approved</t>
        </is>
      </c>
      <c r="N477" s="3" t="inlineStr">
        <is>
          <t>Available for Distribution, CLIX Filing, Country Close, Site Close, Study Close</t>
        </is>
      </c>
      <c r="O477" s="3" t="inlineStr">
        <is>
          <t>Czech Republic</t>
        </is>
      </c>
      <c r="P477" s="3" t="inlineStr">
        <is>
          <t>Z92-CZ10004</t>
        </is>
      </c>
      <c r="Q477" s="3" t="inlineStr">
        <is>
          <t>77242113UCO2001</t>
        </is>
      </c>
    </row>
    <row r="478">
      <c r="A478" s="2" t="str">
        <f>HYPERLINK("https://vtmf.veevavault.com/ui/#doc_info/25713928/1/0", "77242113UCO2001-CZE-Z92-CZ10004-Trial Initiation Monitoring Report-07 Feb 2024 (v1.0)")</f>
        <v>77242113UCO2001-CZE-Z92-CZ10004-Trial Initiation Monitoring Report-07 Feb 2024 (v1.0)</v>
      </c>
      <c r="B478" s="3" t="inlineStr">
        <is>
          <t>Admin User Medidata</t>
        </is>
      </c>
      <c r="C478" s="3" t="inlineStr">
        <is>
          <t>Site Management</t>
        </is>
      </c>
      <c r="D478" s="3" t="inlineStr">
        <is>
          <t>Site Initiation</t>
        </is>
      </c>
      <c r="E478" s="3" t="inlineStr">
        <is>
          <t>Trial Initiation Monitoring Report</t>
        </is>
      </c>
      <c r="F478" s="3" t="inlineStr">
        <is>
          <t/>
        </is>
      </c>
      <c r="G478" s="2" t="str">
        <f>HYPERLINK("https://vtmf.veevavault.com/ui/#doc_info/25713928/1/0", "VTMF-20527725")</f>
        <v>VTMF-20527725</v>
      </c>
      <c r="H478" s="3" t="inlineStr">
        <is>
          <t/>
        </is>
      </c>
      <c r="I478" s="3" t="inlineStr">
        <is>
          <t>System</t>
        </is>
      </c>
      <c r="J478" s="3" t="inlineStr">
        <is>
          <t>Admin User Medidata</t>
        </is>
      </c>
      <c r="K478" s="4" t="n">
        <v>45336.39219907407</v>
      </c>
      <c r="L478" s="5" t="n">
        <v>45336.0</v>
      </c>
      <c r="M478" s="3" t="inlineStr">
        <is>
          <t>Approved</t>
        </is>
      </c>
      <c r="N478" s="3" t="inlineStr">
        <is>
          <t>Available for Distribution, CLIX Filing, Site Close</t>
        </is>
      </c>
      <c r="O478" s="3" t="inlineStr">
        <is>
          <t>Czech Republic</t>
        </is>
      </c>
      <c r="P478" s="3" t="inlineStr">
        <is>
          <t>Z92-CZ10004</t>
        </is>
      </c>
      <c r="Q478" s="3" t="inlineStr">
        <is>
          <t>77242113UCO2001</t>
        </is>
      </c>
    </row>
    <row r="479">
      <c r="A479" s="2" t="str">
        <f>HYPERLINK("https://vtmf.veevavault.com/ui/#doc_info/24106751/3/0", "77242113UCO2001-CZE-Z92-CZ10004-Visit Log (v3.0)")</f>
        <v>77242113UCO2001-CZE-Z92-CZ10004-Visit Log (v3.0)</v>
      </c>
      <c r="B479" s="3" t="inlineStr">
        <is>
          <t>EDL Admin</t>
        </is>
      </c>
      <c r="C479" s="3" t="inlineStr">
        <is>
          <t>Site Management</t>
        </is>
      </c>
      <c r="D479" s="3" t="inlineStr">
        <is>
          <t>Site Management</t>
        </is>
      </c>
      <c r="E479" s="3" t="inlineStr">
        <is>
          <t>Visit Log</t>
        </is>
      </c>
      <c r="F479" s="3" t="inlineStr">
        <is>
          <t>TCVL_site_site Z92-CZ10004-21Aug25</t>
        </is>
      </c>
      <c r="G479" s="2" t="str">
        <f>HYPERLINK("https://vtmf.veevavault.com/ui/#doc_info/24106751/3/0", "VTMF-19121362")</f>
        <v>VTMF-19121362</v>
      </c>
      <c r="H479" s="3" t="inlineStr">
        <is>
          <t/>
        </is>
      </c>
      <c r="I479" s="3" t="inlineStr">
        <is>
          <t>Anthony Suarez (veeva.com)</t>
        </is>
      </c>
      <c r="J479" s="3" t="inlineStr">
        <is>
          <t>Lenka Placha</t>
        </is>
      </c>
      <c r="K479" s="4" t="n">
        <v>45897.85503472222</v>
      </c>
      <c r="L479" s="5" t="n">
        <v>45897.0</v>
      </c>
      <c r="M479" s="3" t="inlineStr">
        <is>
          <t>Approved</t>
        </is>
      </c>
      <c r="N479" s="3" t="inlineStr">
        <is>
          <t>Available for Distribution, CLIX Filing, Site Close</t>
        </is>
      </c>
      <c r="O479" s="3" t="inlineStr">
        <is>
          <t>Czech Republic</t>
        </is>
      </c>
      <c r="P479" s="3" t="inlineStr">
        <is>
          <t>Z92-CZ10004</t>
        </is>
      </c>
      <c r="Q479" s="3" t="inlineStr">
        <is>
          <t>77242113UCO2001</t>
        </is>
      </c>
    </row>
    <row r="480">
      <c r="A480" s="2" t="str">
        <f>HYPERLINK("https://vtmf.veevavault.com/ui/#doc_info/25732079/3/0", "77242113UCO2001-CZE-Z92-CZ10004-Visit Log (v3.0)")</f>
        <v>77242113UCO2001-CZE-Z92-CZ10004-Visit Log (v3.0)</v>
      </c>
      <c r="B480" s="3" t="inlineStr">
        <is>
          <t>Lenka Placha</t>
        </is>
      </c>
      <c r="C480" s="3" t="inlineStr">
        <is>
          <t>Site Management</t>
        </is>
      </c>
      <c r="D480" s="3" t="inlineStr">
        <is>
          <t>Site Management</t>
        </is>
      </c>
      <c r="E480" s="3" t="inlineStr">
        <is>
          <t>Visit Log</t>
        </is>
      </c>
      <c r="F480" s="3" t="inlineStr">
        <is>
          <t>TCVL_pharmacy_site Z92-CZ10004-21Aug25_Missing specification that is Page 1 of 1</t>
        </is>
      </c>
      <c r="G480" s="2" t="str">
        <f>HYPERLINK("https://vtmf.veevavault.com/ui/#doc_info/25732079/3/0", "VTMF-20543429")</f>
        <v>VTMF-20543429</v>
      </c>
      <c r="H480" s="3" t="inlineStr">
        <is>
          <t/>
        </is>
      </c>
      <c r="I480" s="3" t="inlineStr">
        <is>
          <t>System</t>
        </is>
      </c>
      <c r="J480" s="3" t="inlineStr">
        <is>
          <t>Lenka Placha</t>
        </is>
      </c>
      <c r="K480" s="4" t="n">
        <v>45897.85706018518</v>
      </c>
      <c r="L480" s="5" t="n">
        <v>45897.0</v>
      </c>
      <c r="M480" s="3" t="inlineStr">
        <is>
          <t>Approved</t>
        </is>
      </c>
      <c r="N480" s="3" t="inlineStr">
        <is>
          <t>Available for Distribution, CLIX Filing, Site Close</t>
        </is>
      </c>
      <c r="O480" s="3" t="inlineStr">
        <is>
          <t>Czech Republic</t>
        </is>
      </c>
      <c r="P480" s="3" t="inlineStr">
        <is>
          <t>Z92-CZ10004</t>
        </is>
      </c>
      <c r="Q480" s="3" t="inlineStr">
        <is>
          <t>77242113UCO2001</t>
        </is>
      </c>
    </row>
    <row r="481">
      <c r="A481" s="2" t="str">
        <f>HYPERLINK("https://vtmf.veevavault.com/ui/#doc_info/31277233/1/0", "77242113UCO2001-CZE-Z92-CZ10004-Visit Log (v1.0)")</f>
        <v>77242113UCO2001-CZE-Z92-CZ10004-Visit Log (v1.0)</v>
      </c>
      <c r="B481" s="3" t="inlineStr">
        <is>
          <t>Michaela Sapíková</t>
        </is>
      </c>
      <c r="C481" s="3" t="inlineStr">
        <is>
          <t>Site Management</t>
        </is>
      </c>
      <c r="D481" s="3" t="inlineStr">
        <is>
          <t>Site Management</t>
        </is>
      </c>
      <c r="E481" s="3" t="inlineStr">
        <is>
          <t>Visit Log</t>
        </is>
      </c>
      <c r="F481" s="3" t="inlineStr">
        <is>
          <t>Visit Log_Site_Vaňásek</t>
        </is>
      </c>
      <c r="G481" s="2" t="str">
        <f>HYPERLINK("https://vtmf.veevavault.com/ui/#doc_info/31277233/1/0", "VTMF-25224604")</f>
        <v>VTMF-25224604</v>
      </c>
      <c r="H481" s="3" t="inlineStr">
        <is>
          <t/>
        </is>
      </c>
      <c r="I481" s="3" t="inlineStr">
        <is>
          <t>System</t>
        </is>
      </c>
      <c r="J481" s="3" t="inlineStr">
        <is>
          <t>Michaela Sapíková</t>
        </is>
      </c>
      <c r="K481" s="4" t="n">
        <v>46107.42946759259</v>
      </c>
      <c r="L481" s="5" t="n">
        <v>46107.0</v>
      </c>
      <c r="M481" s="3" t="inlineStr">
        <is>
          <t>Approved</t>
        </is>
      </c>
      <c r="N481" s="3" t="inlineStr">
        <is>
          <t>Available for Distribution, CLIX Filing, Site Close</t>
        </is>
      </c>
      <c r="O481" s="3" t="inlineStr">
        <is>
          <t>Czech Republic</t>
        </is>
      </c>
      <c r="P481" s="3" t="inlineStr">
        <is>
          <t>Z92-CZ10004</t>
        </is>
      </c>
      <c r="Q481" s="3" t="inlineStr">
        <is>
          <t>77242113UCO2001</t>
        </is>
      </c>
    </row>
    <row r="482">
      <c r="A482" s="2" t="str">
        <f>HYPERLINK("https://vtmf.veevavault.com/ui/#doc_info/31278349/1/0", "77242113UCO2001-CZE-Z92-CZ10004-Visit Log (v1.0)")</f>
        <v>77242113UCO2001-CZE-Z92-CZ10004-Visit Log (v1.0)</v>
      </c>
      <c r="B482" s="3" t="inlineStr">
        <is>
          <t>Michaela Sapíková</t>
        </is>
      </c>
      <c r="C482" s="3" t="inlineStr">
        <is>
          <t>Site Management</t>
        </is>
      </c>
      <c r="D482" s="3" t="inlineStr">
        <is>
          <t>Site Management</t>
        </is>
      </c>
      <c r="E482" s="3" t="inlineStr">
        <is>
          <t>Visit Log</t>
        </is>
      </c>
      <c r="F482" s="3" t="inlineStr">
        <is>
          <t>Visit Log_Site_Vaňásek_pharmacy</t>
        </is>
      </c>
      <c r="G482" s="2" t="str">
        <f>HYPERLINK("https://vtmf.veevavault.com/ui/#doc_info/31278349/1/0", "VTMF-25225640")</f>
        <v>VTMF-25225640</v>
      </c>
      <c r="H482" s="3" t="inlineStr">
        <is>
          <t/>
        </is>
      </c>
      <c r="I482" s="3" t="inlineStr">
        <is>
          <t>System</t>
        </is>
      </c>
      <c r="J482" s="3" t="inlineStr">
        <is>
          <t>Michaela Sapíková</t>
        </is>
      </c>
      <c r="K482" s="4" t="n">
        <v>46107.553391203706</v>
      </c>
      <c r="L482" s="5" t="n">
        <v>46107.0</v>
      </c>
      <c r="M482" s="3" t="inlineStr">
        <is>
          <t>Approved</t>
        </is>
      </c>
      <c r="N482" s="3" t="inlineStr">
        <is>
          <t>Available for Distribution, CLIX Filing, Site Close</t>
        </is>
      </c>
      <c r="O482" s="3" t="inlineStr">
        <is>
          <t>Czech Republic</t>
        </is>
      </c>
      <c r="P482" s="3" t="inlineStr">
        <is>
          <t>Z92-CZ10004</t>
        </is>
      </c>
      <c r="Q482" s="3" t="inlineStr">
        <is>
          <t>77242113UCO2001</t>
        </is>
      </c>
    </row>
    <row r="483">
      <c r="A483" s="2" t="str">
        <f>HYPERLINK("https://vtmf.veevavault.com/ui/#doc_info/24158195/1/0", "77242113UCO2001-CZE-Z92-CZ10005-Confidentiality Agreement-19 May 2023 (v1.0)")</f>
        <v>77242113UCO2001-CZE-Z92-CZ10005-Confidentiality Agreement-19 May 2023 (v1.0)</v>
      </c>
      <c r="B483" s="3" t="inlineStr">
        <is>
          <t>Lucie Duskova</t>
        </is>
      </c>
      <c r="C483" s="3" t="inlineStr">
        <is>
          <t>Site Management</t>
        </is>
      </c>
      <c r="D483" s="3" t="inlineStr">
        <is>
          <t>Site Selection</t>
        </is>
      </c>
      <c r="E483" s="3" t="inlineStr">
        <is>
          <t>Confidentiality Agreement</t>
        </is>
      </c>
      <c r="F483" s="3" t="inlineStr">
        <is>
          <t>Confidentiality Disclosure Agreement_Ulbrych Jan_SurGal Clinic_19MAY2023</t>
        </is>
      </c>
      <c r="G483" s="2" t="str">
        <f>HYPERLINK("https://vtmf.veevavault.com/ui/#doc_info/24158195/1/0", "VTMF-19168860")</f>
        <v>VTMF-19168860</v>
      </c>
      <c r="H483" s="3" t="inlineStr">
        <is>
          <t/>
        </is>
      </c>
      <c r="I483" s="3" t="inlineStr">
        <is>
          <t>System</t>
        </is>
      </c>
      <c r="J483" s="3" t="inlineStr">
        <is>
          <t>Lucie Duskova</t>
        </is>
      </c>
      <c r="K483" s="4" t="n">
        <v>45075.65351851852</v>
      </c>
      <c r="L483" s="5" t="n">
        <v>45075.0</v>
      </c>
      <c r="M483" s="3" t="inlineStr">
        <is>
          <t>Approved</t>
        </is>
      </c>
      <c r="N483" s="3" t="inlineStr">
        <is>
          <t>Available for Distribution, Site Start</t>
        </is>
      </c>
      <c r="O483" s="3" t="inlineStr">
        <is>
          <t>Czech Republic</t>
        </is>
      </c>
      <c r="P483" s="3" t="inlineStr">
        <is>
          <t>Z92-CZ10005</t>
        </is>
      </c>
      <c r="Q483" s="3" t="inlineStr">
        <is>
          <t>77242113UCO2001</t>
        </is>
      </c>
    </row>
    <row r="484">
      <c r="A484" s="2" t="str">
        <f>HYPERLINK("https://vtmf.veevavault.com/ui/#doc_info/24193469/1/0", "77242113UCO2001-CZE-Z92-CZ10005-Monitoring Visit Follow-up Letter-SQVR_FL-19 May 2023 (v1.0)")</f>
        <v>77242113UCO2001-CZE-Z92-CZ10005-Monitoring Visit Follow-up Letter-SQVR_FL-19 May 2023 (v1.0)</v>
      </c>
      <c r="B484" s="3" t="inlineStr">
        <is>
          <t>Admin User Medidata</t>
        </is>
      </c>
      <c r="C484" s="3" t="inlineStr">
        <is>
          <t>Site Management</t>
        </is>
      </c>
      <c r="D484" s="3" t="inlineStr">
        <is>
          <t>Site Management</t>
        </is>
      </c>
      <c r="E484" s="3" t="inlineStr">
        <is>
          <t>Monitoring Visit Follow-up Letter</t>
        </is>
      </c>
      <c r="F484" s="3" t="inlineStr">
        <is>
          <t/>
        </is>
      </c>
      <c r="G484" s="2" t="str">
        <f>HYPERLINK("https://vtmf.veevavault.com/ui/#doc_info/24193469/1/0", "VTMF-19199997")</f>
        <v>VTMF-19199997</v>
      </c>
      <c r="H484" s="3" t="inlineStr">
        <is>
          <t/>
        </is>
      </c>
      <c r="I484" s="3" t="inlineStr">
        <is>
          <t>System</t>
        </is>
      </c>
      <c r="J484" s="3" t="inlineStr">
        <is>
          <t>Admin User Medidata</t>
        </is>
      </c>
      <c r="K484" s="4" t="n">
        <v>45079.833125</v>
      </c>
      <c r="L484" s="5" t="n">
        <v>45079.0</v>
      </c>
      <c r="M484" s="3" t="inlineStr">
        <is>
          <t>Approved</t>
        </is>
      </c>
      <c r="N484" s="3" t="inlineStr">
        <is>
          <t>Available for Distribution, CLIX Filing, Site Close</t>
        </is>
      </c>
      <c r="O484" s="3" t="inlineStr">
        <is>
          <t>Czech Republic</t>
        </is>
      </c>
      <c r="P484" s="3" t="inlineStr">
        <is>
          <t>Z92-CZ10005</t>
        </is>
      </c>
      <c r="Q484" s="3" t="inlineStr">
        <is>
          <t>77242113UCO2001</t>
        </is>
      </c>
    </row>
    <row r="485">
      <c r="A485" s="2" t="str">
        <f>HYPERLINK("https://vtmf.veevavault.com/ui/#doc_info/24158269/1/0", "77242113UCO2001-CZE-Z92-CZ10005-Non-IP Shipment Documentation-19 May 2023 (v1.0)")</f>
        <v>77242113UCO2001-CZE-Z92-CZ10005-Non-IP Shipment Documentation-19 May 2023 (v1.0)</v>
      </c>
      <c r="B485" s="3" t="inlineStr">
        <is>
          <t>Lucie Duskova</t>
        </is>
      </c>
      <c r="C485" s="3" t="inlineStr">
        <is>
          <t>IP and Trial Supplies</t>
        </is>
      </c>
      <c r="D485" s="3" t="inlineStr">
        <is>
          <t>Non-IP Documentation</t>
        </is>
      </c>
      <c r="E485" s="3" t="inlineStr">
        <is>
          <t>Non-IP Shipment Documentation</t>
        </is>
      </c>
      <c r="F485" s="3" t="inlineStr">
        <is>
          <t>NIPSF_Protocol Original_19MAY2023</t>
        </is>
      </c>
      <c r="G485" s="2" t="str">
        <f>HYPERLINK("https://vtmf.veevavault.com/ui/#doc_info/24158269/1/0", "VTMF-19168914")</f>
        <v>VTMF-19168914</v>
      </c>
      <c r="H485" s="3" t="inlineStr">
        <is>
          <t/>
        </is>
      </c>
      <c r="I485" s="3" t="inlineStr">
        <is>
          <t>Anthony Suarez (veeva.com)</t>
        </is>
      </c>
      <c r="J485" s="3" t="inlineStr">
        <is>
          <t>Lucie Duskova</t>
        </is>
      </c>
      <c r="K485" s="4" t="n">
        <v>45075.6606712963</v>
      </c>
      <c r="L485" s="5" t="n">
        <v>45075.0</v>
      </c>
      <c r="M485" s="3" t="inlineStr">
        <is>
          <t>Approved</t>
        </is>
      </c>
      <c r="N485" s="3" t="inlineStr">
        <is>
          <t>Available for Distribution, CLIX Filing, Site Close</t>
        </is>
      </c>
      <c r="O485" s="3" t="inlineStr">
        <is>
          <t>Czech Republic</t>
        </is>
      </c>
      <c r="P485" s="3" t="inlineStr">
        <is>
          <t>Z92-CZ10005</t>
        </is>
      </c>
      <c r="Q485" s="3" t="inlineStr">
        <is>
          <t>77242113UCO2001</t>
        </is>
      </c>
    </row>
    <row r="486">
      <c r="A486" s="2" t="str">
        <f>HYPERLINK("https://vtmf.veevavault.com/ui/#doc_info/24139619/1/0", "77242113UCO2001-CZE-Z92-CZ10005-Pre Trial Monitoring Report-19 May 2023 (v1.0)")</f>
        <v>77242113UCO2001-CZE-Z92-CZ10005-Pre Trial Monitoring Report-19 May 2023 (v1.0)</v>
      </c>
      <c r="B486" s="3" t="inlineStr">
        <is>
          <t>Admin User Medidata</t>
        </is>
      </c>
      <c r="C486" s="3" t="inlineStr">
        <is>
          <t>Site Management</t>
        </is>
      </c>
      <c r="D486" s="3" t="inlineStr">
        <is>
          <t>Site Selection</t>
        </is>
      </c>
      <c r="E486" s="3" t="inlineStr">
        <is>
          <t>Pre Trial Monitoring Report</t>
        </is>
      </c>
      <c r="F486" s="3" t="inlineStr">
        <is>
          <t/>
        </is>
      </c>
      <c r="G486" s="2" t="str">
        <f>HYPERLINK("https://vtmf.veevavault.com/ui/#doc_info/24139619/1/0", "VTMF-19152203")</f>
        <v>VTMF-19152203</v>
      </c>
      <c r="H486" s="3" t="inlineStr">
        <is>
          <t/>
        </is>
      </c>
      <c r="I486" s="3" t="inlineStr">
        <is>
          <t>System</t>
        </is>
      </c>
      <c r="J486" s="3" t="inlineStr">
        <is>
          <t>Admin User Medidata</t>
        </is>
      </c>
      <c r="K486" s="4" t="n">
        <v>45071.4840625</v>
      </c>
      <c r="L486" s="5" t="n">
        <v>45071.0</v>
      </c>
      <c r="M486" s="3" t="inlineStr">
        <is>
          <t>Approved</t>
        </is>
      </c>
      <c r="N486" s="3" t="inlineStr">
        <is>
          <t>Available for Distribution, Site Start</t>
        </is>
      </c>
      <c r="O486" s="3" t="inlineStr">
        <is>
          <t>Czech Republic</t>
        </is>
      </c>
      <c r="P486" s="3" t="inlineStr">
        <is>
          <t>Z92-CZ10005</t>
        </is>
      </c>
      <c r="Q486" s="3" t="inlineStr">
        <is>
          <t>77242113UCO2001</t>
        </is>
      </c>
    </row>
    <row r="487">
      <c r="A487" s="2" t="str">
        <f>HYPERLINK("https://vtmf.veevavault.com/ui/#doc_info/24158351/1/0", "77242113UCO2001-CZE-Z92-CZ10005-Site Confirmation Letter-- (v1.0)")</f>
        <v>77242113UCO2001-CZE-Z92-CZ10005-Site Confirmation Letter-- (v1.0)</v>
      </c>
      <c r="B487" s="3" t="inlineStr">
        <is>
          <t>Lucie Duskova</t>
        </is>
      </c>
      <c r="C487" s="3" t="inlineStr">
        <is>
          <t>Site Management</t>
        </is>
      </c>
      <c r="D487" s="3" t="inlineStr">
        <is>
          <t>Site Management</t>
        </is>
      </c>
      <c r="E487" s="3" t="inlineStr">
        <is>
          <t>Site Confirmation Letter</t>
        </is>
      </c>
      <c r="F487" s="3" t="inlineStr">
        <is>
          <t>Site Qualification visit confirmation letter_Ulbrych Jan_19MAY2023</t>
        </is>
      </c>
      <c r="G487" s="2" t="str">
        <f>HYPERLINK("https://vtmf.veevavault.com/ui/#doc_info/24158351/1/0", "VTMF-19168977")</f>
        <v>VTMF-19168977</v>
      </c>
      <c r="H487" s="3" t="inlineStr">
        <is>
          <t/>
        </is>
      </c>
      <c r="I487" s="3" t="inlineStr">
        <is>
          <t>Anthony Suarez (veeva.com)</t>
        </is>
      </c>
      <c r="J487" s="3" t="inlineStr">
        <is>
          <t>Lucie Duskova</t>
        </is>
      </c>
      <c r="K487" s="4" t="n">
        <v>45075.668391203704</v>
      </c>
      <c r="L487" s="5" t="n">
        <v>45075.0</v>
      </c>
      <c r="M487" s="3" t="inlineStr">
        <is>
          <t>Approved</t>
        </is>
      </c>
      <c r="N487" s="3" t="inlineStr">
        <is>
          <t>Available for Distribution, CLIX Filing, Site Close</t>
        </is>
      </c>
      <c r="O487" s="3" t="inlineStr">
        <is>
          <t>Czech Republic</t>
        </is>
      </c>
      <c r="P487" s="3" t="inlineStr">
        <is>
          <t>Z92-CZ10005</t>
        </is>
      </c>
      <c r="Q487" s="3" t="inlineStr">
        <is>
          <t>77242113UCO2001</t>
        </is>
      </c>
    </row>
    <row r="488">
      <c r="A488" s="2" t="str">
        <f>HYPERLINK("https://vtmf.veevavault.com/ui/#doc_info/24275292/1/0", "77242113UCO2001-CZE-Z92-CZ10005-Sites Evaluated but not Selected-16 Jun 2023 (v1.0)")</f>
        <v>77242113UCO2001-CZE-Z92-CZ10005-Sites Evaluated but not Selected-16 Jun 2023 (v1.0)</v>
      </c>
      <c r="B488" s="3" t="inlineStr">
        <is>
          <t>Vladimir Buzalka</t>
        </is>
      </c>
      <c r="C488" s="3" t="inlineStr">
        <is>
          <t>Site Management</t>
        </is>
      </c>
      <c r="D488" s="3" t="inlineStr">
        <is>
          <t>Site Selection</t>
        </is>
      </c>
      <c r="E488" s="3" t="inlineStr">
        <is>
          <t>Sites Evaluated but not Selected</t>
        </is>
      </c>
      <c r="F488" s="3" t="inlineStr">
        <is>
          <t>Site Notification of Study Non-Selection 16JUN2023</t>
        </is>
      </c>
      <c r="G488" s="2" t="str">
        <f>HYPERLINK("https://vtmf.veevavault.com/ui/#doc_info/24275292/1/0", "VTMF-19271210")</f>
        <v>VTMF-19271210</v>
      </c>
      <c r="H488" s="3" t="inlineStr">
        <is>
          <t/>
        </is>
      </c>
      <c r="I488" s="3" t="inlineStr">
        <is>
          <t>System</t>
        </is>
      </c>
      <c r="J488" s="3" t="inlineStr">
        <is>
          <t>Vladimir Buzalka</t>
        </is>
      </c>
      <c r="K488" s="4" t="n">
        <v>45093.42215277778</v>
      </c>
      <c r="L488" s="5" t="n">
        <v>45093.0</v>
      </c>
      <c r="M488" s="3" t="inlineStr">
        <is>
          <t>Approved</t>
        </is>
      </c>
      <c r="N488" s="3" t="inlineStr">
        <is>
          <t/>
        </is>
      </c>
      <c r="O488" s="3" t="inlineStr">
        <is>
          <t>Czech Republic</t>
        </is>
      </c>
      <c r="P488" s="3" t="inlineStr">
        <is>
          <t>Z92-CZ10005</t>
        </is>
      </c>
      <c r="Q488" s="3" t="inlineStr">
        <is>
          <t>77242113UCO2001</t>
        </is>
      </c>
    </row>
    <row r="489">
      <c r="A489" s="2" t="str">
        <f>HYPERLINK("https://vtmf.veevavault.com/ui/#doc_info/24158196/1/0", "77242113UCO2001-CZE-Z92-CZ10006-Confidentiality Agreement-19 May 2023 (v1.0)")</f>
        <v>77242113UCO2001-CZE-Z92-CZ10006-Confidentiality Agreement-19 May 2023 (v1.0)</v>
      </c>
      <c r="B489" s="3" t="inlineStr">
        <is>
          <t>Lucie Duskova</t>
        </is>
      </c>
      <c r="C489" s="3" t="inlineStr">
        <is>
          <t>Site Management</t>
        </is>
      </c>
      <c r="D489" s="3" t="inlineStr">
        <is>
          <t>Site Selection</t>
        </is>
      </c>
      <c r="E489" s="3" t="inlineStr">
        <is>
          <t>Confidentiality Agreement</t>
        </is>
      </c>
      <c r="F489" s="3" t="inlineStr">
        <is>
          <t>Confidentiality Disclosure Agreement_Stepek David_Vojenska Nemocnice Brno_19MAY2023</t>
        </is>
      </c>
      <c r="G489" s="2" t="str">
        <f>HYPERLINK("https://vtmf.veevavault.com/ui/#doc_info/24158196/1/0", "VTMF-19168861")</f>
        <v>VTMF-19168861</v>
      </c>
      <c r="H489" s="3" t="inlineStr">
        <is>
          <t/>
        </is>
      </c>
      <c r="I489" s="3" t="inlineStr">
        <is>
          <t>System</t>
        </is>
      </c>
      <c r="J489" s="3" t="inlineStr">
        <is>
          <t>Lucie Duskova</t>
        </is>
      </c>
      <c r="K489" s="4" t="n">
        <v>45075.65351851852</v>
      </c>
      <c r="L489" s="5" t="n">
        <v>45075.0</v>
      </c>
      <c r="M489" s="3" t="inlineStr">
        <is>
          <t>Approved</t>
        </is>
      </c>
      <c r="N489" s="3" t="inlineStr">
        <is>
          <t>Available for Distribution, Site Start</t>
        </is>
      </c>
      <c r="O489" s="3" t="inlineStr">
        <is>
          <t>Czech Republic</t>
        </is>
      </c>
      <c r="P489" s="3" t="inlineStr">
        <is>
          <t>Z92-CZ10006</t>
        </is>
      </c>
      <c r="Q489" s="3" t="inlineStr">
        <is>
          <t>77242113UCO2001</t>
        </is>
      </c>
    </row>
    <row r="490">
      <c r="A490" s="2" t="str">
        <f>HYPERLINK("https://vtmf.veevavault.com/ui/#doc_info/24193474/1/0", "77242113UCO2001-CZE-Z92-CZ10006-Monitoring Visit Follow-up Letter-SQVR_FL-19 May 2023 (v1.0)")</f>
        <v>77242113UCO2001-CZE-Z92-CZ10006-Monitoring Visit Follow-up Letter-SQVR_FL-19 May 2023 (v1.0)</v>
      </c>
      <c r="B490" s="3" t="inlineStr">
        <is>
          <t>Admin User Medidata</t>
        </is>
      </c>
      <c r="C490" s="3" t="inlineStr">
        <is>
          <t>Site Management</t>
        </is>
      </c>
      <c r="D490" s="3" t="inlineStr">
        <is>
          <t>Site Management</t>
        </is>
      </c>
      <c r="E490" s="3" t="inlineStr">
        <is>
          <t>Monitoring Visit Follow-up Letter</t>
        </is>
      </c>
      <c r="F490" s="3" t="inlineStr">
        <is>
          <t/>
        </is>
      </c>
      <c r="G490" s="2" t="str">
        <f>HYPERLINK("https://vtmf.veevavault.com/ui/#doc_info/24193474/1/0", "VTMF-19199998")</f>
        <v>VTMF-19199998</v>
      </c>
      <c r="H490" s="3" t="inlineStr">
        <is>
          <t/>
        </is>
      </c>
      <c r="I490" s="3" t="inlineStr">
        <is>
          <t>System</t>
        </is>
      </c>
      <c r="J490" s="3" t="inlineStr">
        <is>
          <t>Admin User Medidata</t>
        </is>
      </c>
      <c r="K490" s="4" t="n">
        <v>45079.83356481481</v>
      </c>
      <c r="L490" s="5" t="n">
        <v>45079.0</v>
      </c>
      <c r="M490" s="3" t="inlineStr">
        <is>
          <t>Approved</t>
        </is>
      </c>
      <c r="N490" s="3" t="inlineStr">
        <is>
          <t>Available for Distribution, CLIX Filing, Site Close</t>
        </is>
      </c>
      <c r="O490" s="3" t="inlineStr">
        <is>
          <t>Czech Republic</t>
        </is>
      </c>
      <c r="P490" s="3" t="inlineStr">
        <is>
          <t>Z92-CZ10006</t>
        </is>
      </c>
      <c r="Q490" s="3" t="inlineStr">
        <is>
          <t>77242113UCO2001</t>
        </is>
      </c>
    </row>
    <row r="491">
      <c r="A491" s="2" t="str">
        <f>HYPERLINK("https://vtmf.veevavault.com/ui/#doc_info/24161565/1/0", "77242113UCO2001-CZE-Z92-CZ10006-Pre Trial Monitoring Report-19 May 2023 (v1.0)")</f>
        <v>77242113UCO2001-CZE-Z92-CZ10006-Pre Trial Monitoring Report-19 May 2023 (v1.0)</v>
      </c>
      <c r="B491" s="3" t="inlineStr">
        <is>
          <t>Admin User Medidata</t>
        </is>
      </c>
      <c r="C491" s="3" t="inlineStr">
        <is>
          <t>Site Management</t>
        </is>
      </c>
      <c r="D491" s="3" t="inlineStr">
        <is>
          <t>Site Selection</t>
        </is>
      </c>
      <c r="E491" s="3" t="inlineStr">
        <is>
          <t>Pre Trial Monitoring Report</t>
        </is>
      </c>
      <c r="F491" s="3" t="inlineStr">
        <is>
          <t/>
        </is>
      </c>
      <c r="G491" s="2" t="str">
        <f>HYPERLINK("https://vtmf.veevavault.com/ui/#doc_info/24161565/1/0", "VTMF-19171782")</f>
        <v>VTMF-19171782</v>
      </c>
      <c r="H491" s="3" t="inlineStr">
        <is>
          <t/>
        </is>
      </c>
      <c r="I491" s="3" t="inlineStr">
        <is>
          <t>System</t>
        </is>
      </c>
      <c r="J491" s="3" t="inlineStr">
        <is>
          <t>Admin User Medidata</t>
        </is>
      </c>
      <c r="K491" s="4" t="n">
        <v>45076.40246527778</v>
      </c>
      <c r="L491" s="5" t="n">
        <v>45076.0</v>
      </c>
      <c r="M491" s="3" t="inlineStr">
        <is>
          <t>Approved</t>
        </is>
      </c>
      <c r="N491" s="3" t="inlineStr">
        <is>
          <t>Available for Distribution, Site Start</t>
        </is>
      </c>
      <c r="O491" s="3" t="inlineStr">
        <is>
          <t>Czech Republic</t>
        </is>
      </c>
      <c r="P491" s="3" t="inlineStr">
        <is>
          <t>Z92-CZ10006</t>
        </is>
      </c>
      <c r="Q491" s="3" t="inlineStr">
        <is>
          <t>77242113UCO2001</t>
        </is>
      </c>
    </row>
    <row r="492">
      <c r="A492" s="2" t="str">
        <f>HYPERLINK("https://vtmf.veevavault.com/ui/#doc_info/24158353/1/0", "77242113UCO2001-CZE-Z92-CZ10006-Site Confirmation Letter-- (v1.0)")</f>
        <v>77242113UCO2001-CZE-Z92-CZ10006-Site Confirmation Letter-- (v1.0)</v>
      </c>
      <c r="B492" s="3" t="inlineStr">
        <is>
          <t>Lucie Duskova</t>
        </is>
      </c>
      <c r="C492" s="3" t="inlineStr">
        <is>
          <t>Site Management</t>
        </is>
      </c>
      <c r="D492" s="3" t="inlineStr">
        <is>
          <t>Site Management</t>
        </is>
      </c>
      <c r="E492" s="3" t="inlineStr">
        <is>
          <t>Site Confirmation Letter</t>
        </is>
      </c>
      <c r="F492" s="3" t="inlineStr">
        <is>
          <t>Site Qualification visit confirmation letter_Stepek David_19MAY2023</t>
        </is>
      </c>
      <c r="G492" s="2" t="str">
        <f>HYPERLINK("https://vtmf.veevavault.com/ui/#doc_info/24158353/1/0", "VTMF-19168979")</f>
        <v>VTMF-19168979</v>
      </c>
      <c r="H492" s="3" t="inlineStr">
        <is>
          <t/>
        </is>
      </c>
      <c r="I492" s="3" t="inlineStr">
        <is>
          <t>Anthony Suarez (veeva.com)</t>
        </is>
      </c>
      <c r="J492" s="3" t="inlineStr">
        <is>
          <t>Lucie Duskova</t>
        </is>
      </c>
      <c r="K492" s="4" t="n">
        <v>45075.668391203704</v>
      </c>
      <c r="L492" s="5" t="n">
        <v>45075.0</v>
      </c>
      <c r="M492" s="3" t="inlineStr">
        <is>
          <t>Approved</t>
        </is>
      </c>
      <c r="N492" s="3" t="inlineStr">
        <is>
          <t>Available for Distribution, CLIX Filing, Site Close</t>
        </is>
      </c>
      <c r="O492" s="3" t="inlineStr">
        <is>
          <t>Czech Republic</t>
        </is>
      </c>
      <c r="P492" s="3" t="inlineStr">
        <is>
          <t>Z92-CZ10006</t>
        </is>
      </c>
      <c r="Q492" s="3" t="inlineStr">
        <is>
          <t>77242113UCO2001</t>
        </is>
      </c>
    </row>
    <row r="493">
      <c r="A493" s="2" t="str">
        <f>HYPERLINK("https://vtmf.veevavault.com/ui/#doc_info/24275293/1/0", "77242113UCO2001-CZE-Z92-CZ10006-Sites Evaluated but not Selected-16 Jun 2023 (v1.0)")</f>
        <v>77242113UCO2001-CZE-Z92-CZ10006-Sites Evaluated but not Selected-16 Jun 2023 (v1.0)</v>
      </c>
      <c r="B493" s="3" t="inlineStr">
        <is>
          <t>Vladimir Buzalka</t>
        </is>
      </c>
      <c r="C493" s="3" t="inlineStr">
        <is>
          <t>Site Management</t>
        </is>
      </c>
      <c r="D493" s="3" t="inlineStr">
        <is>
          <t>Site Selection</t>
        </is>
      </c>
      <c r="E493" s="3" t="inlineStr">
        <is>
          <t>Sites Evaluated but not Selected</t>
        </is>
      </c>
      <c r="F493" s="3" t="inlineStr">
        <is>
          <t>Site Notification of Study Non-Selection 16JUN2023</t>
        </is>
      </c>
      <c r="G493" s="2" t="str">
        <f>HYPERLINK("https://vtmf.veevavault.com/ui/#doc_info/24275293/1/0", "VTMF-19271211")</f>
        <v>VTMF-19271211</v>
      </c>
      <c r="H493" s="3" t="inlineStr">
        <is>
          <t/>
        </is>
      </c>
      <c r="I493" s="3" t="inlineStr">
        <is>
          <t>System</t>
        </is>
      </c>
      <c r="J493" s="3" t="inlineStr">
        <is>
          <t>Vladimir Buzalka</t>
        </is>
      </c>
      <c r="K493" s="4" t="n">
        <v>45093.42215277778</v>
      </c>
      <c r="L493" s="5" t="n">
        <v>45093.0</v>
      </c>
      <c r="M493" s="3" t="inlineStr">
        <is>
          <t>Approved</t>
        </is>
      </c>
      <c r="N493" s="3" t="inlineStr">
        <is>
          <t/>
        </is>
      </c>
      <c r="O493" s="3" t="inlineStr">
        <is>
          <t>Czech Republic</t>
        </is>
      </c>
      <c r="P493" s="3" t="inlineStr">
        <is>
          <t>Z92-CZ10006</t>
        </is>
      </c>
      <c r="Q493" s="3" t="inlineStr">
        <is>
          <t>77242113UCO2001</t>
        </is>
      </c>
    </row>
    <row r="494">
      <c r="A494" s="2" t="str">
        <f>HYPERLINK("https://vtmf.veevavault.com/ui/#doc_info/25788895/1/0", "77242113UCO2001-CZE-Z92-CZ10007-Acceptance of Investigator Brochure-30 Jan 2024 (v1.0)")</f>
        <v>77242113UCO2001-CZE-Z92-CZ10007-Acceptance of Investigator Brochure-30 Jan 2024 (v1.0)</v>
      </c>
      <c r="B494" s="3" t="inlineStr">
        <is>
          <t>Jitka Kone</t>
        </is>
      </c>
      <c r="C494" s="3" t="inlineStr">
        <is>
          <t>Site Management</t>
        </is>
      </c>
      <c r="D494" s="3" t="inlineStr">
        <is>
          <t>Site Set-up Documentation</t>
        </is>
      </c>
      <c r="E494" s="3" t="inlineStr">
        <is>
          <t>Acceptance of Investigator Brochure</t>
        </is>
      </c>
      <c r="F494" s="3" t="inlineStr">
        <is>
          <t>IB Acceptance Site_ Lukas Milan_77242113
IB Ed. 4 , dated 21Dec22+ Add.1 to IB Ed.4, dated 05May22_30Jan24</t>
        </is>
      </c>
      <c r="G494" s="2" t="str">
        <f>HYPERLINK("https://vtmf.veevavault.com/ui/#doc_info/25788895/1/0", "VTMF-20593172")</f>
        <v>VTMF-20593172</v>
      </c>
      <c r="H494" s="3" t="inlineStr">
        <is>
          <t/>
        </is>
      </c>
      <c r="I494" s="3" t="inlineStr">
        <is>
          <t>Anthony Suarez (veeva.com)</t>
        </is>
      </c>
      <c r="J494" s="3" t="inlineStr">
        <is>
          <t>Jitka Kone</t>
        </is>
      </c>
      <c r="K494" s="4" t="n">
        <v>45348.45627314815</v>
      </c>
      <c r="L494" s="5" t="n">
        <v>45348.0</v>
      </c>
      <c r="M494" s="3" t="inlineStr">
        <is>
          <t>Approved</t>
        </is>
      </c>
      <c r="N494" s="3" t="inlineStr">
        <is>
          <t>Available for Distribution, CLIX Filing, Site Close</t>
        </is>
      </c>
      <c r="O494" s="3" t="inlineStr">
        <is>
          <t>Czech Republic</t>
        </is>
      </c>
      <c r="P494" s="3" t="inlineStr">
        <is>
          <t>Z92-CZ10007</t>
        </is>
      </c>
      <c r="Q494" s="3" t="inlineStr">
        <is>
          <t>77242113UCO2001</t>
        </is>
      </c>
    </row>
    <row r="495">
      <c r="A495" s="2" t="str">
        <f>HYPERLINK("https://vtmf.veevavault.com/ui/#doc_info/25788953/1/0", "77242113UCO2001-CZE-Z92-CZ10007-Acceptance of Investigator Brochure-30 Jan 2024 (v1.0)")</f>
        <v>77242113UCO2001-CZE-Z92-CZ10007-Acceptance of Investigator Brochure-30 Jan 2024 (v1.0)</v>
      </c>
      <c r="B495" s="3" t="inlineStr">
        <is>
          <t>Jitka Kone</t>
        </is>
      </c>
      <c r="C495" s="3" t="inlineStr">
        <is>
          <t>Site Management</t>
        </is>
      </c>
      <c r="D495" s="3" t="inlineStr">
        <is>
          <t>Site Set-up Documentation</t>
        </is>
      </c>
      <c r="E495" s="3" t="inlineStr">
        <is>
          <t>Acceptance of Investigator Brochure</t>
        </is>
      </c>
      <c r="F495" s="3" t="inlineStr">
        <is>
          <t>IB Acceptance Pharmacy_ Lukas Milan_77242113
IB Ed. 4 , dated 21Dec22+ Add.1 to IB Ed.4, dated 05May22_30Jan24</t>
        </is>
      </c>
      <c r="G495" s="2" t="str">
        <f>HYPERLINK("https://vtmf.veevavault.com/ui/#doc_info/25788953/1/0", "VTMF-20593216")</f>
        <v>VTMF-20593216</v>
      </c>
      <c r="H495" s="3" t="inlineStr">
        <is>
          <t/>
        </is>
      </c>
      <c r="I495" s="3" t="inlineStr">
        <is>
          <t>Anthony Suarez (veeva.com)</t>
        </is>
      </c>
      <c r="J495" s="3" t="inlineStr">
        <is>
          <t>Jitka Kone</t>
        </is>
      </c>
      <c r="K495" s="4" t="n">
        <v>45348.462534722225</v>
      </c>
      <c r="L495" s="5" t="n">
        <v>45348.0</v>
      </c>
      <c r="M495" s="3" t="inlineStr">
        <is>
          <t>Approved</t>
        </is>
      </c>
      <c r="N495" s="3" t="inlineStr">
        <is>
          <t>Available for Distribution, CLIX Filing, Site Close</t>
        </is>
      </c>
      <c r="O495" s="3" t="inlineStr">
        <is>
          <t>Czech Republic</t>
        </is>
      </c>
      <c r="P495" s="3" t="inlineStr">
        <is>
          <t>Z92-CZ10007</t>
        </is>
      </c>
      <c r="Q495" s="3" t="inlineStr">
        <is>
          <t>77242113UCO2001</t>
        </is>
      </c>
    </row>
    <row r="496">
      <c r="A496" s="2" t="str">
        <f>HYPERLINK("https://vtmf.veevavault.com/ui/#doc_info/25700263/1/0", "77242113UCO2001-CZE-Z92-CZ10007-Clinical Trial Agreement-01 Oct 2023 (v1.0)")</f>
        <v>77242113UCO2001-CZE-Z92-CZ10007-Clinical Trial Agreement-01 Oct 2023 (v1.0)</v>
      </c>
      <c r="B496" s="3" t="inlineStr">
        <is>
          <t>Jitka Kone</t>
        </is>
      </c>
      <c r="C496" s="3" t="inlineStr">
        <is>
          <t>Site Management</t>
        </is>
      </c>
      <c r="D496" s="3" t="inlineStr">
        <is>
          <t>Site Set-up Documentation</t>
        </is>
      </c>
      <c r="E496" s="3" t="inlineStr">
        <is>
          <t>Clinical Trial Agreement</t>
        </is>
      </c>
      <c r="F496" s="3" t="inlineStr">
        <is>
          <t>Lukáš_Iscare_contract_document uploaded in ICD_Nr. 1946998</t>
        </is>
      </c>
      <c r="G496" s="2" t="str">
        <f>HYPERLINK("https://vtmf.veevavault.com/ui/#doc_info/25700263/1/0", "VTMF-20515498")</f>
        <v>VTMF-20515498</v>
      </c>
      <c r="H496" s="3" t="inlineStr">
        <is>
          <t/>
        </is>
      </c>
      <c r="I496" s="3" t="inlineStr">
        <is>
          <t>Lenka Placha</t>
        </is>
      </c>
      <c r="J496" s="3" t="inlineStr">
        <is>
          <t>Jitka Kone</t>
        </is>
      </c>
      <c r="K496" s="4" t="n">
        <v>45334.71074074074</v>
      </c>
      <c r="L496" s="5" t="n">
        <v>45334.0</v>
      </c>
      <c r="M496" s="3" t="inlineStr">
        <is>
          <t>Approved</t>
        </is>
      </c>
      <c r="N496" s="3" t="inlineStr">
        <is>
          <t>Available for Distribution, Site Start</t>
        </is>
      </c>
      <c r="O496" s="3" t="inlineStr">
        <is>
          <t>Czech Republic</t>
        </is>
      </c>
      <c r="P496" s="3" t="inlineStr">
        <is>
          <t>Z92-CZ10007</t>
        </is>
      </c>
      <c r="Q496" s="3" t="inlineStr">
        <is>
          <t>77242113UCO2001</t>
        </is>
      </c>
    </row>
    <row r="497">
      <c r="A497" s="2" t="str">
        <f>HYPERLINK("https://vtmf.veevavault.com/ui/#doc_info/25685047/1/0", "77242113UCO2001-CZE-Z92-CZ10007-Clinical Trial Agreement-30 Jan 2024 (v1.0)")</f>
        <v>77242113UCO2001-CZE-Z92-CZ10007-Clinical Trial Agreement-30 Jan 2024 (v1.0)</v>
      </c>
      <c r="B497" s="3" t="inlineStr">
        <is>
          <t>Lenka Placha</t>
        </is>
      </c>
      <c r="C497" s="3" t="inlineStr">
        <is>
          <t>Site Management</t>
        </is>
      </c>
      <c r="D497" s="3" t="inlineStr">
        <is>
          <t>Site Set-up Documentation</t>
        </is>
      </c>
      <c r="E497" s="3" t="inlineStr">
        <is>
          <t>Clinical Trial Agreement</t>
        </is>
      </c>
      <c r="F497" s="3" t="inlineStr">
        <is>
          <t>PI delegation SC Kalitzova_mealvoucher responsibility _site Z92-CZ10007-30Jan24</t>
        </is>
      </c>
      <c r="G497" s="2" t="str">
        <f>HYPERLINK("https://vtmf.veevavault.com/ui/#doc_info/25685047/1/0", "VTMF-20502128")</f>
        <v>VTMF-20502128</v>
      </c>
      <c r="H497" s="3" t="inlineStr">
        <is>
          <t/>
        </is>
      </c>
      <c r="I497" s="3" t="inlineStr">
        <is>
          <t>Lenka Placha</t>
        </is>
      </c>
      <c r="J497" s="3" t="inlineStr">
        <is>
          <t>Lenka Placha</t>
        </is>
      </c>
      <c r="K497" s="4" t="n">
        <v>45330.77271990741</v>
      </c>
      <c r="L497" s="5" t="n">
        <v>45330.0</v>
      </c>
      <c r="M497" s="3" t="inlineStr">
        <is>
          <t>Approved</t>
        </is>
      </c>
      <c r="N497" s="3" t="inlineStr">
        <is>
          <t>Available for Distribution, Site Start</t>
        </is>
      </c>
      <c r="O497" s="3" t="inlineStr">
        <is>
          <t>Czech Republic</t>
        </is>
      </c>
      <c r="P497" s="3" t="inlineStr">
        <is>
          <t>Z92-CZ10007</t>
        </is>
      </c>
      <c r="Q497" s="3" t="inlineStr">
        <is>
          <t>77242113UCO2001</t>
        </is>
      </c>
    </row>
    <row r="498">
      <c r="A498" s="2" t="str">
        <f>HYPERLINK("https://vtmf.veevavault.com/ui/#doc_info/24139495/2/0", "77242113UCO2001-CZE-Z92-CZ10007-Confidentiality Agreement-15 May 2023 (v2.0)")</f>
        <v>77242113UCO2001-CZE-Z92-CZ10007-Confidentiality Agreement-15 May 2023 (v2.0)</v>
      </c>
      <c r="B498" s="3" t="inlineStr">
        <is>
          <t>Vladimir Buzalka</t>
        </is>
      </c>
      <c r="C498" s="3" t="inlineStr">
        <is>
          <t>Site Management</t>
        </is>
      </c>
      <c r="D498" s="3" t="inlineStr">
        <is>
          <t>Site Selection</t>
        </is>
      </c>
      <c r="E498" s="3" t="inlineStr">
        <is>
          <t>Confidentiality Agreement</t>
        </is>
      </c>
      <c r="F498" s="3" t="inlineStr">
        <is>
          <t>CDA_LUKAS, Milan; 15MAY2023</t>
        </is>
      </c>
      <c r="G498" s="2" t="str">
        <f>HYPERLINK("https://vtmf.veevavault.com/ui/#doc_info/24139495/2/0", "VTMF-19152113")</f>
        <v>VTMF-19152113</v>
      </c>
      <c r="H498" s="3" t="inlineStr">
        <is>
          <t/>
        </is>
      </c>
      <c r="I498" s="3" t="inlineStr">
        <is>
          <t>System</t>
        </is>
      </c>
      <c r="J498" s="3" t="inlineStr">
        <is>
          <t>Jitka Kone</t>
        </is>
      </c>
      <c r="K498" s="4" t="n">
        <v>45448.54305555556</v>
      </c>
      <c r="L498" s="5" t="n">
        <v>45448.0</v>
      </c>
      <c r="M498" s="3" t="inlineStr">
        <is>
          <t>Approved</t>
        </is>
      </c>
      <c r="N498" s="3" t="inlineStr">
        <is>
          <t>Available for Distribution, Site Start</t>
        </is>
      </c>
      <c r="O498" s="3" t="inlineStr">
        <is>
          <t>Czech Republic</t>
        </is>
      </c>
      <c r="P498" s="3" t="inlineStr">
        <is>
          <t>Z92-CZ10007</t>
        </is>
      </c>
      <c r="Q498" s="3" t="inlineStr">
        <is>
          <t>77242113UCO2001</t>
        </is>
      </c>
    </row>
    <row r="499">
      <c r="A499" s="2" t="str">
        <f>HYPERLINK("https://vtmf.veevavault.com/ui/#doc_info/24275180/1/0", "77242113UCO2001-CZE-Z92-CZ10007-Feasibility Documentation-16 Jun 2023 (v1.0)")</f>
        <v>77242113UCO2001-CZE-Z92-CZ10007-Feasibility Documentation-16 Jun 2023 (v1.0)</v>
      </c>
      <c r="B499" s="3" t="inlineStr">
        <is>
          <t>Vladimir Buzalka</t>
        </is>
      </c>
      <c r="C499" s="3" t="inlineStr">
        <is>
          <t>Site Management</t>
        </is>
      </c>
      <c r="D499" s="3" t="inlineStr">
        <is>
          <t>Site Selection</t>
        </is>
      </c>
      <c r="E499" s="3" t="inlineStr">
        <is>
          <t>Feasibility Documentation</t>
        </is>
      </c>
      <c r="F499" s="3" t="inlineStr">
        <is>
          <t>Site selection notification 16JUN2023</t>
        </is>
      </c>
      <c r="G499" s="2" t="str">
        <f>HYPERLINK("https://vtmf.veevavault.com/ui/#doc_info/24275180/1/0", "VTMF-19271088")</f>
        <v>VTMF-19271088</v>
      </c>
      <c r="H499" s="3" t="inlineStr">
        <is>
          <t/>
        </is>
      </c>
      <c r="I499" s="3" t="inlineStr">
        <is>
          <t>Anthony Suarez (veeva.com)</t>
        </is>
      </c>
      <c r="J499" s="3" t="inlineStr">
        <is>
          <t>Vladimir Buzalka</t>
        </is>
      </c>
      <c r="K499" s="4" t="n">
        <v>45093.409837962965</v>
      </c>
      <c r="L499" s="5" t="n">
        <v>45093.0</v>
      </c>
      <c r="M499" s="3" t="inlineStr">
        <is>
          <t>Approved</t>
        </is>
      </c>
      <c r="N499" s="3" t="inlineStr">
        <is>
          <t>Available for Distribution, CLIX Filing, Site Close</t>
        </is>
      </c>
      <c r="O499" s="3" t="inlineStr">
        <is>
          <t>Czech Republic</t>
        </is>
      </c>
      <c r="P499" s="3" t="inlineStr">
        <is>
          <t>Z92-CZ10007</t>
        </is>
      </c>
      <c r="Q499" s="3" t="inlineStr">
        <is>
          <t>77242113UCO2001</t>
        </is>
      </c>
    </row>
    <row r="500">
      <c r="A500" s="2" t="str">
        <f>HYPERLINK("https://vtmf.veevavault.com/ui/#doc_info/26649912/1/0", "77242113UCO2001-CZE-Z92-CZ10007-Final Trial Close Out Monitoring Report-25 Jun 2024 (v1.0)")</f>
        <v>77242113UCO2001-CZE-Z92-CZ10007-Final Trial Close Out Monitoring Report-25 Jun 2024 (v1.0)</v>
      </c>
      <c r="B500" s="3" t="inlineStr">
        <is>
          <t>Admin User Medidata</t>
        </is>
      </c>
      <c r="C500" s="3" t="inlineStr">
        <is>
          <t>Site Management</t>
        </is>
      </c>
      <c r="D500" s="3" t="inlineStr">
        <is>
          <t>Site Management</t>
        </is>
      </c>
      <c r="E500" s="3" t="inlineStr">
        <is>
          <t>Final Trial Close Out Monitoring Report</t>
        </is>
      </c>
      <c r="F500" s="3" t="inlineStr">
        <is>
          <t/>
        </is>
      </c>
      <c r="G500" s="2" t="str">
        <f>HYPERLINK("https://vtmf.veevavault.com/ui/#doc_info/26649912/1/0", "VTMF-21348728")</f>
        <v>VTMF-21348728</v>
      </c>
      <c r="H500" s="3" t="inlineStr">
        <is>
          <t/>
        </is>
      </c>
      <c r="I500" s="3" t="inlineStr">
        <is>
          <t>System</t>
        </is>
      </c>
      <c r="J500" s="3" t="inlineStr">
        <is>
          <t>Admin User Medidata</t>
        </is>
      </c>
      <c r="K500" s="4" t="n">
        <v>45477.51835648148</v>
      </c>
      <c r="L500" s="5" t="n">
        <v>45477.0</v>
      </c>
      <c r="M500" s="3" t="inlineStr">
        <is>
          <t>Approved</t>
        </is>
      </c>
      <c r="N500" s="3" t="inlineStr">
        <is>
          <t>Site Close</t>
        </is>
      </c>
      <c r="O500" s="3" t="inlineStr">
        <is>
          <t>Czech Republic</t>
        </is>
      </c>
      <c r="P500" s="3" t="inlineStr">
        <is>
          <t>Z92-CZ10007</t>
        </is>
      </c>
      <c r="Q500" s="3" t="inlineStr">
        <is>
          <t>77242113UCO2001</t>
        </is>
      </c>
    </row>
    <row r="501">
      <c r="A501" s="2" t="str">
        <f>HYPERLINK("https://vtmf.veevavault.com/ui/#doc_info/25684920/1/0", "77242113UCO2001-CZE-Z92-CZ10007-Financial Disclosure Form-30 Jan 2024 (v1.0)")</f>
        <v>77242113UCO2001-CZE-Z92-CZ10007-Financial Disclosure Form-30 Jan 2024 (v1.0)</v>
      </c>
      <c r="B501" s="3" t="inlineStr">
        <is>
          <t>Lenka Placha</t>
        </is>
      </c>
      <c r="C501" s="3" t="inlineStr">
        <is>
          <t>Site Management</t>
        </is>
      </c>
      <c r="D501" s="3" t="inlineStr">
        <is>
          <t>Site Set-up Documentation</t>
        </is>
      </c>
      <c r="E501" s="3" t="inlineStr">
        <is>
          <t>Financial Disclosure Form</t>
        </is>
      </c>
      <c r="F501" s="3" t="inlineStr">
        <is>
          <t>IFDF_SI Zdychyncova Kristyna_iniitial_30Jan24</t>
        </is>
      </c>
      <c r="G501" s="2" t="str">
        <f>HYPERLINK("https://vtmf.veevavault.com/ui/#doc_info/25684920/1/0", "VTMF-20502028")</f>
        <v>VTMF-20502028</v>
      </c>
      <c r="H501" s="3" t="inlineStr">
        <is>
          <t/>
        </is>
      </c>
      <c r="I501" s="3" t="inlineStr">
        <is>
          <t>Lenka Placha</t>
        </is>
      </c>
      <c r="J501" s="3" t="inlineStr">
        <is>
          <t>Lenka Placha</t>
        </is>
      </c>
      <c r="K501" s="4" t="n">
        <v>45330.75894675926</v>
      </c>
      <c r="L501" s="5" t="n">
        <v>45330.0</v>
      </c>
      <c r="M501" s="3" t="inlineStr">
        <is>
          <t>Approved</t>
        </is>
      </c>
      <c r="N501" s="3" t="inlineStr">
        <is>
          <t>Available for Distribution, IP Release, Ready for TMF Lock, Site Start</t>
        </is>
      </c>
      <c r="O501" s="3" t="inlineStr">
        <is>
          <t>Czech Republic</t>
        </is>
      </c>
      <c r="P501" s="3" t="inlineStr">
        <is>
          <t>Z92-CZ10007</t>
        </is>
      </c>
      <c r="Q501" s="3" t="inlineStr">
        <is>
          <t>77242113UCO2001</t>
        </is>
      </c>
    </row>
    <row r="502">
      <c r="A502" s="2" t="str">
        <f>HYPERLINK("https://vtmf.veevavault.com/ui/#doc_info/25684954/1/0", "77242113UCO2001-CZE-Z92-CZ10007-Financial Disclosure Form-30 Jan 2024 (v1.0)")</f>
        <v>77242113UCO2001-CZE-Z92-CZ10007-Financial Disclosure Form-30 Jan 2024 (v1.0)</v>
      </c>
      <c r="B502" s="3" t="inlineStr">
        <is>
          <t>Lenka Placha</t>
        </is>
      </c>
      <c r="C502" s="3" t="inlineStr">
        <is>
          <t>Site Management</t>
        </is>
      </c>
      <c r="D502" s="3" t="inlineStr">
        <is>
          <t>Site Set-up Documentation</t>
        </is>
      </c>
      <c r="E502" s="3" t="inlineStr">
        <is>
          <t>Financial Disclosure Form</t>
        </is>
      </c>
      <c r="F502" s="3" t="inlineStr">
        <is>
          <t>IFDF_SI Machkova Nadezda_initial_30Jan24</t>
        </is>
      </c>
      <c r="G502" s="2" t="str">
        <f>HYPERLINK("https://vtmf.veevavault.com/ui/#doc_info/25684954/1/0", "VTMF-20502046")</f>
        <v>VTMF-20502046</v>
      </c>
      <c r="H502" s="3" t="inlineStr">
        <is>
          <t/>
        </is>
      </c>
      <c r="I502" s="3" t="inlineStr">
        <is>
          <t>System</t>
        </is>
      </c>
      <c r="J502" s="3" t="inlineStr">
        <is>
          <t>Lenka Placha</t>
        </is>
      </c>
      <c r="K502" s="4" t="n">
        <v>45330.76115740741</v>
      </c>
      <c r="L502" s="5" t="n">
        <v>45330.0</v>
      </c>
      <c r="M502" s="3" t="inlineStr">
        <is>
          <t>Approved</t>
        </is>
      </c>
      <c r="N502" s="3" t="inlineStr">
        <is>
          <t>Available for Distribution, IP Release, Ready for TMF Lock, Site Start</t>
        </is>
      </c>
      <c r="O502" s="3" t="inlineStr">
        <is>
          <t>Czech Republic</t>
        </is>
      </c>
      <c r="P502" s="3" t="inlineStr">
        <is>
          <t>Z92-CZ10007</t>
        </is>
      </c>
      <c r="Q502" s="3" t="inlineStr">
        <is>
          <t>77242113UCO2001</t>
        </is>
      </c>
    </row>
    <row r="503">
      <c r="A503" s="2" t="str">
        <f>HYPERLINK("https://vtmf.veevavault.com/ui/#doc_info/25684993/1/0", "77242113UCO2001-CZE-Z92-CZ10007-Financial Disclosure Form-30 Jan 2024 (v1.0)")</f>
        <v>77242113UCO2001-CZE-Z92-CZ10007-Financial Disclosure Form-30 Jan 2024 (v1.0)</v>
      </c>
      <c r="B503" s="3" t="inlineStr">
        <is>
          <t>Lenka Placha</t>
        </is>
      </c>
      <c r="C503" s="3" t="inlineStr">
        <is>
          <t>Site Management</t>
        </is>
      </c>
      <c r="D503" s="3" t="inlineStr">
        <is>
          <t>Site Set-up Documentation</t>
        </is>
      </c>
      <c r="E503" s="3" t="inlineStr">
        <is>
          <t>Financial Disclosure Form</t>
        </is>
      </c>
      <c r="F503" s="3" t="inlineStr">
        <is>
          <t>IFDF_SI Lukas Martin_initial_30Jan24</t>
        </is>
      </c>
      <c r="G503" s="2" t="str">
        <f>HYPERLINK("https://vtmf.veevavault.com/ui/#doc_info/25684993/1/0", "VTMF-20502075")</f>
        <v>VTMF-20502075</v>
      </c>
      <c r="H503" s="3" t="inlineStr">
        <is>
          <t/>
        </is>
      </c>
      <c r="I503" s="3" t="inlineStr">
        <is>
          <t>Lenka Placha</t>
        </is>
      </c>
      <c r="J503" s="3" t="inlineStr">
        <is>
          <t>Lenka Placha</t>
        </is>
      </c>
      <c r="K503" s="4" t="n">
        <v>45330.76460648148</v>
      </c>
      <c r="L503" s="5" t="n">
        <v>45330.0</v>
      </c>
      <c r="M503" s="3" t="inlineStr">
        <is>
          <t>Approved</t>
        </is>
      </c>
      <c r="N503" s="3" t="inlineStr">
        <is>
          <t>Available for Distribution, IP Release, Ready for TMF Lock, Site Start</t>
        </is>
      </c>
      <c r="O503" s="3" t="inlineStr">
        <is>
          <t>Czech Republic</t>
        </is>
      </c>
      <c r="P503" s="3" t="inlineStr">
        <is>
          <t>Z92-CZ10007</t>
        </is>
      </c>
      <c r="Q503" s="3" t="inlineStr">
        <is>
          <t>77242113UCO2001</t>
        </is>
      </c>
    </row>
    <row r="504">
      <c r="A504" s="2" t="str">
        <f>HYPERLINK("https://vtmf.veevavault.com/ui/#doc_info/25685007/1/0", "77242113UCO2001-CZE-Z92-CZ10007-Financial Disclosure Form-30 Jan 2024 (v1.0)")</f>
        <v>77242113UCO2001-CZE-Z92-CZ10007-Financial Disclosure Form-30 Jan 2024 (v1.0)</v>
      </c>
      <c r="B504" s="3" t="inlineStr">
        <is>
          <t>Lenka Placha</t>
        </is>
      </c>
      <c r="C504" s="3" t="inlineStr">
        <is>
          <t>Site Management</t>
        </is>
      </c>
      <c r="D504" s="3" t="inlineStr">
        <is>
          <t>Site Set-up Documentation</t>
        </is>
      </c>
      <c r="E504" s="3" t="inlineStr">
        <is>
          <t>Financial Disclosure Form</t>
        </is>
      </c>
      <c r="F504" s="3" t="inlineStr">
        <is>
          <t>IFDF_SI Kolar Martin_initial_30Jan24</t>
        </is>
      </c>
      <c r="G504" s="2" t="str">
        <f>HYPERLINK("https://vtmf.veevavault.com/ui/#doc_info/25685007/1/0", "VTMF-20502088")</f>
        <v>VTMF-20502088</v>
      </c>
      <c r="H504" s="3" t="inlineStr">
        <is>
          <t/>
        </is>
      </c>
      <c r="I504" s="3" t="inlineStr">
        <is>
          <t>Lenka Placha</t>
        </is>
      </c>
      <c r="J504" s="3" t="inlineStr">
        <is>
          <t>Lenka Placha</t>
        </is>
      </c>
      <c r="K504" s="4" t="n">
        <v>45330.76707175926</v>
      </c>
      <c r="L504" s="5" t="n">
        <v>45330.0</v>
      </c>
      <c r="M504" s="3" t="inlineStr">
        <is>
          <t>Approved</t>
        </is>
      </c>
      <c r="N504" s="3" t="inlineStr">
        <is>
          <t>Available for Distribution, IP Release, Ready for TMF Lock, Site Start</t>
        </is>
      </c>
      <c r="O504" s="3" t="inlineStr">
        <is>
          <t>Czech Republic</t>
        </is>
      </c>
      <c r="P504" s="3" t="inlineStr">
        <is>
          <t>Z92-CZ10007</t>
        </is>
      </c>
      <c r="Q504" s="3" t="inlineStr">
        <is>
          <t>77242113UCO2001</t>
        </is>
      </c>
    </row>
    <row r="505">
      <c r="A505" s="2" t="str">
        <f>HYPERLINK("https://vtmf.veevavault.com/ui/#doc_info/25685017/1/0", "77242113UCO2001-CZE-Z92-CZ10007-Financial Disclosure Form-30 Jan 2024 (v1.0)")</f>
        <v>77242113UCO2001-CZE-Z92-CZ10007-Financial Disclosure Form-30 Jan 2024 (v1.0)</v>
      </c>
      <c r="B505" s="3" t="inlineStr">
        <is>
          <t>Lenka Placha</t>
        </is>
      </c>
      <c r="C505" s="3" t="inlineStr">
        <is>
          <t>Site Management</t>
        </is>
      </c>
      <c r="D505" s="3" t="inlineStr">
        <is>
          <t>Site Set-up Documentation</t>
        </is>
      </c>
      <c r="E505" s="3" t="inlineStr">
        <is>
          <t>Financial Disclosure Form</t>
        </is>
      </c>
      <c r="F505" s="3" t="inlineStr">
        <is>
          <t>IFDF_SI Hruba Veronika_initial_30Jan24</t>
        </is>
      </c>
      <c r="G505" s="2" t="str">
        <f>HYPERLINK("https://vtmf.veevavault.com/ui/#doc_info/25685017/1/0", "VTMF-20502099")</f>
        <v>VTMF-20502099</v>
      </c>
      <c r="H505" s="3" t="inlineStr">
        <is>
          <t/>
        </is>
      </c>
      <c r="I505" s="3" t="inlineStr">
        <is>
          <t>System</t>
        </is>
      </c>
      <c r="J505" s="3" t="inlineStr">
        <is>
          <t>Lenka Placha</t>
        </is>
      </c>
      <c r="K505" s="4" t="n">
        <v>45330.76850694444</v>
      </c>
      <c r="L505" s="5" t="n">
        <v>45330.0</v>
      </c>
      <c r="M505" s="3" t="inlineStr">
        <is>
          <t>Approved</t>
        </is>
      </c>
      <c r="N505" s="3" t="inlineStr">
        <is>
          <t>Available for Distribution, IP Release, Ready for TMF Lock, Site Start</t>
        </is>
      </c>
      <c r="O505" s="3" t="inlineStr">
        <is>
          <t>Czech Republic</t>
        </is>
      </c>
      <c r="P505" s="3" t="inlineStr">
        <is>
          <t>Z92-CZ10007</t>
        </is>
      </c>
      <c r="Q505" s="3" t="inlineStr">
        <is>
          <t>77242113UCO2001</t>
        </is>
      </c>
    </row>
    <row r="506">
      <c r="A506" s="2" t="str">
        <f>HYPERLINK("https://vtmf.veevavault.com/ui/#doc_info/24103997/2/0", "77242113UCO2001-CZE-Z92-CZ10007-Form FDA1572-21 Feb 2024 (v2.0)")</f>
        <v>77242113UCO2001-CZE-Z92-CZ10007-Form FDA1572-21 Feb 2024 (v2.0)</v>
      </c>
      <c r="B506" s="3" t="inlineStr">
        <is>
          <t>EDL Admin</t>
        </is>
      </c>
      <c r="C506" s="3" t="inlineStr">
        <is>
          <t>Site Management</t>
        </is>
      </c>
      <c r="D506" s="3" t="inlineStr">
        <is>
          <t>Site Set-up Documentation</t>
        </is>
      </c>
      <c r="E506" s="3" t="inlineStr">
        <is>
          <t>Form FDA1572</t>
        </is>
      </c>
      <c r="F506" s="3" t="inlineStr">
        <is>
          <t>FDA 1572_Lukas Milan_initial_29Jan24_not signed_21Feb24</t>
        </is>
      </c>
      <c r="G506" s="2" t="str">
        <f>HYPERLINK("https://vtmf.veevavault.com/ui/#doc_info/24103997/2/0", "VTMF-19118621")</f>
        <v>VTMF-19118621</v>
      </c>
      <c r="H506" s="3" t="inlineStr">
        <is>
          <t/>
        </is>
      </c>
      <c r="I506" s="3" t="inlineStr">
        <is>
          <t>Anthony Suarez (veeva.com)</t>
        </is>
      </c>
      <c r="J506" s="3" t="inlineStr">
        <is>
          <t>Lenka Placha</t>
        </is>
      </c>
      <c r="K506" s="4" t="n">
        <v>45343.97054398148</v>
      </c>
      <c r="L506" s="5" t="n">
        <v>45343.0</v>
      </c>
      <c r="M506" s="3" t="inlineStr">
        <is>
          <t>Approved</t>
        </is>
      </c>
      <c r="N506" s="3" t="inlineStr">
        <is>
          <t>Available for Distribution, CLIX Filing, Site Close</t>
        </is>
      </c>
      <c r="O506" s="3" t="inlineStr">
        <is>
          <t>Czech Republic</t>
        </is>
      </c>
      <c r="P506" s="3" t="inlineStr">
        <is>
          <t>Z92-CZ10007</t>
        </is>
      </c>
      <c r="Q506" s="3" t="inlineStr">
        <is>
          <t>77242113UCO2001</t>
        </is>
      </c>
    </row>
    <row r="507">
      <c r="A507" s="2" t="str">
        <f>HYPERLINK("https://vtmf.veevavault.com/ui/#doc_info/25699093/1/0", "77242113UCO2001-CZE-Z92-CZ10007-IP Site Release Documentation-12 Feb 2024 (v1.0)")</f>
        <v>77242113UCO2001-CZE-Z92-CZ10007-IP Site Release Documentation-12 Feb 2024 (v1.0)</v>
      </c>
      <c r="B507" s="3" t="inlineStr">
        <is>
          <t>Lenka Placha</t>
        </is>
      </c>
      <c r="C507" s="3" t="inlineStr">
        <is>
          <t>Site Management</t>
        </is>
      </c>
      <c r="D507" s="3" t="inlineStr">
        <is>
          <t>Site Set-up Documentation</t>
        </is>
      </c>
      <c r="E507" s="3" t="inlineStr">
        <is>
          <t>IP Site Release Documentation</t>
        </is>
      </c>
      <c r="F507" s="3" t="inlineStr">
        <is>
          <t>IP shipment approval form_site Z92-CZ10007_12Feb2024</t>
        </is>
      </c>
      <c r="G507" s="2" t="str">
        <f>HYPERLINK("https://vtmf.veevavault.com/ui/#doc_info/25699093/1/0", "VTMF-20514465")</f>
        <v>VTMF-20514465</v>
      </c>
      <c r="H507" s="3" t="inlineStr">
        <is>
          <t/>
        </is>
      </c>
      <c r="I507" s="3" t="inlineStr">
        <is>
          <t>System</t>
        </is>
      </c>
      <c r="J507" s="3" t="inlineStr">
        <is>
          <t>Lenka Placha</t>
        </is>
      </c>
      <c r="K507" s="4" t="n">
        <v>45334.60518518519</v>
      </c>
      <c r="L507" s="5" t="n">
        <v>45334.0</v>
      </c>
      <c r="M507" s="3" t="inlineStr">
        <is>
          <t>Approved</t>
        </is>
      </c>
      <c r="N507" s="3" t="inlineStr">
        <is>
          <t>Available for Distribution, Site Start</t>
        </is>
      </c>
      <c r="O507" s="3" t="inlineStr">
        <is>
          <t>Czech Republic</t>
        </is>
      </c>
      <c r="P507" s="3" t="inlineStr">
        <is>
          <t>Z92-CZ10007</t>
        </is>
      </c>
      <c r="Q507" s="3" t="inlineStr">
        <is>
          <t>77242113UCO2001</t>
        </is>
      </c>
    </row>
    <row r="508">
      <c r="A508" s="2" t="str">
        <f>HYPERLINK("https://vtmf.veevavault.com/ui/#doc_info/24104012/1/0", "77242113UCO2001-CZE-Z92-CZ10007-IRB/IEC Composition-12 Feb 2024 (v1.0)")</f>
        <v>77242113UCO2001-CZE-Z92-CZ10007-IRB/IEC Composition-12 Feb 2024 (v1.0)</v>
      </c>
      <c r="B508" s="3" t="inlineStr">
        <is>
          <t>EDL Admin</t>
        </is>
      </c>
      <c r="C508" s="3" t="inlineStr">
        <is>
          <t>IRB/IEC and other Approvals</t>
        </is>
      </c>
      <c r="D508" s="3" t="inlineStr">
        <is>
          <t>IRB/IEC Trial Approval</t>
        </is>
      </c>
      <c r="E508" s="3" t="inlineStr">
        <is>
          <t>IRB/IEC Composition</t>
        </is>
      </c>
      <c r="F508" s="3" t="inlineStr">
        <is>
          <t>NTF-IRB_IEC membership list_site Z92-CZ10007_12Feb24</t>
        </is>
      </c>
      <c r="G508" s="2" t="str">
        <f>HYPERLINK("https://vtmf.veevavault.com/ui/#doc_info/24104012/1/0", "VTMF-19118636")</f>
        <v>VTMF-19118636</v>
      </c>
      <c r="H508" s="3" t="inlineStr">
        <is>
          <t/>
        </is>
      </c>
      <c r="I508" s="3" t="inlineStr">
        <is>
          <t>System</t>
        </is>
      </c>
      <c r="J508" s="3" t="inlineStr">
        <is>
          <t>Lenka Placha</t>
        </is>
      </c>
      <c r="K508" s="4" t="n">
        <v>45334.59768518519</v>
      </c>
      <c r="L508" s="5" t="n">
        <v>45334.0</v>
      </c>
      <c r="M508" s="3" t="inlineStr">
        <is>
          <t>Approved</t>
        </is>
      </c>
      <c r="N508" s="3" t="inlineStr">
        <is>
          <t>Available for Distribution, Country Start, Site Start</t>
        </is>
      </c>
      <c r="O508" s="3" t="inlineStr">
        <is>
          <t>Czech Republic</t>
        </is>
      </c>
      <c r="P508" s="3" t="inlineStr">
        <is>
          <t>Z92-CZ10007</t>
        </is>
      </c>
      <c r="Q508" s="3" t="inlineStr">
        <is>
          <t>77242113UCO2001</t>
        </is>
      </c>
    </row>
    <row r="509">
      <c r="A509" s="2" t="str">
        <f>HYPERLINK("https://vtmf.veevavault.com/ui/#doc_info/25699072/1/0", "77242113UCO2001-CZE-Z92-CZ10007-IRB/IEC Documentation of Non-Voting Status-12 Feb 2024 (v1.0)")</f>
        <v>77242113UCO2001-CZE-Z92-CZ10007-IRB/IEC Documentation of Non-Voting Status-12 Feb 2024 (v1.0)</v>
      </c>
      <c r="B509" s="3" t="inlineStr">
        <is>
          <t>Lenka Placha</t>
        </is>
      </c>
      <c r="C509" s="3" t="inlineStr">
        <is>
          <t>IRB/IEC and other Approvals</t>
        </is>
      </c>
      <c r="D509" s="3" t="inlineStr">
        <is>
          <t>IRB/IEC Trial Approval</t>
        </is>
      </c>
      <c r="E509" s="3" t="inlineStr">
        <is>
          <t>IRB/IEC Documentation of Non-Voting Status</t>
        </is>
      </c>
      <c r="F509" s="3" t="inlineStr">
        <is>
          <t>NTF-IRB-IEC Documentation of Non-Voting Status_site Z92-CZ10007_12Feb24</t>
        </is>
      </c>
      <c r="G509" s="2" t="str">
        <f>HYPERLINK("https://vtmf.veevavault.com/ui/#doc_info/25699072/1/0", "VTMF-20514452")</f>
        <v>VTMF-20514452</v>
      </c>
      <c r="H509" s="3" t="inlineStr">
        <is>
          <t/>
        </is>
      </c>
      <c r="I509" s="3" t="inlineStr">
        <is>
          <t>Lenka Placha</t>
        </is>
      </c>
      <c r="J509" s="3" t="inlineStr">
        <is>
          <t>Lenka Placha</t>
        </is>
      </c>
      <c r="K509" s="4" t="n">
        <v>45334.60277777778</v>
      </c>
      <c r="L509" s="5" t="n">
        <v>45334.0</v>
      </c>
      <c r="M509" s="3" t="inlineStr">
        <is>
          <t>Approved</t>
        </is>
      </c>
      <c r="N509" s="3" t="inlineStr">
        <is>
          <t>Available for Distribution, Country Start, Site Start</t>
        </is>
      </c>
      <c r="O509" s="3" t="inlineStr">
        <is>
          <t>Czech Republic</t>
        </is>
      </c>
      <c r="P509" s="3" t="inlineStr">
        <is>
          <t>Z92-CZ10007</t>
        </is>
      </c>
      <c r="Q509" s="3" t="inlineStr">
        <is>
          <t>77242113UCO2001</t>
        </is>
      </c>
    </row>
    <row r="510">
      <c r="A510" s="2" t="str">
        <f>HYPERLINK("https://vtmf.veevavault.com/ui/#doc_info/24104013/1/0", "77242113UCO2001-CZE-Z92-CZ10007-IRB/IEC GCP Compliance Statement-12 Feb 2024 (v1.0)")</f>
        <v>77242113UCO2001-CZE-Z92-CZ10007-IRB/IEC GCP Compliance Statement-12 Feb 2024 (v1.0)</v>
      </c>
      <c r="B510" s="3" t="inlineStr">
        <is>
          <t>EDL Admin</t>
        </is>
      </c>
      <c r="C510" s="3" t="inlineStr">
        <is>
          <t>IRB/IEC and other Approvals</t>
        </is>
      </c>
      <c r="D510" s="3" t="inlineStr">
        <is>
          <t>IRB/IEC Trial Approval</t>
        </is>
      </c>
      <c r="E510" s="3" t="inlineStr">
        <is>
          <t>IRB/IEC GCP Compliance Statement</t>
        </is>
      </c>
      <c r="F510" s="3" t="inlineStr">
        <is>
          <t>NTF-IRB_IEC GCP Compliance Statement_site Z92-CZ10007_12Feb24</t>
        </is>
      </c>
      <c r="G510" s="2" t="str">
        <f>HYPERLINK("https://vtmf.veevavault.com/ui/#doc_info/24104013/1/0", "VTMF-19118637")</f>
        <v>VTMF-19118637</v>
      </c>
      <c r="H510" s="3" t="inlineStr">
        <is>
          <t/>
        </is>
      </c>
      <c r="I510" s="3" t="inlineStr">
        <is>
          <t>System</t>
        </is>
      </c>
      <c r="J510" s="3" t="inlineStr">
        <is>
          <t>Lenka Placha</t>
        </is>
      </c>
      <c r="K510" s="4" t="n">
        <v>45334.59997685185</v>
      </c>
      <c r="L510" s="5" t="n">
        <v>45334.0</v>
      </c>
      <c r="M510" s="3" t="inlineStr">
        <is>
          <t>Approved</t>
        </is>
      </c>
      <c r="N510" s="3" t="inlineStr">
        <is>
          <t>Available for Distribution, Country Start, IP Release, Site Start</t>
        </is>
      </c>
      <c r="O510" s="3" t="inlineStr">
        <is>
          <t>Czech Republic</t>
        </is>
      </c>
      <c r="P510" s="3" t="inlineStr">
        <is>
          <t>Z92-CZ10007</t>
        </is>
      </c>
      <c r="Q510" s="3" t="inlineStr">
        <is>
          <t>77242113UCO2001</t>
        </is>
      </c>
    </row>
    <row r="511">
      <c r="A511" s="2" t="str">
        <f>HYPERLINK("https://vtmf.veevavault.com/ui/#doc_info/25782255/1/0", "77242113UCO2001-CZE-Z92-CZ10007-Monitoring Visit Follow-up Letter--02 Feb 2024 (v1.0)")</f>
        <v>77242113UCO2001-CZE-Z92-CZ10007-Monitoring Visit Follow-up Letter--02 Feb 2024 (v1.0)</v>
      </c>
      <c r="B511" s="3" t="inlineStr">
        <is>
          <t>Lenka Placha</t>
        </is>
      </c>
      <c r="C511" s="3" t="inlineStr">
        <is>
          <t>Site Management</t>
        </is>
      </c>
      <c r="D511" s="3" t="inlineStr">
        <is>
          <t>Site Management</t>
        </is>
      </c>
      <c r="E511" s="3" t="inlineStr">
        <is>
          <t>Monitoring Visit Follow-up Letter</t>
        </is>
      </c>
      <c r="F511" s="3" t="inlineStr">
        <is>
          <t>77242113UCO2001_site Z92-CZ10007_FuL_SIV 30Jan-02Feb24</t>
        </is>
      </c>
      <c r="G511" s="2" t="str">
        <f>HYPERLINK("https://vtmf.veevavault.com/ui/#doc_info/25782255/1/0", "VTMF-20587025")</f>
        <v>VTMF-20587025</v>
      </c>
      <c r="H511" s="3" t="inlineStr">
        <is>
          <t/>
        </is>
      </c>
      <c r="I511" s="3" t="inlineStr">
        <is>
          <t>Anthony Suarez (veeva.com)</t>
        </is>
      </c>
      <c r="J511" s="3" t="inlineStr">
        <is>
          <t>Lenka Placha</t>
        </is>
      </c>
      <c r="K511" s="4" t="n">
        <v>45345.82714120371</v>
      </c>
      <c r="L511" s="5" t="n">
        <v>45345.0</v>
      </c>
      <c r="M511" s="3" t="inlineStr">
        <is>
          <t>Approved</t>
        </is>
      </c>
      <c r="N511" s="3" t="inlineStr">
        <is>
          <t>Available for Distribution, CLIX Filing, Site Close</t>
        </is>
      </c>
      <c r="O511" s="3" t="inlineStr">
        <is>
          <t>Czech Republic</t>
        </is>
      </c>
      <c r="P511" s="3" t="inlineStr">
        <is>
          <t>Z92-CZ10007</t>
        </is>
      </c>
      <c r="Q511" s="3" t="inlineStr">
        <is>
          <t>77242113UCO2001</t>
        </is>
      </c>
    </row>
    <row r="512">
      <c r="A512" s="2" t="str">
        <f>HYPERLINK("https://vtmf.veevavault.com/ui/#doc_info/26634554/1/0", "77242113UCO2001-CZE-Z92-CZ10007-Monitoring Visit Follow-up Letter-SCVR_FL-25 Jun 2024 (v1.0)")</f>
        <v>77242113UCO2001-CZE-Z92-CZ10007-Monitoring Visit Follow-up Letter-SCVR_FL-25 Jun 2024 (v1.0)</v>
      </c>
      <c r="B512" s="3" t="inlineStr">
        <is>
          <t>Admin User Medidata</t>
        </is>
      </c>
      <c r="C512" s="3" t="inlineStr">
        <is>
          <t>Site Management</t>
        </is>
      </c>
      <c r="D512" s="3" t="inlineStr">
        <is>
          <t>Site Management</t>
        </is>
      </c>
      <c r="E512" s="3" t="inlineStr">
        <is>
          <t>Monitoring Visit Follow-up Letter</t>
        </is>
      </c>
      <c r="F512" s="3" t="inlineStr">
        <is>
          <t/>
        </is>
      </c>
      <c r="G512" s="2" t="str">
        <f>HYPERLINK("https://vtmf.veevavault.com/ui/#doc_info/26634554/1/0", "VTMF-21335452")</f>
        <v>VTMF-21335452</v>
      </c>
      <c r="H512" s="3" t="inlineStr">
        <is>
          <t/>
        </is>
      </c>
      <c r="I512" s="3" t="inlineStr">
        <is>
          <t>System</t>
        </is>
      </c>
      <c r="J512" s="3" t="inlineStr">
        <is>
          <t>Admin User Medidata</t>
        </is>
      </c>
      <c r="K512" s="4" t="n">
        <v>45475.735497685186</v>
      </c>
      <c r="L512" s="5" t="n">
        <v>45475.0</v>
      </c>
      <c r="M512" s="3" t="inlineStr">
        <is>
          <t>Approved</t>
        </is>
      </c>
      <c r="N512" s="3" t="inlineStr">
        <is>
          <t>Available for Distribution, CLIX Filing, Site Close</t>
        </is>
      </c>
      <c r="O512" s="3" t="inlineStr">
        <is>
          <t>Czech Republic</t>
        </is>
      </c>
      <c r="P512" s="3" t="inlineStr">
        <is>
          <t>Z92-CZ10007</t>
        </is>
      </c>
      <c r="Q512" s="3" t="inlineStr">
        <is>
          <t>77242113UCO2001</t>
        </is>
      </c>
    </row>
    <row r="513">
      <c r="A513" s="2" t="str">
        <f>HYPERLINK("https://vtmf.veevavault.com/ui/#doc_info/26448024/1/0", "77242113UCO2001-CZE-Z92-CZ10007-Non-IP Return Documentation-03 Jun 2024 (v1.0)")</f>
        <v>77242113UCO2001-CZE-Z92-CZ10007-Non-IP Return Documentation-03 Jun 2024 (v1.0)</v>
      </c>
      <c r="B513" s="3" t="inlineStr">
        <is>
          <t>Lenka Placha</t>
        </is>
      </c>
      <c r="C513" s="3" t="inlineStr">
        <is>
          <t>IP and Trial Supplies</t>
        </is>
      </c>
      <c r="D513" s="3" t="inlineStr">
        <is>
          <t>Non-IP Documentation</t>
        </is>
      </c>
      <c r="E513" s="3" t="inlineStr">
        <is>
          <t>Non-IP Return Documentation</t>
        </is>
      </c>
      <c r="F513" s="3" t="inlineStr">
        <is>
          <t>email 03Jun24- SC confirmation - return ECG</t>
        </is>
      </c>
      <c r="G513" s="2" t="str">
        <f>HYPERLINK("https://vtmf.veevavault.com/ui/#doc_info/26448024/1/0", "VTMF-21171445")</f>
        <v>VTMF-21171445</v>
      </c>
      <c r="H513" s="3" t="inlineStr">
        <is>
          <t/>
        </is>
      </c>
      <c r="I513" s="3" t="inlineStr">
        <is>
          <t>Anthony Suarez (veeva.com)</t>
        </is>
      </c>
      <c r="J513" s="3" t="inlineStr">
        <is>
          <t>Lenka Placha</t>
        </is>
      </c>
      <c r="K513" s="4" t="n">
        <v>45446.933842592596</v>
      </c>
      <c r="L513" s="5" t="n">
        <v>45446.0</v>
      </c>
      <c r="M513" s="3" t="inlineStr">
        <is>
          <t>Approved</t>
        </is>
      </c>
      <c r="N513" s="3" t="inlineStr">
        <is>
          <t>Available for Distribution, CLIX Filing, Site Close</t>
        </is>
      </c>
      <c r="O513" s="3" t="inlineStr">
        <is>
          <t>Czech Republic</t>
        </is>
      </c>
      <c r="P513" s="3" t="inlineStr">
        <is>
          <t>Z92-CZ10007</t>
        </is>
      </c>
      <c r="Q513" s="3" t="inlineStr">
        <is>
          <t>77242113UCO2001</t>
        </is>
      </c>
    </row>
    <row r="514">
      <c r="A514" s="2" t="str">
        <f>HYPERLINK("https://vtmf.veevavault.com/ui/#doc_info/26553953/1/0", "77242113UCO2001-CZE-Z92-CZ10007-Non-IP Return Documentation-11 Jun 2024 (v1.0)")</f>
        <v>77242113UCO2001-CZE-Z92-CZ10007-Non-IP Return Documentation-11 Jun 2024 (v1.0)</v>
      </c>
      <c r="B514" s="3" t="inlineStr">
        <is>
          <t>Lenka Placha</t>
        </is>
      </c>
      <c r="C514" s="3" t="inlineStr">
        <is>
          <t>IP and Trial Supplies</t>
        </is>
      </c>
      <c r="D514" s="3" t="inlineStr">
        <is>
          <t>Non-IP Documentation</t>
        </is>
      </c>
      <c r="E514" s="3" t="inlineStr">
        <is>
          <t>Non-IP Return Documentation</t>
        </is>
      </c>
      <c r="F514" s="3" t="inlineStr">
        <is>
          <t>email 11Jun24- SC confirmation - return eCOA tablet and handheld</t>
        </is>
      </c>
      <c r="G514" s="2" t="str">
        <f>HYPERLINK("https://vtmf.veevavault.com/ui/#doc_info/26553953/1/0", "VTMF-21265414")</f>
        <v>VTMF-21265414</v>
      </c>
      <c r="H514" s="3" t="inlineStr">
        <is>
          <t/>
        </is>
      </c>
      <c r="I514" s="3" t="inlineStr">
        <is>
          <t>Anthony Suarez (veeva.com)</t>
        </is>
      </c>
      <c r="J514" s="3" t="inlineStr">
        <is>
          <t>Lenka Placha</t>
        </is>
      </c>
      <c r="K514" s="4" t="n">
        <v>45462.64861111111</v>
      </c>
      <c r="L514" s="5" t="n">
        <v>45462.0</v>
      </c>
      <c r="M514" s="3" t="inlineStr">
        <is>
          <t>Approved</t>
        </is>
      </c>
      <c r="N514" s="3" t="inlineStr">
        <is>
          <t>Available for Distribution, CLIX Filing, Site Close</t>
        </is>
      </c>
      <c r="O514" s="3" t="inlineStr">
        <is>
          <t>Czech Republic</t>
        </is>
      </c>
      <c r="P514" s="3" t="inlineStr">
        <is>
          <t>Z92-CZ10007</t>
        </is>
      </c>
      <c r="Q514" s="3" t="inlineStr">
        <is>
          <t>77242113UCO2001</t>
        </is>
      </c>
    </row>
    <row r="515">
      <c r="A515" s="2" t="str">
        <f>HYPERLINK("https://vtmf.veevavault.com/ui/#doc_info/26606173/1/0", "77242113UCO2001-CZE-Z92-CZ10007-Non-IP Return Documentation-25 Jun 2024 (v1.0)")</f>
        <v>77242113UCO2001-CZE-Z92-CZ10007-Non-IP Return Documentation-25 Jun 2024 (v1.0)</v>
      </c>
      <c r="B515" s="3" t="inlineStr">
        <is>
          <t>Jitka Kone</t>
        </is>
      </c>
      <c r="C515" s="3" t="inlineStr">
        <is>
          <t>IP and Trial Supplies</t>
        </is>
      </c>
      <c r="D515" s="3" t="inlineStr">
        <is>
          <t>Non-IP Documentation</t>
        </is>
      </c>
      <c r="E515" s="3" t="inlineStr">
        <is>
          <t>Non-IP Return Documentation</t>
        </is>
      </c>
      <c r="F515" s="3" t="inlineStr">
        <is>
          <t>Handover protocol return_Meal vouchers 50 pcs</t>
        </is>
      </c>
      <c r="G515" s="2" t="str">
        <f>HYPERLINK("https://vtmf.veevavault.com/ui/#doc_info/26606173/1/0", "VTMF-21310502")</f>
        <v>VTMF-21310502</v>
      </c>
      <c r="H515" s="3" t="inlineStr">
        <is>
          <t/>
        </is>
      </c>
      <c r="I515" s="3" t="inlineStr">
        <is>
          <t>Anthony Suarez (veeva.com)</t>
        </is>
      </c>
      <c r="J515" s="3" t="inlineStr">
        <is>
          <t>Jitka Kone</t>
        </is>
      </c>
      <c r="K515" s="4" t="n">
        <v>45470.576944444445</v>
      </c>
      <c r="L515" s="5" t="n">
        <v>45470.0</v>
      </c>
      <c r="M515" s="3" t="inlineStr">
        <is>
          <t>Approved</t>
        </is>
      </c>
      <c r="N515" s="3" t="inlineStr">
        <is>
          <t>Available for Distribution, CLIX Filing, Site Close</t>
        </is>
      </c>
      <c r="O515" s="3" t="inlineStr">
        <is>
          <t>Czech Republic</t>
        </is>
      </c>
      <c r="P515" s="3" t="inlineStr">
        <is>
          <t>Z92-CZ10007</t>
        </is>
      </c>
      <c r="Q515" s="3" t="inlineStr">
        <is>
          <t>77242113UCO2001</t>
        </is>
      </c>
    </row>
    <row r="516">
      <c r="A516" s="2" t="str">
        <f>HYPERLINK("https://vtmf.veevavault.com/ui/#doc_info/26622888/1/0", "77242113UCO2001-CZE-Z92-CZ10007-Non-IP Return Documentation-25 Jun 2024 (v1.0)")</f>
        <v>77242113UCO2001-CZE-Z92-CZ10007-Non-IP Return Documentation-25 Jun 2024 (v1.0)</v>
      </c>
      <c r="B516" s="3" t="inlineStr">
        <is>
          <t>Lenka Placha</t>
        </is>
      </c>
      <c r="C516" s="3" t="inlineStr">
        <is>
          <t>IP and Trial Supplies</t>
        </is>
      </c>
      <c r="D516" s="3" t="inlineStr">
        <is>
          <t>Non-IP Documentation</t>
        </is>
      </c>
      <c r="E516" s="3" t="inlineStr">
        <is>
          <t>Non-IP Return Documentation</t>
        </is>
      </c>
      <c r="F516" s="3" t="inlineStr">
        <is>
          <t>return protocol-ALIMENTIV kit- site Z92-CZ10007_25Jun24</t>
        </is>
      </c>
      <c r="G516" s="2" t="str">
        <f>HYPERLINK("https://vtmf.veevavault.com/ui/#doc_info/26622888/1/0", "VTMF-21325469")</f>
        <v>VTMF-21325469</v>
      </c>
      <c r="H516" s="3" t="inlineStr">
        <is>
          <t/>
        </is>
      </c>
      <c r="I516" s="3" t="inlineStr">
        <is>
          <t>Anthony Suarez (veeva.com)</t>
        </is>
      </c>
      <c r="J516" s="3" t="inlineStr">
        <is>
          <t>Lenka Placha</t>
        </is>
      </c>
      <c r="K516" s="4" t="n">
        <v>45474.41856481481</v>
      </c>
      <c r="L516" s="5" t="n">
        <v>45474.0</v>
      </c>
      <c r="M516" s="3" t="inlineStr">
        <is>
          <t>Approved</t>
        </is>
      </c>
      <c r="N516" s="3" t="inlineStr">
        <is>
          <t>Available for Distribution, CLIX Filing, Site Close</t>
        </is>
      </c>
      <c r="O516" s="3" t="inlineStr">
        <is>
          <t>Czech Republic</t>
        </is>
      </c>
      <c r="P516" s="3" t="inlineStr">
        <is>
          <t>Z92-CZ10007</t>
        </is>
      </c>
      <c r="Q516" s="3" t="inlineStr">
        <is>
          <t>77242113UCO2001</t>
        </is>
      </c>
    </row>
    <row r="517">
      <c r="A517" s="2" t="str">
        <f>HYPERLINK("https://vtmf.veevavault.com/ui/#doc_info/25788724/1/0", "77242113UCO2001-CZE-Z92-CZ10007-Non-IP Shipment Documentation-30 Jan 2024 (v1.0)")</f>
        <v>77242113UCO2001-CZE-Z92-CZ10007-Non-IP Shipment Documentation-30 Jan 2024 (v1.0)</v>
      </c>
      <c r="B517" s="3" t="inlineStr">
        <is>
          <t>Jitka Kone</t>
        </is>
      </c>
      <c r="C517" s="3" t="inlineStr">
        <is>
          <t>IP and Trial Supplies</t>
        </is>
      </c>
      <c r="D517" s="3" t="inlineStr">
        <is>
          <t>Non-IP Documentation</t>
        </is>
      </c>
      <c r="E517" s="3" t="inlineStr">
        <is>
          <t>Non-IP Shipment Documentation</t>
        </is>
      </c>
      <c r="F517" s="3" t="inlineStr">
        <is>
          <t>Handover protocol_Meal vouchers 50 pcs
29-JAN-2024</t>
        </is>
      </c>
      <c r="G517" s="2" t="str">
        <f>HYPERLINK("https://vtmf.veevavault.com/ui/#doc_info/25788724/1/0", "VTMF-20593012")</f>
        <v>VTMF-20593012</v>
      </c>
      <c r="H517" s="3" t="inlineStr">
        <is>
          <t/>
        </is>
      </c>
      <c r="I517" s="3" t="inlineStr">
        <is>
          <t>Anthony Suarez (veeva.com)</t>
        </is>
      </c>
      <c r="J517" s="3" t="inlineStr">
        <is>
          <t>Jitka Kone</t>
        </is>
      </c>
      <c r="K517" s="4" t="n">
        <v>45348.44148148148</v>
      </c>
      <c r="L517" s="5" t="n">
        <v>45348.0</v>
      </c>
      <c r="M517" s="3" t="inlineStr">
        <is>
          <t>Approved</t>
        </is>
      </c>
      <c r="N517" s="3" t="inlineStr">
        <is>
          <t>Available for Distribution, CLIX Filing, Site Close</t>
        </is>
      </c>
      <c r="O517" s="3" t="inlineStr">
        <is>
          <t>Czech Republic</t>
        </is>
      </c>
      <c r="P517" s="3" t="inlineStr">
        <is>
          <t>Z92-CZ10007</t>
        </is>
      </c>
      <c r="Q517" s="3" t="inlineStr">
        <is>
          <t>77242113UCO2001</t>
        </is>
      </c>
    </row>
    <row r="518">
      <c r="A518" s="2" t="str">
        <f>HYPERLINK("https://vtmf.veevavault.com/ui/#doc_info/25788782/1/0", "77242113UCO2001-CZE-Z92-CZ10007-Non-IP Shipment Documentation-30 Jan 2024 (v1.0)")</f>
        <v>77242113UCO2001-CZE-Z92-CZ10007-Non-IP Shipment Documentation-30 Jan 2024 (v1.0)</v>
      </c>
      <c r="B518" s="3" t="inlineStr">
        <is>
          <t>Jitka Kone</t>
        </is>
      </c>
      <c r="C518" s="3" t="inlineStr">
        <is>
          <t>IP and Trial Supplies</t>
        </is>
      </c>
      <c r="D518" s="3" t="inlineStr">
        <is>
          <t>Non-IP Documentation</t>
        </is>
      </c>
      <c r="E518" s="3" t="inlineStr">
        <is>
          <t>Non-IP Shipment Documentation</t>
        </is>
      </c>
      <c r="F518" s="3" t="inlineStr">
        <is>
          <t>NIPSF_Pharmacy Binder + Pr.Am. 2 Initiation_29-JAN-2024</t>
        </is>
      </c>
      <c r="G518" s="2" t="str">
        <f>HYPERLINK("https://vtmf.veevavault.com/ui/#doc_info/25788782/1/0", "VTMF-20593066")</f>
        <v>VTMF-20593066</v>
      </c>
      <c r="H518" s="3" t="inlineStr">
        <is>
          <t/>
        </is>
      </c>
      <c r="I518" s="3" t="inlineStr">
        <is>
          <t>Anthony Suarez (veeva.com)</t>
        </is>
      </c>
      <c r="J518" s="3" t="inlineStr">
        <is>
          <t>Jitka Kone</t>
        </is>
      </c>
      <c r="K518" s="4" t="n">
        <v>45348.44564814815</v>
      </c>
      <c r="L518" s="5" t="n">
        <v>45348.0</v>
      </c>
      <c r="M518" s="3" t="inlineStr">
        <is>
          <t>Approved</t>
        </is>
      </c>
      <c r="N518" s="3" t="inlineStr">
        <is>
          <t>Available for Distribution, CLIX Filing, Site Close</t>
        </is>
      </c>
      <c r="O518" s="3" t="inlineStr">
        <is>
          <t>Czech Republic</t>
        </is>
      </c>
      <c r="P518" s="3" t="inlineStr">
        <is>
          <t>Z92-CZ10007</t>
        </is>
      </c>
      <c r="Q518" s="3" t="inlineStr">
        <is>
          <t>77242113UCO2001</t>
        </is>
      </c>
    </row>
    <row r="519">
      <c r="A519" s="2" t="str">
        <f>HYPERLINK("https://vtmf.veevavault.com/ui/#doc_info/25788826/1/0", "77242113UCO2001-CZE-Z92-CZ10007-Non-IP Shipment Documentation-30 Jan 2024 (v1.0)")</f>
        <v>77242113UCO2001-CZE-Z92-CZ10007-Non-IP Shipment Documentation-30 Jan 2024 (v1.0)</v>
      </c>
      <c r="B519" s="3" t="inlineStr">
        <is>
          <t>Jitka Kone</t>
        </is>
      </c>
      <c r="C519" s="3" t="inlineStr">
        <is>
          <t>IP and Trial Supplies</t>
        </is>
      </c>
      <c r="D519" s="3" t="inlineStr">
        <is>
          <t>Non-IP Documentation</t>
        </is>
      </c>
      <c r="E519" s="3" t="inlineStr">
        <is>
          <t>Non-IP Shipment Documentation</t>
        </is>
      </c>
      <c r="F519" s="3" t="inlineStr">
        <is>
          <t>NIPSF_site initial_29-JAN-2024</t>
        </is>
      </c>
      <c r="G519" s="2" t="str">
        <f>HYPERLINK("https://vtmf.veevavault.com/ui/#doc_info/25788826/1/0", "VTMF-20593108")</f>
        <v>VTMF-20593108</v>
      </c>
      <c r="H519" s="3" t="inlineStr">
        <is>
          <t/>
        </is>
      </c>
      <c r="I519" s="3" t="inlineStr">
        <is>
          <t>Anthony Suarez (veeva.com)</t>
        </is>
      </c>
      <c r="J519" s="3" t="inlineStr">
        <is>
          <t>Jitka Kone</t>
        </is>
      </c>
      <c r="K519" s="4" t="n">
        <v>45348.44975694444</v>
      </c>
      <c r="L519" s="5" t="n">
        <v>45348.0</v>
      </c>
      <c r="M519" s="3" t="inlineStr">
        <is>
          <t>Approved</t>
        </is>
      </c>
      <c r="N519" s="3" t="inlineStr">
        <is>
          <t>Available for Distribution, CLIX Filing, Site Close</t>
        </is>
      </c>
      <c r="O519" s="3" t="inlineStr">
        <is>
          <t>Czech Republic</t>
        </is>
      </c>
      <c r="P519" s="3" t="inlineStr">
        <is>
          <t>Z92-CZ10007</t>
        </is>
      </c>
      <c r="Q519" s="3" t="inlineStr">
        <is>
          <t>77242113UCO2001</t>
        </is>
      </c>
    </row>
    <row r="520">
      <c r="A520" s="2" t="str">
        <f>HYPERLINK("https://vtmf.veevavault.com/ui/#doc_info/25773789/1/0", "77242113UCO2001-CZE-Z92-CZ10007-Other Curriculum Vitae-02 Feb 2024 (v1.0)")</f>
        <v>77242113UCO2001-CZE-Z92-CZ10007-Other Curriculum Vitae-02 Feb 2024 (v1.0)</v>
      </c>
      <c r="B520" s="3" t="inlineStr">
        <is>
          <t>Lenka Placha</t>
        </is>
      </c>
      <c r="C520" s="3" t="inlineStr">
        <is>
          <t>Site Management</t>
        </is>
      </c>
      <c r="D520" s="3" t="inlineStr">
        <is>
          <t>Site Set-up Documentation</t>
        </is>
      </c>
      <c r="E520" s="3" t="inlineStr">
        <is>
          <t>Other Curriculum Vitae</t>
        </is>
      </c>
      <c r="F520" s="3" t="inlineStr">
        <is>
          <t>CV_pharmacist_EN_ Bartunkova Denisa_initial_02Feb2024</t>
        </is>
      </c>
      <c r="G520" s="2" t="str">
        <f>HYPERLINK("https://vtmf.veevavault.com/ui/#doc_info/25773789/1/0", "VTMF-20579603")</f>
        <v>VTMF-20579603</v>
      </c>
      <c r="H520" s="3" t="inlineStr">
        <is>
          <t/>
        </is>
      </c>
      <c r="I520" s="3" t="inlineStr">
        <is>
          <t>Anthony Suarez (veeva.com)</t>
        </is>
      </c>
      <c r="J520" s="3" t="inlineStr">
        <is>
          <t>Lenka Placha</t>
        </is>
      </c>
      <c r="K520" s="4" t="n">
        <v>45344.93748842592</v>
      </c>
      <c r="L520" s="5" t="n">
        <v>45344.0</v>
      </c>
      <c r="M520" s="3" t="inlineStr">
        <is>
          <t>Approved</t>
        </is>
      </c>
      <c r="N520" s="3" t="inlineStr">
        <is>
          <t>Available for Distribution, CLIX Filing, Site Close</t>
        </is>
      </c>
      <c r="O520" s="3" t="inlineStr">
        <is>
          <t>Czech Republic</t>
        </is>
      </c>
      <c r="P520" s="3" t="inlineStr">
        <is>
          <t>Z92-CZ10007</t>
        </is>
      </c>
      <c r="Q520" s="3" t="inlineStr">
        <is>
          <t>77242113UCO2001</t>
        </is>
      </c>
    </row>
    <row r="521">
      <c r="A521" s="2" t="str">
        <f>HYPERLINK("https://vtmf.veevavault.com/ui/#doc_info/24104003/1/0", "77242113UCO2001-CZE-Z92-CZ10007-Other Curriculum Vitae-29 Jan 2024 (v1.0)")</f>
        <v>77242113UCO2001-CZE-Z92-CZ10007-Other Curriculum Vitae-29 Jan 2024 (v1.0)</v>
      </c>
      <c r="B521" s="3" t="inlineStr">
        <is>
          <t>EDL Admin</t>
        </is>
      </c>
      <c r="C521" s="3" t="inlineStr">
        <is>
          <t>Site Management</t>
        </is>
      </c>
      <c r="D521" s="3" t="inlineStr">
        <is>
          <t>Site Set-up Documentation</t>
        </is>
      </c>
      <c r="E521" s="3" t="inlineStr">
        <is>
          <t>Other Curriculum Vitae</t>
        </is>
      </c>
      <c r="F521" s="3" t="inlineStr">
        <is>
          <t>CV_SC_EN_ Kalitzova Gabriela_initial_29Jan24</t>
        </is>
      </c>
      <c r="G521" s="2" t="str">
        <f>HYPERLINK("https://vtmf.veevavault.com/ui/#doc_info/24104003/1/0", "VTMF-19118627")</f>
        <v>VTMF-19118627</v>
      </c>
      <c r="H521" s="3" t="inlineStr">
        <is>
          <t/>
        </is>
      </c>
      <c r="I521" s="3" t="inlineStr">
        <is>
          <t>Anthony Suarez (veeva.com)</t>
        </is>
      </c>
      <c r="J521" s="3" t="inlineStr">
        <is>
          <t>Lenka Placha</t>
        </is>
      </c>
      <c r="K521" s="4" t="n">
        <v>45344.92642361111</v>
      </c>
      <c r="L521" s="5" t="n">
        <v>45344.0</v>
      </c>
      <c r="M521" s="3" t="inlineStr">
        <is>
          <t>Approved</t>
        </is>
      </c>
      <c r="N521" s="3" t="inlineStr">
        <is>
          <t>Available for Distribution, CLIX Filing, Site Close</t>
        </is>
      </c>
      <c r="O521" s="3" t="inlineStr">
        <is>
          <t>Czech Republic</t>
        </is>
      </c>
      <c r="P521" s="3" t="inlineStr">
        <is>
          <t>Z92-CZ10007</t>
        </is>
      </c>
      <c r="Q521" s="3" t="inlineStr">
        <is>
          <t>77242113UCO2001</t>
        </is>
      </c>
    </row>
    <row r="522">
      <c r="A522" s="2" t="str">
        <f>HYPERLINK("https://vtmf.veevavault.com/ui/#doc_info/25773787/1/0", "77242113UCO2001-CZE-Z92-CZ10007-Other Curriculum Vitae-29 Jan 2024 (v1.0)")</f>
        <v>77242113UCO2001-CZE-Z92-CZ10007-Other Curriculum Vitae-29 Jan 2024 (v1.0)</v>
      </c>
      <c r="B522" s="3" t="inlineStr">
        <is>
          <t>Lenka Placha</t>
        </is>
      </c>
      <c r="C522" s="3" t="inlineStr">
        <is>
          <t>Site Management</t>
        </is>
      </c>
      <c r="D522" s="3" t="inlineStr">
        <is>
          <t>Site Set-up Documentation</t>
        </is>
      </c>
      <c r="E522" s="3" t="inlineStr">
        <is>
          <t>Other Curriculum Vitae</t>
        </is>
      </c>
      <c r="F522" s="3" t="inlineStr">
        <is>
          <t>CV_SN_EN_ Trejbalova Lucie_initial_29Jan2024</t>
        </is>
      </c>
      <c r="G522" s="2" t="str">
        <f>HYPERLINK("https://vtmf.veevavault.com/ui/#doc_info/25773787/1/0", "VTMF-20579601")</f>
        <v>VTMF-20579601</v>
      </c>
      <c r="H522" s="3" t="inlineStr">
        <is>
          <t/>
        </is>
      </c>
      <c r="I522" s="3" t="inlineStr">
        <is>
          <t>Anthony Suarez (veeva.com)</t>
        </is>
      </c>
      <c r="J522" s="3" t="inlineStr">
        <is>
          <t>Lenka Placha</t>
        </is>
      </c>
      <c r="K522" s="4" t="n">
        <v>45344.93748842592</v>
      </c>
      <c r="L522" s="5" t="n">
        <v>45344.0</v>
      </c>
      <c r="M522" s="3" t="inlineStr">
        <is>
          <t>Approved</t>
        </is>
      </c>
      <c r="N522" s="3" t="inlineStr">
        <is>
          <t>Available for Distribution, CLIX Filing, Site Close</t>
        </is>
      </c>
      <c r="O522" s="3" t="inlineStr">
        <is>
          <t>Czech Republic</t>
        </is>
      </c>
      <c r="P522" s="3" t="inlineStr">
        <is>
          <t>Z92-CZ10007</t>
        </is>
      </c>
      <c r="Q522" s="3" t="inlineStr">
        <is>
          <t>77242113UCO2001</t>
        </is>
      </c>
    </row>
    <row r="523">
      <c r="A523" s="2" t="str">
        <f>HYPERLINK("https://vtmf.veevavault.com/ui/#doc_info/25773785/1/0", "77242113UCO2001-CZE-Z92-CZ10007-Other Curriculum Vitae-30 Jan 2024 (v1.0)")</f>
        <v>77242113UCO2001-CZE-Z92-CZ10007-Other Curriculum Vitae-30 Jan 2024 (v1.0)</v>
      </c>
      <c r="B523" s="3" t="inlineStr">
        <is>
          <t>Lenka Placha</t>
        </is>
      </c>
      <c r="C523" s="3" t="inlineStr">
        <is>
          <t>Site Management</t>
        </is>
      </c>
      <c r="D523" s="3" t="inlineStr">
        <is>
          <t>Site Set-up Documentation</t>
        </is>
      </c>
      <c r="E523" s="3" t="inlineStr">
        <is>
          <t>Other Curriculum Vitae</t>
        </is>
      </c>
      <c r="F523" s="3" t="inlineStr">
        <is>
          <t>CV_pharmacist_EN_ Budkova Alzbeta_initial_30Jan2024</t>
        </is>
      </c>
      <c r="G523" s="2" t="str">
        <f>HYPERLINK("https://vtmf.veevavault.com/ui/#doc_info/25773785/1/0", "VTMF-20579599")</f>
        <v>VTMF-20579599</v>
      </c>
      <c r="H523" s="3" t="inlineStr">
        <is>
          <t/>
        </is>
      </c>
      <c r="I523" s="3" t="inlineStr">
        <is>
          <t>Anthony Suarez (veeva.com)</t>
        </is>
      </c>
      <c r="J523" s="3" t="inlineStr">
        <is>
          <t>Lenka Placha</t>
        </is>
      </c>
      <c r="K523" s="4" t="n">
        <v>45344.93748842592</v>
      </c>
      <c r="L523" s="5" t="n">
        <v>45344.0</v>
      </c>
      <c r="M523" s="3" t="inlineStr">
        <is>
          <t>Approved</t>
        </is>
      </c>
      <c r="N523" s="3" t="inlineStr">
        <is>
          <t>Available for Distribution, CLIX Filing, Site Close</t>
        </is>
      </c>
      <c r="O523" s="3" t="inlineStr">
        <is>
          <t>Czech Republic</t>
        </is>
      </c>
      <c r="P523" s="3" t="inlineStr">
        <is>
          <t>Z92-CZ10007</t>
        </is>
      </c>
      <c r="Q523" s="3" t="inlineStr">
        <is>
          <t>77242113UCO2001</t>
        </is>
      </c>
    </row>
    <row r="524">
      <c r="A524" s="2" t="str">
        <f>HYPERLINK("https://vtmf.veevavault.com/ui/#doc_info/25773786/1/0", "77242113UCO2001-CZE-Z92-CZ10007-Other Curriculum Vitae-30 Jan 2024 (v1.0)")</f>
        <v>77242113UCO2001-CZE-Z92-CZ10007-Other Curriculum Vitae-30 Jan 2024 (v1.0)</v>
      </c>
      <c r="B524" s="3" t="inlineStr">
        <is>
          <t>Lenka Placha</t>
        </is>
      </c>
      <c r="C524" s="3" t="inlineStr">
        <is>
          <t>Site Management</t>
        </is>
      </c>
      <c r="D524" s="3" t="inlineStr">
        <is>
          <t>Site Set-up Documentation</t>
        </is>
      </c>
      <c r="E524" s="3" t="inlineStr">
        <is>
          <t>Other Curriculum Vitae</t>
        </is>
      </c>
      <c r="F524" s="3" t="inlineStr">
        <is>
          <t>CV_pharmacist_EN_ Tukerova Katarina_initial_30Jan2024</t>
        </is>
      </c>
      <c r="G524" s="2" t="str">
        <f>HYPERLINK("https://vtmf.veevavault.com/ui/#doc_info/25773786/1/0", "VTMF-20579600")</f>
        <v>VTMF-20579600</v>
      </c>
      <c r="H524" s="3" t="inlineStr">
        <is>
          <t/>
        </is>
      </c>
      <c r="I524" s="3" t="inlineStr">
        <is>
          <t>Anthony Suarez (veeva.com)</t>
        </is>
      </c>
      <c r="J524" s="3" t="inlineStr">
        <is>
          <t>Lenka Placha</t>
        </is>
      </c>
      <c r="K524" s="4" t="n">
        <v>45344.93748842592</v>
      </c>
      <c r="L524" s="5" t="n">
        <v>45344.0</v>
      </c>
      <c r="M524" s="3" t="inlineStr">
        <is>
          <t>Approved</t>
        </is>
      </c>
      <c r="N524" s="3" t="inlineStr">
        <is>
          <t>Available for Distribution, CLIX Filing, Site Close</t>
        </is>
      </c>
      <c r="O524" s="3" t="inlineStr">
        <is>
          <t>Czech Republic</t>
        </is>
      </c>
      <c r="P524" s="3" t="inlineStr">
        <is>
          <t>Z92-CZ10007</t>
        </is>
      </c>
      <c r="Q524" s="3" t="inlineStr">
        <is>
          <t>77242113UCO2001</t>
        </is>
      </c>
    </row>
    <row r="525">
      <c r="A525" s="2" t="str">
        <f>HYPERLINK("https://vtmf.veevavault.com/ui/#doc_info/25773788/1/0", "77242113UCO2001-CZE-Z92-CZ10007-Other Curriculum Vitae-30 Jan 2024 (v1.0)")</f>
        <v>77242113UCO2001-CZE-Z92-CZ10007-Other Curriculum Vitae-30 Jan 2024 (v1.0)</v>
      </c>
      <c r="B525" s="3" t="inlineStr">
        <is>
          <t>Lenka Placha</t>
        </is>
      </c>
      <c r="C525" s="3" t="inlineStr">
        <is>
          <t>Site Management</t>
        </is>
      </c>
      <c r="D525" s="3" t="inlineStr">
        <is>
          <t>Site Set-up Documentation</t>
        </is>
      </c>
      <c r="E525" s="3" t="inlineStr">
        <is>
          <t>Other Curriculum Vitae</t>
        </is>
      </c>
      <c r="F525" s="3" t="inlineStr">
        <is>
          <t>CV_pharmacist_EN_ Svarcova Petra_initial_30Jan2024</t>
        </is>
      </c>
      <c r="G525" s="2" t="str">
        <f>HYPERLINK("https://vtmf.veevavault.com/ui/#doc_info/25773788/1/0", "VTMF-20579602")</f>
        <v>VTMF-20579602</v>
      </c>
      <c r="H525" s="3" t="inlineStr">
        <is>
          <t/>
        </is>
      </c>
      <c r="I525" s="3" t="inlineStr">
        <is>
          <t>Anthony Suarez (veeva.com)</t>
        </is>
      </c>
      <c r="J525" s="3" t="inlineStr">
        <is>
          <t>Lenka Placha</t>
        </is>
      </c>
      <c r="K525" s="4" t="n">
        <v>45344.93748842592</v>
      </c>
      <c r="L525" s="5" t="n">
        <v>45344.0</v>
      </c>
      <c r="M525" s="3" t="inlineStr">
        <is>
          <t>Approved</t>
        </is>
      </c>
      <c r="N525" s="3" t="inlineStr">
        <is>
          <t>Available for Distribution, CLIX Filing, Site Close</t>
        </is>
      </c>
      <c r="O525" s="3" t="inlineStr">
        <is>
          <t>Czech Republic</t>
        </is>
      </c>
      <c r="P525" s="3" t="inlineStr">
        <is>
          <t>Z92-CZ10007</t>
        </is>
      </c>
      <c r="Q525" s="3" t="inlineStr">
        <is>
          <t>77242113UCO2001</t>
        </is>
      </c>
    </row>
    <row r="526">
      <c r="A526" s="2" t="str">
        <f>HYPERLINK("https://vtmf.veevavault.com/ui/#doc_info/24118138/1/0", "77242113UCO2001-CZE-Z92-CZ10007-Pre Trial Monitoring Report-15 May 2023 (v1.0)")</f>
        <v>77242113UCO2001-CZE-Z92-CZ10007-Pre Trial Monitoring Report-15 May 2023 (v1.0)</v>
      </c>
      <c r="B526" s="3" t="inlineStr">
        <is>
          <t>Admin User Medidata</t>
        </is>
      </c>
      <c r="C526" s="3" t="inlineStr">
        <is>
          <t>Site Management</t>
        </is>
      </c>
      <c r="D526" s="3" t="inlineStr">
        <is>
          <t>Site Selection</t>
        </is>
      </c>
      <c r="E526" s="3" t="inlineStr">
        <is>
          <t>Pre Trial Monitoring Report</t>
        </is>
      </c>
      <c r="F526" s="3" t="inlineStr">
        <is>
          <t/>
        </is>
      </c>
      <c r="G526" s="2" t="str">
        <f>HYPERLINK("https://vtmf.veevavault.com/ui/#doc_info/24118138/1/0", "VTMF-19132386")</f>
        <v>VTMF-19132386</v>
      </c>
      <c r="H526" s="3" t="inlineStr">
        <is>
          <t/>
        </is>
      </c>
      <c r="I526" s="3" t="inlineStr">
        <is>
          <t>System</t>
        </is>
      </c>
      <c r="J526" s="3" t="inlineStr">
        <is>
          <t>Admin User Medidata</t>
        </is>
      </c>
      <c r="K526" s="4" t="n">
        <v>45069.69201388889</v>
      </c>
      <c r="L526" s="5" t="n">
        <v>45069.0</v>
      </c>
      <c r="M526" s="3" t="inlineStr">
        <is>
          <t>Approved</t>
        </is>
      </c>
      <c r="N526" s="3" t="inlineStr">
        <is>
          <t>Available for Distribution, Site Start</t>
        </is>
      </c>
      <c r="O526" s="3" t="inlineStr">
        <is>
          <t>Czech Republic</t>
        </is>
      </c>
      <c r="P526" s="3" t="inlineStr">
        <is>
          <t>Z92-CZ10007</t>
        </is>
      </c>
      <c r="Q526" s="3" t="inlineStr">
        <is>
          <t>77242113UCO2001</t>
        </is>
      </c>
    </row>
    <row r="527">
      <c r="A527" s="2" t="str">
        <f>HYPERLINK("https://vtmf.veevavault.com/ui/#doc_info/24382763/1/0", "77242113UCO2001-CZE-Z92-CZ10007-Principal Investigator Curriculum Vitae-23 Jun 2023 (v1.0)")</f>
        <v>77242113UCO2001-CZE-Z92-CZ10007-Principal Investigator Curriculum Vitae-23 Jun 2023 (v1.0)</v>
      </c>
      <c r="B527" s="3" t="inlineStr">
        <is>
          <t>Marketa Zachova</t>
        </is>
      </c>
      <c r="C527" s="3" t="inlineStr">
        <is>
          <t>Site Management</t>
        </is>
      </c>
      <c r="D527" s="3" t="inlineStr">
        <is>
          <t>Site Set-up Documentation</t>
        </is>
      </c>
      <c r="E527" s="3" t="inlineStr">
        <is>
          <t>Principal Investigator Curriculum Vitae</t>
        </is>
      </c>
      <c r="F527" s="3" t="inlineStr">
        <is>
          <t>M1_CV Lukas M_Iscare_CZ_CZE_77242113UCO2001_23Jun2023</t>
        </is>
      </c>
      <c r="G527" s="2" t="str">
        <f>HYPERLINK("https://vtmf.veevavault.com/ui/#doc_info/24382763/1/0", "VTMF-19364227")</f>
        <v>VTMF-19364227</v>
      </c>
      <c r="H527" s="3" t="inlineStr">
        <is>
          <t/>
        </is>
      </c>
      <c r="I527" s="3" t="inlineStr">
        <is>
          <t>Anthony Suarez (veeva.com)</t>
        </is>
      </c>
      <c r="J527" s="3" t="inlineStr">
        <is>
          <t>Marketa Zachova</t>
        </is>
      </c>
      <c r="K527" s="4" t="n">
        <v>45111.49891203704</v>
      </c>
      <c r="L527" s="5" t="n">
        <v>45111.0</v>
      </c>
      <c r="M527" s="3" t="inlineStr">
        <is>
          <t>Approved</t>
        </is>
      </c>
      <c r="N527" s="3" t="inlineStr">
        <is>
          <t>Available for Distribution, CLIX Filing, Site Close</t>
        </is>
      </c>
      <c r="O527" s="3" t="inlineStr">
        <is>
          <t>Czech Republic</t>
        </is>
      </c>
      <c r="P527" s="3" t="inlineStr">
        <is>
          <t>Z92-CZ10007</t>
        </is>
      </c>
      <c r="Q527" s="3" t="inlineStr">
        <is>
          <t>77242113UCO2001</t>
        </is>
      </c>
    </row>
    <row r="528">
      <c r="A528" s="2" t="str">
        <f>HYPERLINK("https://vtmf.veevavault.com/ui/#doc_info/24384543/1/0", "77242113UCO2001-CZE-Z92-CZ10007-Principal Investigator Curriculum Vitae-23 Jun 2023 (v1.0)")</f>
        <v>77242113UCO2001-CZE-Z92-CZ10007-Principal Investigator Curriculum Vitae-23 Jun 2023 (v1.0)</v>
      </c>
      <c r="B528" s="3" t="inlineStr">
        <is>
          <t>Jitka Kone</t>
        </is>
      </c>
      <c r="C528" s="3" t="inlineStr">
        <is>
          <t>Site Management</t>
        </is>
      </c>
      <c r="D528" s="3" t="inlineStr">
        <is>
          <t>Site Set-up Documentation</t>
        </is>
      </c>
      <c r="E528" s="3" t="inlineStr">
        <is>
          <t>Principal Investigator Curriculum Vitae</t>
        </is>
      </c>
      <c r="F528" s="3" t="inlineStr">
        <is>
          <t>REDACTED_M1_CV Lukas M_Iscare_CZ_CZE_77242113UCO2001_23Jun2023</t>
        </is>
      </c>
      <c r="G528" s="2" t="str">
        <f>HYPERLINK("https://vtmf.veevavault.com/ui/#doc_info/24384543/1/0", "VTMF-19365734")</f>
        <v>VTMF-19365734</v>
      </c>
      <c r="H528" s="3" t="inlineStr">
        <is>
          <t/>
        </is>
      </c>
      <c r="I528" s="3" t="inlineStr">
        <is>
          <t>Anthony Suarez (veeva.com)</t>
        </is>
      </c>
      <c r="J528" s="3" t="inlineStr">
        <is>
          <t>Jitka Kone</t>
        </is>
      </c>
      <c r="K528" s="4" t="n">
        <v>45111.67528935185</v>
      </c>
      <c r="L528" s="5" t="n">
        <v>45111.0</v>
      </c>
      <c r="M528" s="3" t="inlineStr">
        <is>
          <t>Approved</t>
        </is>
      </c>
      <c r="N528" s="3" t="inlineStr">
        <is>
          <t>Available for Distribution, CLIX Filing, Site Close</t>
        </is>
      </c>
      <c r="O528" s="3" t="inlineStr">
        <is>
          <t>Czech Republic</t>
        </is>
      </c>
      <c r="P528" s="3" t="inlineStr">
        <is>
          <t>Z92-CZ10007</t>
        </is>
      </c>
      <c r="Q528" s="3" t="inlineStr">
        <is>
          <t>77242113UCO2001</t>
        </is>
      </c>
    </row>
    <row r="529">
      <c r="A529" s="2" t="str">
        <f>HYPERLINK("https://vtmf.veevavault.com/ui/#doc_info/24104004/1/0", "77242113UCO2001-CZE-Z92-CZ10007-Principal Investigator Curriculum Vitae-30 Jan 2024 (v1.0)")</f>
        <v>77242113UCO2001-CZE-Z92-CZ10007-Principal Investigator Curriculum Vitae-30 Jan 2024 (v1.0)</v>
      </c>
      <c r="B529" s="3" t="inlineStr">
        <is>
          <t>EDL Admin</t>
        </is>
      </c>
      <c r="C529" s="3" t="inlineStr">
        <is>
          <t>Site Management</t>
        </is>
      </c>
      <c r="D529" s="3" t="inlineStr">
        <is>
          <t>Site Set-up Documentation</t>
        </is>
      </c>
      <c r="E529" s="3" t="inlineStr">
        <is>
          <t>Principal Investigator Curriculum Vitae</t>
        </is>
      </c>
      <c r="F529" s="3" t="inlineStr">
        <is>
          <t>cv_EN_ Lukas Milan_initial_30Jan24</t>
        </is>
      </c>
      <c r="G529" s="2" t="str">
        <f>HYPERLINK("https://vtmf.veevavault.com/ui/#doc_info/24104004/1/0", "VTMF-19118628")</f>
        <v>VTMF-19118628</v>
      </c>
      <c r="H529" s="3" t="inlineStr">
        <is>
          <t/>
        </is>
      </c>
      <c r="I529" s="3" t="inlineStr">
        <is>
          <t>Anthony Suarez (veeva.com)</t>
        </is>
      </c>
      <c r="J529" s="3" t="inlineStr">
        <is>
          <t>Lenka Placha</t>
        </is>
      </c>
      <c r="K529" s="4" t="n">
        <v>45334.566458333335</v>
      </c>
      <c r="L529" s="5" t="n">
        <v>45334.0</v>
      </c>
      <c r="M529" s="3" t="inlineStr">
        <is>
          <t>Approved</t>
        </is>
      </c>
      <c r="N529" s="3" t="inlineStr">
        <is>
          <t>Available for Distribution, CLIX Filing, Site Close</t>
        </is>
      </c>
      <c r="O529" s="3" t="inlineStr">
        <is>
          <t>Czech Republic</t>
        </is>
      </c>
      <c r="P529" s="3" t="inlineStr">
        <is>
          <t>Z92-CZ10007</t>
        </is>
      </c>
      <c r="Q529" s="3" t="inlineStr">
        <is>
          <t>77242113UCO2001</t>
        </is>
      </c>
    </row>
    <row r="530">
      <c r="A530" s="2" t="str">
        <f>HYPERLINK("https://vtmf.veevavault.com/ui/#doc_info/24373837/1/0", "77242113UCO2001-CZE-Z92-CZ10007-Principal Investigator Financial Disclosure Form-23 Jun 2023 (v1.0)")</f>
        <v>77242113UCO2001-CZE-Z92-CZ10007-Principal Investigator Financial Disclosure Form-23 Jun 2023 (v1.0)</v>
      </c>
      <c r="B530" s="3" t="inlineStr">
        <is>
          <t>Marketa Zachova</t>
        </is>
      </c>
      <c r="C530" s="3" t="inlineStr">
        <is>
          <t>Site Management</t>
        </is>
      </c>
      <c r="D530" s="3" t="inlineStr">
        <is>
          <t>Site Set-up Documentation</t>
        </is>
      </c>
      <c r="E530" s="3" t="inlineStr">
        <is>
          <t>Principal Investigator Financial Disclosure Form</t>
        </is>
      </c>
      <c r="F530" s="3" t="inlineStr">
        <is>
          <t>M2_DoI Lukas M_Iscare_CZ_CZE_77242113UCO2001_v1_23Jun2023</t>
        </is>
      </c>
      <c r="G530" s="2" t="str">
        <f>HYPERLINK("https://vtmf.veevavault.com/ui/#doc_info/24373837/1/0", "VTMF-19356352")</f>
        <v>VTMF-19356352</v>
      </c>
      <c r="H530" s="3" t="inlineStr">
        <is>
          <t/>
        </is>
      </c>
      <c r="I530" s="3" t="inlineStr">
        <is>
          <t>System</t>
        </is>
      </c>
      <c r="J530" s="3" t="inlineStr">
        <is>
          <t>Marketa Zachova</t>
        </is>
      </c>
      <c r="K530" s="4" t="n">
        <v>45110.44332175926</v>
      </c>
      <c r="L530" s="5" t="n">
        <v>45110.0</v>
      </c>
      <c r="M530" s="3" t="inlineStr">
        <is>
          <t>Approved</t>
        </is>
      </c>
      <c r="N530" s="3" t="inlineStr">
        <is>
          <t>Available for Distribution</t>
        </is>
      </c>
      <c r="O530" s="3" t="inlineStr">
        <is>
          <t>Czech Republic</t>
        </is>
      </c>
      <c r="P530" s="3" t="inlineStr">
        <is>
          <t>Z92-CZ10007</t>
        </is>
      </c>
      <c r="Q530" s="3" t="inlineStr">
        <is>
          <t>77242113UCO2001</t>
        </is>
      </c>
    </row>
    <row r="531">
      <c r="A531" s="2" t="str">
        <f>HYPERLINK("https://vtmf.veevavault.com/ui/#doc_info/24376272/1/0", "77242113UCO2001-CZE-Z92-CZ10007-Principal Investigator Financial Disclosure Form-23 Jun 2023 (v1.0)")</f>
        <v>77242113UCO2001-CZE-Z92-CZ10007-Principal Investigator Financial Disclosure Form-23 Jun 2023 (v1.0)</v>
      </c>
      <c r="B531" s="3" t="inlineStr">
        <is>
          <t>Jitka Kone</t>
        </is>
      </c>
      <c r="C531" s="3" t="inlineStr">
        <is>
          <t>Site Management</t>
        </is>
      </c>
      <c r="D531" s="3" t="inlineStr">
        <is>
          <t>Site Set-up Documentation</t>
        </is>
      </c>
      <c r="E531" s="3" t="inlineStr">
        <is>
          <t>Principal Investigator Financial Disclosure Form</t>
        </is>
      </c>
      <c r="F531" s="3" t="inlineStr">
        <is>
          <t>REDACTED_M2_DoI Lukas M_Iscare_ CZ_CZE_77242113UCO2001_
v1_23Jun2023</t>
        </is>
      </c>
      <c r="G531" s="2" t="str">
        <f>HYPERLINK("https://vtmf.veevavault.com/ui/#doc_info/24376272/1/0", "VTMF-19358403")</f>
        <v>VTMF-19358403</v>
      </c>
      <c r="H531" s="3" t="inlineStr">
        <is>
          <t/>
        </is>
      </c>
      <c r="I531" s="3" t="inlineStr">
        <is>
          <t>System</t>
        </is>
      </c>
      <c r="J531" s="3" t="inlineStr">
        <is>
          <t>Jitka Kone</t>
        </is>
      </c>
      <c r="K531" s="4" t="n">
        <v>45110.67804398148</v>
      </c>
      <c r="L531" s="5" t="n">
        <v>45110.0</v>
      </c>
      <c r="M531" s="3" t="inlineStr">
        <is>
          <t>Approved</t>
        </is>
      </c>
      <c r="N531" s="3" t="inlineStr">
        <is>
          <t>Available for Distribution</t>
        </is>
      </c>
      <c r="O531" s="3" t="inlineStr">
        <is>
          <t>Czech Republic</t>
        </is>
      </c>
      <c r="P531" s="3" t="inlineStr">
        <is>
          <t>Z92-CZ10007</t>
        </is>
      </c>
      <c r="Q531" s="3" t="inlineStr">
        <is>
          <t>77242113UCO2001</t>
        </is>
      </c>
    </row>
    <row r="532">
      <c r="A532" s="2" t="str">
        <f>HYPERLINK("https://vtmf.veevavault.com/ui/#doc_info/25684889/1/0", "77242113UCO2001-CZE-Z92-CZ10007-Principal Investigator Financial Disclosure Form-30 Jan 2024 (v1.0)")</f>
        <v>77242113UCO2001-CZE-Z92-CZ10007-Principal Investigator Financial Disclosure Form-30 Jan 2024 (v1.0)</v>
      </c>
      <c r="B532" s="3" t="inlineStr">
        <is>
          <t>Lenka Placha</t>
        </is>
      </c>
      <c r="C532" s="3" t="inlineStr">
        <is>
          <t>Site Management</t>
        </is>
      </c>
      <c r="D532" s="3" t="inlineStr">
        <is>
          <t>Site Set-up Documentation</t>
        </is>
      </c>
      <c r="E532" s="3" t="inlineStr">
        <is>
          <t>Principal Investigator Financial Disclosure Form</t>
        </is>
      </c>
      <c r="F532" s="3" t="inlineStr">
        <is>
          <t>IFDF PI Lukas Milan_initial_30Jan24</t>
        </is>
      </c>
      <c r="G532" s="2" t="str">
        <f>HYPERLINK("https://vtmf.veevavault.com/ui/#doc_info/25684889/1/0", "VTMF-20502001")</f>
        <v>VTMF-20502001</v>
      </c>
      <c r="H532" s="3" t="inlineStr">
        <is>
          <t/>
        </is>
      </c>
      <c r="I532" s="3" t="inlineStr">
        <is>
          <t>Lenka Placha</t>
        </is>
      </c>
      <c r="J532" s="3" t="inlineStr">
        <is>
          <t>Lenka Placha</t>
        </is>
      </c>
      <c r="K532" s="4" t="n">
        <v>45330.754699074074</v>
      </c>
      <c r="L532" s="5" t="n">
        <v>45330.0</v>
      </c>
      <c r="M532" s="3" t="inlineStr">
        <is>
          <t>Approved</t>
        </is>
      </c>
      <c r="N532" s="3" t="inlineStr">
        <is>
          <t>Available for Distribution</t>
        </is>
      </c>
      <c r="O532" s="3" t="inlineStr">
        <is>
          <t>Czech Republic</t>
        </is>
      </c>
      <c r="P532" s="3" t="inlineStr">
        <is>
          <t>Z92-CZ10007</t>
        </is>
      </c>
      <c r="Q532" s="3" t="inlineStr">
        <is>
          <t>77242113UCO2001</t>
        </is>
      </c>
    </row>
    <row r="533">
      <c r="A533" s="2" t="str">
        <f>HYPERLINK("https://vtmf.veevavault.com/ui/#doc_info/25685080/1/0", "77242113UCO2001-CZE-Z92-CZ10007-Protocol Signature Page-30 Jan 2024 (v1.0)")</f>
        <v>77242113UCO2001-CZE-Z92-CZ10007-Protocol Signature Page-30 Jan 2024 (v1.0)</v>
      </c>
      <c r="B533" s="3" t="inlineStr">
        <is>
          <t>Lenka Placha</t>
        </is>
      </c>
      <c r="C533" s="3" t="inlineStr">
        <is>
          <t>Site Management</t>
        </is>
      </c>
      <c r="D533" s="3" t="inlineStr">
        <is>
          <t>Site Set-up Documentation</t>
        </is>
      </c>
      <c r="E533" s="3" t="inlineStr">
        <is>
          <t>Protocol Signature Page</t>
        </is>
      </c>
      <c r="F533" s="3" t="inlineStr">
        <is>
          <t>PSP_Lukas Milan_Protocol Am #2,31Oct23_site Z92-CZ10007_30Jan24</t>
        </is>
      </c>
      <c r="G533" s="2" t="str">
        <f>HYPERLINK("https://vtmf.veevavault.com/ui/#doc_info/25685080/1/0", "VTMF-20502157")</f>
        <v>VTMF-20502157</v>
      </c>
      <c r="H533" s="3" t="inlineStr">
        <is>
          <t/>
        </is>
      </c>
      <c r="I533" s="3" t="inlineStr">
        <is>
          <t>Anthony Suarez (veeva.com)</t>
        </is>
      </c>
      <c r="J533" s="3" t="inlineStr">
        <is>
          <t>Lenka Placha</t>
        </is>
      </c>
      <c r="K533" s="4" t="n">
        <v>45330.77679398148</v>
      </c>
      <c r="L533" s="5" t="n">
        <v>45330.0</v>
      </c>
      <c r="M533" s="3" t="inlineStr">
        <is>
          <t>Approved</t>
        </is>
      </c>
      <c r="N533" s="3" t="inlineStr">
        <is>
          <t>Available for Distribution, CLIX Filing, Site Close</t>
        </is>
      </c>
      <c r="O533" s="3" t="inlineStr">
        <is>
          <t>Czech Republic</t>
        </is>
      </c>
      <c r="P533" s="3" t="inlineStr">
        <is>
          <t>Z92-CZ10007</t>
        </is>
      </c>
      <c r="Q533" s="3" t="inlineStr">
        <is>
          <t>77242113UCO2001</t>
        </is>
      </c>
    </row>
    <row r="534">
      <c r="A534" s="2" t="str">
        <f>HYPERLINK("https://vtmf.veevavault.com/ui/#doc_info/26998499/1/0", "77242113UCO2001-CZE-Z92-CZ10007-Quality Review Documentation-03 Sep 2024 (v1.0)")</f>
        <v>77242113UCO2001-CZE-Z92-CZ10007-Quality Review Documentation-03 Sep 2024 (v1.0)</v>
      </c>
      <c r="B534" s="3" t="inlineStr">
        <is>
          <t>Lenka Placha</t>
        </is>
      </c>
      <c r="C534" s="3" t="inlineStr">
        <is>
          <t>Trial Management</t>
        </is>
      </c>
      <c r="D534" s="3" t="inlineStr">
        <is>
          <t>Trial Oversight</t>
        </is>
      </c>
      <c r="E534" s="3" t="inlineStr">
        <is>
          <t>Quality Review Documentation</t>
        </is>
      </c>
      <c r="F534" s="3" t="inlineStr">
        <is>
          <t>QRC Form_Final_Site level_Site Z92-CZ10007_03Sep2024</t>
        </is>
      </c>
      <c r="G534" s="2" t="str">
        <f>HYPERLINK("https://vtmf.veevavault.com/ui/#doc_info/26998499/1/0", "VTMF-21645366")</f>
        <v>VTMF-21645366</v>
      </c>
      <c r="H534" s="3" t="inlineStr">
        <is>
          <t/>
        </is>
      </c>
      <c r="I534" s="3" t="inlineStr">
        <is>
          <t>System</t>
        </is>
      </c>
      <c r="J534" s="3" t="inlineStr">
        <is>
          <t>Lenka Placha</t>
        </is>
      </c>
      <c r="K534" s="4" t="n">
        <v>45538.55752314815</v>
      </c>
      <c r="L534" s="5" t="n">
        <v>45538.0</v>
      </c>
      <c r="M534" s="3" t="inlineStr">
        <is>
          <t>Approved</t>
        </is>
      </c>
      <c r="N534" s="3" t="inlineStr">
        <is>
          <t>Country Close, Site Close, Study Close</t>
        </is>
      </c>
      <c r="O534" s="3" t="inlineStr">
        <is>
          <t>Czech Republic</t>
        </is>
      </c>
      <c r="P534" s="3" t="inlineStr">
        <is>
          <t>Z92-CZ10007</t>
        </is>
      </c>
      <c r="Q534" s="3" t="inlineStr">
        <is>
          <t>77242113UCO2001</t>
        </is>
      </c>
    </row>
    <row r="535">
      <c r="A535" s="2" t="str">
        <f>HYPERLINK("https://vtmf.veevavault.com/ui/#doc_info/26998614/1/0", "77242113UCO2001-CZE-Z92-CZ10007-Quality Review Documentation-03 Sep 2024 (v1.0)")</f>
        <v>77242113UCO2001-CZE-Z92-CZ10007-Quality Review Documentation-03 Sep 2024 (v1.0)</v>
      </c>
      <c r="B535" s="3" t="inlineStr">
        <is>
          <t>Lenka Placha</t>
        </is>
      </c>
      <c r="C535" s="3" t="inlineStr">
        <is>
          <t>Trial Management</t>
        </is>
      </c>
      <c r="D535" s="3" t="inlineStr">
        <is>
          <t>Trial Oversight</t>
        </is>
      </c>
      <c r="E535" s="3" t="inlineStr">
        <is>
          <t>Quality Review Documentation</t>
        </is>
      </c>
      <c r="F535" s="3" t="inlineStr">
        <is>
          <t>AQR_Evidence Report_Final_Site level_Z92-CZ10007_03Sep2024</t>
        </is>
      </c>
      <c r="G535" s="2" t="str">
        <f>HYPERLINK("https://vtmf.veevavault.com/ui/#doc_info/26998614/1/0", "VTMF-21645397")</f>
        <v>VTMF-21645397</v>
      </c>
      <c r="H535" s="3" t="inlineStr">
        <is>
          <t/>
        </is>
      </c>
      <c r="I535" s="3" t="inlineStr">
        <is>
          <t>System</t>
        </is>
      </c>
      <c r="J535" s="3" t="inlineStr">
        <is>
          <t>Lenka Placha</t>
        </is>
      </c>
      <c r="K535" s="4" t="n">
        <v>45538.561898148146</v>
      </c>
      <c r="L535" s="5" t="n">
        <v>45538.0</v>
      </c>
      <c r="M535" s="3" t="inlineStr">
        <is>
          <t>Approved</t>
        </is>
      </c>
      <c r="N535" s="3" t="inlineStr">
        <is>
          <t>Country Close, Site Close, Study Close</t>
        </is>
      </c>
      <c r="O535" s="3" t="inlineStr">
        <is>
          <t>Czech Republic</t>
        </is>
      </c>
      <c r="P535" s="3" t="inlineStr">
        <is>
          <t>Z92-CZ10007</t>
        </is>
      </c>
      <c r="Q535" s="3" t="inlineStr">
        <is>
          <t>77242113UCO2001</t>
        </is>
      </c>
    </row>
    <row r="536">
      <c r="A536" s="2" t="str">
        <f>HYPERLINK("https://vtmf.veevavault.com/ui/#doc_info/25726747/1/0", "77242113UCO2001-CZE-Z92-CZ10007-Recruitment Plan-07 Feb 2024 (v1.0)")</f>
        <v>77242113UCO2001-CZE-Z92-CZ10007-Recruitment Plan-07 Feb 2024 (v1.0)</v>
      </c>
      <c r="B536" s="3" t="inlineStr">
        <is>
          <t>Lenka Placha</t>
        </is>
      </c>
      <c r="C536" s="3" t="inlineStr">
        <is>
          <t>Trial Management</t>
        </is>
      </c>
      <c r="D536" s="3" t="inlineStr">
        <is>
          <t>Trial Oversight</t>
        </is>
      </c>
      <c r="E536" s="3" t="inlineStr">
        <is>
          <t>Recruitment Plan</t>
        </is>
      </c>
      <c r="F536" s="3" t="inlineStr">
        <is>
          <t>Recruitment and Retention Plan_site Z92-CZ10007-02Feb24</t>
        </is>
      </c>
      <c r="G536" s="2" t="str">
        <f>HYPERLINK("https://vtmf.veevavault.com/ui/#doc_info/25726747/1/0", "VTMF-20538655")</f>
        <v>VTMF-20538655</v>
      </c>
      <c r="H536" s="3" t="inlineStr">
        <is>
          <t/>
        </is>
      </c>
      <c r="I536" s="3" t="inlineStr">
        <is>
          <t>Anthony Suarez (veeva.com)</t>
        </is>
      </c>
      <c r="J536" s="3" t="inlineStr">
        <is>
          <t>Lenka Placha</t>
        </is>
      </c>
      <c r="K536" s="4" t="n">
        <v>45337.83247685185</v>
      </c>
      <c r="L536" s="5" t="n">
        <v>45337.0</v>
      </c>
      <c r="M536" s="3" t="inlineStr">
        <is>
          <t>Approved</t>
        </is>
      </c>
      <c r="N536" s="3" t="inlineStr">
        <is>
          <t>Study Start</t>
        </is>
      </c>
      <c r="O536" s="3" t="inlineStr">
        <is>
          <t>Czech Republic</t>
        </is>
      </c>
      <c r="P536" s="3" t="inlineStr">
        <is>
          <t>Z92-CZ10007</t>
        </is>
      </c>
      <c r="Q536" s="3" t="inlineStr">
        <is>
          <t>77242113UCO2001</t>
        </is>
      </c>
    </row>
    <row r="537">
      <c r="A537" s="2" t="str">
        <f>HYPERLINK("https://vtmf.veevavault.com/ui/#doc_info/24104006/1/0", "77242113UCO2001-CZE-Z92-CZ10007-Relevant Communications-15 Feb 2024 (v1.0)")</f>
        <v>77242113UCO2001-CZE-Z92-CZ10007-Relevant Communications-15 Feb 2024 (v1.0)</v>
      </c>
      <c r="B537" s="3" t="inlineStr">
        <is>
          <t>EDL Admin</t>
        </is>
      </c>
      <c r="C537" s="3" t="inlineStr">
        <is>
          <t>Site Management</t>
        </is>
      </c>
      <c r="D537" s="3" t="inlineStr">
        <is>
          <t>General</t>
        </is>
      </c>
      <c r="E537" s="3" t="inlineStr">
        <is>
          <t>Relevant Communications</t>
        </is>
      </c>
      <c r="F537" s="3" t="inlineStr">
        <is>
          <t>email 15Feb24- completed recruitment retention plan sent to PI</t>
        </is>
      </c>
      <c r="G537" s="2" t="str">
        <f>HYPERLINK("https://vtmf.veevavault.com/ui/#doc_info/24104006/1/0", "VTMF-19118630")</f>
        <v>VTMF-19118630</v>
      </c>
      <c r="H537" s="3" t="inlineStr">
        <is>
          <t/>
        </is>
      </c>
      <c r="I537" s="3" t="inlineStr">
        <is>
          <t>System</t>
        </is>
      </c>
      <c r="J537" s="3" t="inlineStr">
        <is>
          <t>Lenka Placha</t>
        </is>
      </c>
      <c r="K537" s="4" t="n">
        <v>45337.83856481482</v>
      </c>
      <c r="L537" s="5" t="n">
        <v>45337.0</v>
      </c>
      <c r="M537" s="3" t="inlineStr">
        <is>
          <t>Approved</t>
        </is>
      </c>
      <c r="N537" s="3" t="inlineStr">
        <is>
          <t>Available for Distribution, Country Close, Site Close, Study Close</t>
        </is>
      </c>
      <c r="O537" s="3" t="inlineStr">
        <is>
          <t>Czech Republic</t>
        </is>
      </c>
      <c r="P537" s="3" t="inlineStr">
        <is>
          <t>Z92-CZ10007</t>
        </is>
      </c>
      <c r="Q537" s="3" t="inlineStr">
        <is>
          <t>77242113UCO2001</t>
        </is>
      </c>
    </row>
    <row r="538">
      <c r="A538" s="2" t="str">
        <f>HYPERLINK("https://vtmf.veevavault.com/ui/#doc_info/26373017/1/0", "77242113UCO2001-CZE-Z92-CZ10007-Relevant Communications-22 May 2024 (v1.0)")</f>
        <v>77242113UCO2001-CZE-Z92-CZ10007-Relevant Communications-22 May 2024 (v1.0)</v>
      </c>
      <c r="B538" s="3" t="inlineStr">
        <is>
          <t>Vladimir Buzalka</t>
        </is>
      </c>
      <c r="C538" s="3" t="inlineStr">
        <is>
          <t>Site Management</t>
        </is>
      </c>
      <c r="D538" s="3" t="inlineStr">
        <is>
          <t>General</t>
        </is>
      </c>
      <c r="E538" s="3" t="inlineStr">
        <is>
          <t>Relevant Communications</t>
        </is>
      </c>
      <c r="F538" s="3" t="inlineStr">
        <is>
          <t>Principal Investigator (PI) Serious Breach reporting responsibilities under EU CTR notification; 22MAY2024</t>
        </is>
      </c>
      <c r="G538" s="2" t="str">
        <f>HYPERLINK("https://vtmf.veevavault.com/ui/#doc_info/26373017/1/0", "VTMF-21105606")</f>
        <v>VTMF-21105606</v>
      </c>
      <c r="H538" s="3" t="inlineStr">
        <is>
          <t/>
        </is>
      </c>
      <c r="I538" s="3" t="inlineStr">
        <is>
          <t>System</t>
        </is>
      </c>
      <c r="J538" s="3" t="inlineStr">
        <is>
          <t>Vladimir Buzalka</t>
        </is>
      </c>
      <c r="K538" s="4" t="n">
        <v>45434.49275462963</v>
      </c>
      <c r="L538" s="5" t="n">
        <v>45434.0</v>
      </c>
      <c r="M538" s="3" t="inlineStr">
        <is>
          <t>Approved</t>
        </is>
      </c>
      <c r="N538" s="3" t="inlineStr">
        <is>
          <t>Available for Distribution, Country Close, Site Close, Study Close</t>
        </is>
      </c>
      <c r="O538" s="3" t="inlineStr">
        <is>
          <t>Czech Republic</t>
        </is>
      </c>
      <c r="P538" s="3" t="inlineStr">
        <is>
          <t>Z92-CZ10007</t>
        </is>
      </c>
      <c r="Q538" s="3" t="inlineStr">
        <is>
          <t>77242113UCO2001</t>
        </is>
      </c>
    </row>
    <row r="539">
      <c r="A539" s="2" t="str">
        <f>HYPERLINK("https://vtmf.veevavault.com/ui/#doc_info/26387973/1/0", "77242113UCO2001-CZE-Z92-CZ10007-Relevant Communications-23 May 2024 (v1.0)")</f>
        <v>77242113UCO2001-CZE-Z92-CZ10007-Relevant Communications-23 May 2024 (v1.0)</v>
      </c>
      <c r="B539" s="3" t="inlineStr">
        <is>
          <t>Lenka Placha</t>
        </is>
      </c>
      <c r="C539" s="3" t="inlineStr">
        <is>
          <t>Site Management</t>
        </is>
      </c>
      <c r="D539" s="3" t="inlineStr">
        <is>
          <t>General</t>
        </is>
      </c>
      <c r="E539" s="3" t="inlineStr">
        <is>
          <t>Relevant Communications</t>
        </is>
      </c>
      <c r="F539" s="3" t="inlineStr">
        <is>
          <t>email 23May24- pharmacy information that they are not able to read CDs_site Z92-CZ10007</t>
        </is>
      </c>
      <c r="G539" s="2" t="str">
        <f>HYPERLINK("https://vtmf.veevavault.com/ui/#doc_info/26387973/1/0", "VTMF-21118640")</f>
        <v>VTMF-21118640</v>
      </c>
      <c r="H539" s="3" t="inlineStr">
        <is>
          <t/>
        </is>
      </c>
      <c r="I539" s="3" t="inlineStr">
        <is>
          <t>System</t>
        </is>
      </c>
      <c r="J539" s="3" t="inlineStr">
        <is>
          <t>Lenka Placha</t>
        </is>
      </c>
      <c r="K539" s="4" t="n">
        <v>45436.32336805556</v>
      </c>
      <c r="L539" s="5" t="n">
        <v>45436.0</v>
      </c>
      <c r="M539" s="3" t="inlineStr">
        <is>
          <t>Approved</t>
        </is>
      </c>
      <c r="N539" s="3" t="inlineStr">
        <is>
          <t>Available for Distribution, Country Close, Site Close, Study Close</t>
        </is>
      </c>
      <c r="O539" s="3" t="inlineStr">
        <is>
          <t>Czech Republic</t>
        </is>
      </c>
      <c r="P539" s="3" t="inlineStr">
        <is>
          <t>Z92-CZ10007</t>
        </is>
      </c>
      <c r="Q539" s="3" t="inlineStr">
        <is>
          <t>77242113UCO2001</t>
        </is>
      </c>
    </row>
    <row r="540">
      <c r="A540" s="2" t="str">
        <f>HYPERLINK("https://vtmf.veevavault.com/ui/#doc_info/26615159/1/0", "77242113UCO2001-CZE-Z92-CZ10007-Relevant Communications-25 Jun 2024 (v1.0)")</f>
        <v>77242113UCO2001-CZE-Z92-CZ10007-Relevant Communications-25 Jun 2024 (v1.0)</v>
      </c>
      <c r="B540" s="3" t="inlineStr">
        <is>
          <t>Lenka Placha</t>
        </is>
      </c>
      <c r="C540" s="3" t="inlineStr">
        <is>
          <t>Site Management</t>
        </is>
      </c>
      <c r="D540" s="3" t="inlineStr">
        <is>
          <t>General</t>
        </is>
      </c>
      <c r="E540" s="3" t="inlineStr">
        <is>
          <t>Relevant Communications</t>
        </is>
      </c>
      <c r="F540" s="3" t="inlineStr">
        <is>
          <t>email 25Jun24- information from Alimentiv-return devices- site Z92-CZ10007</t>
        </is>
      </c>
      <c r="G540" s="2" t="str">
        <f>HYPERLINK("https://vtmf.veevavault.com/ui/#doc_info/26615159/1/0", "VTMF-21318620")</f>
        <v>VTMF-21318620</v>
      </c>
      <c r="H540" s="3" t="inlineStr">
        <is>
          <t/>
        </is>
      </c>
      <c r="I540" s="3" t="inlineStr">
        <is>
          <t>System</t>
        </is>
      </c>
      <c r="J540" s="3" t="inlineStr">
        <is>
          <t>Lenka Placha</t>
        </is>
      </c>
      <c r="K540" s="4" t="n">
        <v>45471.522361111114</v>
      </c>
      <c r="L540" s="5" t="n">
        <v>45471.0</v>
      </c>
      <c r="M540" s="3" t="inlineStr">
        <is>
          <t>Approved</t>
        </is>
      </c>
      <c r="N540" s="3" t="inlineStr">
        <is>
          <t>Available for Distribution, Country Close, Site Close, Study Close</t>
        </is>
      </c>
      <c r="O540" s="3" t="inlineStr">
        <is>
          <t>Czech Republic</t>
        </is>
      </c>
      <c r="P540" s="3" t="inlineStr">
        <is>
          <t>Z92-CZ10007</t>
        </is>
      </c>
      <c r="Q540" s="3" t="inlineStr">
        <is>
          <t>77242113UCO2001</t>
        </is>
      </c>
    </row>
    <row r="541">
      <c r="A541" s="2" t="str">
        <f>HYPERLINK("https://vtmf.veevavault.com/ui/#doc_info/26404954/1/0", "77242113UCO2001-CZE-Z92-CZ10007-Relevant Communications-28 May 2024 (v1.0)")</f>
        <v>77242113UCO2001-CZE-Z92-CZ10007-Relevant Communications-28 May 2024 (v1.0)</v>
      </c>
      <c r="B541" s="3" t="inlineStr">
        <is>
          <t>Vladimir Buzalka</t>
        </is>
      </c>
      <c r="C541" s="3" t="inlineStr">
        <is>
          <t>Site Management</t>
        </is>
      </c>
      <c r="D541" s="3" t="inlineStr">
        <is>
          <t>General</t>
        </is>
      </c>
      <c r="E541" s="3" t="inlineStr">
        <is>
          <t>Relevant Communications</t>
        </is>
      </c>
      <c r="F541" s="3" t="inlineStr">
        <is>
          <t>Principal Investigator (PI) Serious Breach reporting responsibilities under EU CTR_ Publish Date_ 10 May 2024; 28MAY2024</t>
        </is>
      </c>
      <c r="G541" s="2" t="str">
        <f>HYPERLINK("https://vtmf.veevavault.com/ui/#doc_info/26404954/1/0", "VTMF-21133385")</f>
        <v>VTMF-21133385</v>
      </c>
      <c r="H541" s="3" t="inlineStr">
        <is>
          <t/>
        </is>
      </c>
      <c r="I541" s="3" t="inlineStr">
        <is>
          <t>System</t>
        </is>
      </c>
      <c r="J541" s="3" t="inlineStr">
        <is>
          <t>Vladimir Buzalka</t>
        </is>
      </c>
      <c r="K541" s="4" t="n">
        <v>45440.41920138889</v>
      </c>
      <c r="L541" s="5" t="n">
        <v>45440.0</v>
      </c>
      <c r="M541" s="3" t="inlineStr">
        <is>
          <t>Approved</t>
        </is>
      </c>
      <c r="N541" s="3" t="inlineStr">
        <is>
          <t>Available for Distribution, Country Close, Site Close, Study Close</t>
        </is>
      </c>
      <c r="O541" s="3" t="inlineStr">
        <is>
          <t>Czech Republic</t>
        </is>
      </c>
      <c r="P541" s="3" t="inlineStr">
        <is>
          <t>Z92-CZ10007</t>
        </is>
      </c>
      <c r="Q541" s="3" t="inlineStr">
        <is>
          <t>77242113UCO2001</t>
        </is>
      </c>
    </row>
    <row r="542">
      <c r="A542" s="2" t="str">
        <f>HYPERLINK("https://vtmf.veevavault.com/ui/#doc_info/25699391/1/0", "77242113UCO2001-CZE-Z92-CZ10007-RTSM System Faxes or RTSM System Emails-12 Feb 2024 (v1.0)")</f>
        <v>77242113UCO2001-CZE-Z92-CZ10007-RTSM System Faxes or RTSM System Emails-12 Feb 2024 (v1.0)</v>
      </c>
      <c r="B542" s="3" t="inlineStr">
        <is>
          <t>Lenka Placha</t>
        </is>
      </c>
      <c r="C542" s="3" t="inlineStr">
        <is>
          <t>IP and Trial Supplies</t>
        </is>
      </c>
      <c r="D542" s="3" t="inlineStr">
        <is>
          <t>Interactive Response Technology</t>
        </is>
      </c>
      <c r="E542" s="3" t="inlineStr">
        <is>
          <t>RTSM System Faxes or RTSM System Emails</t>
        </is>
      </c>
      <c r="F542" s="3" t="inlineStr">
        <is>
          <t>IWRS email- site activation-12Feb24</t>
        </is>
      </c>
      <c r="G542" s="2" t="str">
        <f>HYPERLINK("https://vtmf.veevavault.com/ui/#doc_info/25699391/1/0", "VTMF-20514724")</f>
        <v>VTMF-20514724</v>
      </c>
      <c r="H542" s="3" t="inlineStr">
        <is>
          <t/>
        </is>
      </c>
      <c r="I542" s="3" t="inlineStr">
        <is>
          <t>Anthony Suarez (veeva.com)</t>
        </is>
      </c>
      <c r="J542" s="3" t="inlineStr">
        <is>
          <t>Lenka Placha</t>
        </is>
      </c>
      <c r="K542" s="4" t="n">
        <v>45334.638287037036</v>
      </c>
      <c r="L542" s="5" t="n">
        <v>45334.0</v>
      </c>
      <c r="M542" s="3" t="inlineStr">
        <is>
          <t>Approved</t>
        </is>
      </c>
      <c r="N542" s="3" t="inlineStr">
        <is>
          <t>Not associated to a milestone</t>
        </is>
      </c>
      <c r="O542" s="3" t="inlineStr">
        <is>
          <t>Czech Republic</t>
        </is>
      </c>
      <c r="P542" s="3" t="inlineStr">
        <is>
          <t>Z92-CZ10007</t>
        </is>
      </c>
      <c r="Q542" s="3" t="inlineStr">
        <is>
          <t>77242113UCO2001</t>
        </is>
      </c>
    </row>
    <row r="543">
      <c r="A543" s="2" t="str">
        <f>HYPERLINK("https://vtmf.veevavault.com/ui/#doc_info/26576111/1/0", "77242113UCO2001-CZE-Z92-CZ10007-Site Confirmation Letter-SCVR_CL-25 Jun 2024 (v1.0)")</f>
        <v>77242113UCO2001-CZE-Z92-CZ10007-Site Confirmation Letter-SCVR_CL-25 Jun 2024 (v1.0)</v>
      </c>
      <c r="B543" s="3" t="inlineStr">
        <is>
          <t>Admin User Medidata</t>
        </is>
      </c>
      <c r="C543" s="3" t="inlineStr">
        <is>
          <t>Site Management</t>
        </is>
      </c>
      <c r="D543" s="3" t="inlineStr">
        <is>
          <t>Site Management</t>
        </is>
      </c>
      <c r="E543" s="3" t="inlineStr">
        <is>
          <t>Site Confirmation Letter</t>
        </is>
      </c>
      <c r="F543" s="3" t="inlineStr">
        <is>
          <t/>
        </is>
      </c>
      <c r="G543" s="2" t="str">
        <f>HYPERLINK("https://vtmf.veevavault.com/ui/#doc_info/26576111/1/0", "VTMF-21284712")</f>
        <v>VTMF-21284712</v>
      </c>
      <c r="H543" s="3" t="inlineStr">
        <is>
          <t/>
        </is>
      </c>
      <c r="I543" s="3" t="inlineStr">
        <is>
          <t>System</t>
        </is>
      </c>
      <c r="J543" s="3" t="inlineStr">
        <is>
          <t>Admin User Medidata</t>
        </is>
      </c>
      <c r="K543" s="4" t="n">
        <v>45466.51665509259</v>
      </c>
      <c r="L543" s="5" t="n">
        <v>45466.0</v>
      </c>
      <c r="M543" s="3" t="inlineStr">
        <is>
          <t>Approved</t>
        </is>
      </c>
      <c r="N543" s="3" t="inlineStr">
        <is>
          <t>Available for Distribution, CLIX Filing, Site Close</t>
        </is>
      </c>
      <c r="O543" s="3" t="inlineStr">
        <is>
          <t>Czech Republic</t>
        </is>
      </c>
      <c r="P543" s="3" t="inlineStr">
        <is>
          <t>Z92-CZ10007</t>
        </is>
      </c>
      <c r="Q543" s="3" t="inlineStr">
        <is>
          <t>77242113UCO2001</t>
        </is>
      </c>
    </row>
    <row r="544">
      <c r="A544" s="2" t="str">
        <f>HYPERLINK("https://vtmf.veevavault.com/ui/#doc_info/25594416/1/0", "77242113UCO2001-CZE-Z92-CZ10007-Site Confirmation Letter-SIVR_CL-30 Jan 2024 (v1.0)")</f>
        <v>77242113UCO2001-CZE-Z92-CZ10007-Site Confirmation Letter-SIVR_CL-30 Jan 2024 (v1.0)</v>
      </c>
      <c r="B544" s="3" t="inlineStr">
        <is>
          <t>Admin User Medidata</t>
        </is>
      </c>
      <c r="C544" s="3" t="inlineStr">
        <is>
          <t>Site Management</t>
        </is>
      </c>
      <c r="D544" s="3" t="inlineStr">
        <is>
          <t>Site Management</t>
        </is>
      </c>
      <c r="E544" s="3" t="inlineStr">
        <is>
          <t>Site Confirmation Letter</t>
        </is>
      </c>
      <c r="F544" s="3" t="inlineStr">
        <is>
          <t/>
        </is>
      </c>
      <c r="G544" s="2" t="str">
        <f>HYPERLINK("https://vtmf.veevavault.com/ui/#doc_info/25594416/1/0", "VTMF-20421938")</f>
        <v>VTMF-20421938</v>
      </c>
      <c r="H544" s="3" t="inlineStr">
        <is>
          <t/>
        </is>
      </c>
      <c r="I544" s="3" t="inlineStr">
        <is>
          <t>System</t>
        </is>
      </c>
      <c r="J544" s="3" t="inlineStr">
        <is>
          <t>Admin User Medidata</t>
        </is>
      </c>
      <c r="K544" s="4" t="n">
        <v>45320.443657407406</v>
      </c>
      <c r="L544" s="5" t="n">
        <v>45320.0</v>
      </c>
      <c r="M544" s="3" t="inlineStr">
        <is>
          <t>Approved</t>
        </is>
      </c>
      <c r="N544" s="3" t="inlineStr">
        <is>
          <t>Available for Distribution, CLIX Filing, Site Close</t>
        </is>
      </c>
      <c r="O544" s="3" t="inlineStr">
        <is>
          <t>Czech Republic</t>
        </is>
      </c>
      <c r="P544" s="3" t="inlineStr">
        <is>
          <t>Z92-CZ10007</t>
        </is>
      </c>
      <c r="Q544" s="3" t="inlineStr">
        <is>
          <t>77242113UCO2001</t>
        </is>
      </c>
    </row>
    <row r="545">
      <c r="A545" s="2" t="str">
        <f>HYPERLINK("https://vtmf.veevavault.com/ui/#doc_info/24043278/1/0", "77242113UCO2001-CZE-Z92-CZ10007-Site Confirmation Letter-SQVR_CL-15 May 2023 (v1.0)")</f>
        <v>77242113UCO2001-CZE-Z92-CZ10007-Site Confirmation Letter-SQVR_CL-15 May 2023 (v1.0)</v>
      </c>
      <c r="B545" s="3" t="inlineStr">
        <is>
          <t>Admin User Medidata</t>
        </is>
      </c>
      <c r="C545" s="3" t="inlineStr">
        <is>
          <t>Site Management</t>
        </is>
      </c>
      <c r="D545" s="3" t="inlineStr">
        <is>
          <t>Site Management</t>
        </is>
      </c>
      <c r="E545" s="3" t="inlineStr">
        <is>
          <t>Site Confirmation Letter</t>
        </is>
      </c>
      <c r="F545" s="3" t="inlineStr">
        <is>
          <t/>
        </is>
      </c>
      <c r="G545" s="2" t="str">
        <f>HYPERLINK("https://vtmf.veevavault.com/ui/#doc_info/24043278/1/0", "VTMF-19065008")</f>
        <v>VTMF-19065008</v>
      </c>
      <c r="H545" s="3" t="inlineStr">
        <is>
          <t/>
        </is>
      </c>
      <c r="I545" s="3" t="inlineStr">
        <is>
          <t>System</t>
        </is>
      </c>
      <c r="J545" s="3" t="inlineStr">
        <is>
          <t>Admin User Medidata</t>
        </is>
      </c>
      <c r="K545" s="4" t="n">
        <v>45060.47484953704</v>
      </c>
      <c r="L545" s="5" t="n">
        <v>45060.0</v>
      </c>
      <c r="M545" s="3" t="inlineStr">
        <is>
          <t>Approved</t>
        </is>
      </c>
      <c r="N545" s="3" t="inlineStr">
        <is>
          <t>Available for Distribution, CLIX Filing, Site Close</t>
        </is>
      </c>
      <c r="O545" s="3" t="inlineStr">
        <is>
          <t>Czech Republic</t>
        </is>
      </c>
      <c r="P545" s="3" t="inlineStr">
        <is>
          <t>Z92-CZ10007</t>
        </is>
      </c>
      <c r="Q545" s="3" t="inlineStr">
        <is>
          <t>77242113UCO2001</t>
        </is>
      </c>
    </row>
    <row r="546">
      <c r="A546" s="2" t="str">
        <f>HYPERLINK("https://vtmf.veevavault.com/ui/#doc_info/25684844/2/0", "77242113UCO2001-CZE-Z92-CZ10007-Site Signature Sheet-25 Jun 2024 (v2.0)")</f>
        <v>77242113UCO2001-CZE-Z92-CZ10007-Site Signature Sheet-25 Jun 2024 (v2.0)</v>
      </c>
      <c r="B546" s="3" t="inlineStr">
        <is>
          <t>Lenka Placha</t>
        </is>
      </c>
      <c r="C546" s="3" t="inlineStr">
        <is>
          <t>Site Management</t>
        </is>
      </c>
      <c r="D546" s="3" t="inlineStr">
        <is>
          <t>Site Set-up Documentation</t>
        </is>
      </c>
      <c r="E546" s="3" t="inlineStr">
        <is>
          <t>Site Signature Sheet</t>
        </is>
      </c>
      <c r="F546" s="3" t="inlineStr">
        <is>
          <t>DL_site Z92-CZ10007_first initial_25Jun24</t>
        </is>
      </c>
      <c r="G546" s="2" t="str">
        <f>HYPERLINK("https://vtmf.veevavault.com/ui/#doc_info/25684844/2/0", "VTMF-20501962")</f>
        <v>VTMF-20501962</v>
      </c>
      <c r="H546" s="3" t="inlineStr">
        <is>
          <t/>
        </is>
      </c>
      <c r="I546" s="3" t="inlineStr">
        <is>
          <t>Anthony Suarez (veeva.com)</t>
        </is>
      </c>
      <c r="J546" s="3" t="inlineStr">
        <is>
          <t>Lenka Placha</t>
        </is>
      </c>
      <c r="K546" s="4" t="n">
        <v>45474.40534722222</v>
      </c>
      <c r="L546" s="5" t="n">
        <v>45474.0</v>
      </c>
      <c r="M546" s="3" t="inlineStr">
        <is>
          <t>Approved</t>
        </is>
      </c>
      <c r="N546" s="3" t="inlineStr">
        <is>
          <t>Available for Distribution, CLIX Filing, Site Close</t>
        </is>
      </c>
      <c r="O546" s="3" t="inlineStr">
        <is>
          <t>Czech Republic</t>
        </is>
      </c>
      <c r="P546" s="3" t="inlineStr">
        <is>
          <t>Z92-CZ10007</t>
        </is>
      </c>
      <c r="Q546" s="3" t="inlineStr">
        <is>
          <t>77242113UCO2001</t>
        </is>
      </c>
    </row>
    <row r="547">
      <c r="A547" s="2" t="str">
        <f>HYPERLINK("https://vtmf.veevavault.com/ui/#doc_info/24374676/1/0", "77242113UCO2001-CZE-Z92-CZ10007-Site/Staff Qualification Supporting Information (v1.0)")</f>
        <v>77242113UCO2001-CZE-Z92-CZ10007-Site/Staff Qualification Supporting Information (v1.0)</v>
      </c>
      <c r="B547" s="3" t="inlineStr">
        <is>
          <t>Marketa Zachova</t>
        </is>
      </c>
      <c r="C547" s="3" t="inlineStr">
        <is>
          <t>Site Management</t>
        </is>
      </c>
      <c r="D547" s="3" t="inlineStr">
        <is>
          <t>Site Set-up Documentation</t>
        </is>
      </c>
      <c r="E547" s="3" t="inlineStr">
        <is>
          <t>Site and Staff Qualification Supporting Information</t>
        </is>
      </c>
      <c r="F547" s="3" t="inlineStr">
        <is>
          <t>N1_Registration of Healthcare Facility Iscare_CZ_CZE_77242113UCO2001_v1_14Oct2020</t>
        </is>
      </c>
      <c r="G547" s="2" t="str">
        <f>HYPERLINK("https://vtmf.veevavault.com/ui/#doc_info/24374676/1/0", "VTMF-19357037")</f>
        <v>VTMF-19357037</v>
      </c>
      <c r="H547" s="3" t="inlineStr">
        <is>
          <t/>
        </is>
      </c>
      <c r="I547" s="3" t="inlineStr">
        <is>
          <t>Anthony Suarez (veeva.com)</t>
        </is>
      </c>
      <c r="J547" s="3" t="inlineStr">
        <is>
          <t>Marketa Zachova</t>
        </is>
      </c>
      <c r="K547" s="4" t="n">
        <v>45110.518113425926</v>
      </c>
      <c r="L547" s="5" t="n">
        <v>45110.0</v>
      </c>
      <c r="M547" s="3" t="inlineStr">
        <is>
          <t>Approved</t>
        </is>
      </c>
      <c r="N547" s="3" t="inlineStr">
        <is>
          <t>Available for Distribution, CLIX Filing, Site Close</t>
        </is>
      </c>
      <c r="O547" s="3" t="inlineStr">
        <is>
          <t>Czech Republic</t>
        </is>
      </c>
      <c r="P547" s="3" t="inlineStr">
        <is>
          <t>Z92-CZ10007</t>
        </is>
      </c>
      <c r="Q547" s="3" t="inlineStr">
        <is>
          <t>77242113UCO2001</t>
        </is>
      </c>
    </row>
    <row r="548">
      <c r="A548" s="2" t="str">
        <f>HYPERLINK("https://vtmf.veevavault.com/ui/#doc_info/24376326/2/0", "77242113UCO2001-CZE-Z92-CZ10007-Site/Staff Qualification Supporting Information (v2.0)")</f>
        <v>77242113UCO2001-CZE-Z92-CZ10007-Site/Staff Qualification Supporting Information (v2.0)</v>
      </c>
      <c r="B548" s="3" t="inlineStr">
        <is>
          <t>Jitka Kone</t>
        </is>
      </c>
      <c r="C548" s="3" t="inlineStr">
        <is>
          <t>Site Management</t>
        </is>
      </c>
      <c r="D548" s="3" t="inlineStr">
        <is>
          <t>Site Set-up Documentation</t>
        </is>
      </c>
      <c r="E548" s="3" t="inlineStr">
        <is>
          <t>Site and Staff Qualification Supporting Information</t>
        </is>
      </c>
      <c r="F548" s="3" t="inlineStr">
        <is>
          <t>REDACTED_N1_Registration of Healthcare Facility Iscare_CZ_CZE_77242113UCO2001_v1_14Oct2020</t>
        </is>
      </c>
      <c r="G548" s="2" t="str">
        <f>HYPERLINK("https://vtmf.veevavault.com/ui/#doc_info/24376326/2/0", "VTMF-19358442")</f>
        <v>VTMF-19358442</v>
      </c>
      <c r="H548" s="3" t="inlineStr">
        <is>
          <t/>
        </is>
      </c>
      <c r="I548" s="3" t="inlineStr">
        <is>
          <t>Anthony Suarez (veeva.com)</t>
        </is>
      </c>
      <c r="J548" s="3" t="inlineStr">
        <is>
          <t>Jitka Kone</t>
        </is>
      </c>
      <c r="K548" s="4" t="n">
        <v>45111.6321875</v>
      </c>
      <c r="L548" s="5" t="n">
        <v>45111.0</v>
      </c>
      <c r="M548" s="3" t="inlineStr">
        <is>
          <t>Approved</t>
        </is>
      </c>
      <c r="N548" s="3" t="inlineStr">
        <is>
          <t>Available for Distribution, CLIX Filing, Site Close</t>
        </is>
      </c>
      <c r="O548" s="3" t="inlineStr">
        <is>
          <t>Czech Republic</t>
        </is>
      </c>
      <c r="P548" s="3" t="inlineStr">
        <is>
          <t>Z92-CZ10007</t>
        </is>
      </c>
      <c r="Q548" s="3" t="inlineStr">
        <is>
          <t>77242113UCO2001</t>
        </is>
      </c>
    </row>
    <row r="549">
      <c r="A549" s="2" t="str">
        <f>HYPERLINK("https://vtmf.veevavault.com/ui/#doc_info/24408049/1/0", "77242113UCO2001-CZE-Z92-CZ10007-Site/Staff Qualification Supporting Information (v1.0)")</f>
        <v>77242113UCO2001-CZE-Z92-CZ10007-Site/Staff Qualification Supporting Information (v1.0)</v>
      </c>
      <c r="B549" s="3" t="inlineStr">
        <is>
          <t>Marketa Zachova</t>
        </is>
      </c>
      <c r="C549" s="3" t="inlineStr">
        <is>
          <t>Site Management</t>
        </is>
      </c>
      <c r="D549" s="3" t="inlineStr">
        <is>
          <t>Site Set-up Documentation</t>
        </is>
      </c>
      <c r="E549" s="3" t="inlineStr">
        <is>
          <t>Site and Staff Qualification Supporting Information</t>
        </is>
      </c>
      <c r="F549" s="3" t="inlineStr">
        <is>
          <t>N1_Site Suitability Form Iscare_CZ_CZE_77242113UCO2001_v1_23Jun2023</t>
        </is>
      </c>
      <c r="G549" s="2" t="str">
        <f>HYPERLINK("https://vtmf.veevavault.com/ui/#doc_info/24408049/1/0", "VTMF-19385525")</f>
        <v>VTMF-19385525</v>
      </c>
      <c r="H549" s="3" t="inlineStr">
        <is>
          <t/>
        </is>
      </c>
      <c r="I549" s="3" t="inlineStr">
        <is>
          <t>Anthony Suarez (veeva.com)</t>
        </is>
      </c>
      <c r="J549" s="3" t="inlineStr">
        <is>
          <t>Marketa Zachova</t>
        </is>
      </c>
      <c r="K549" s="4" t="n">
        <v>45114.699108796296</v>
      </c>
      <c r="L549" s="5" t="n">
        <v>45114.0</v>
      </c>
      <c r="M549" s="3" t="inlineStr">
        <is>
          <t>Approved</t>
        </is>
      </c>
      <c r="N549" s="3" t="inlineStr">
        <is>
          <t>Available for Distribution, CLIX Filing, Site Close</t>
        </is>
      </c>
      <c r="O549" s="3" t="inlineStr">
        <is>
          <t>Czech Republic</t>
        </is>
      </c>
      <c r="P549" s="3" t="inlineStr">
        <is>
          <t>Z92-CZ10007</t>
        </is>
      </c>
      <c r="Q549" s="3" t="inlineStr">
        <is>
          <t>77242113UCO2001</t>
        </is>
      </c>
    </row>
    <row r="550">
      <c r="A550" s="2" t="str">
        <f>HYPERLINK("https://vtmf.veevavault.com/ui/#doc_info/24408066/1/0", "77242113UCO2001-CZE-Z92-CZ10007-Site/Staff Qualification Supporting Information (v1.0)")</f>
        <v>77242113UCO2001-CZE-Z92-CZ10007-Site/Staff Qualification Supporting Information (v1.0)</v>
      </c>
      <c r="B550" s="3" t="inlineStr">
        <is>
          <t>Marketa Zachova</t>
        </is>
      </c>
      <c r="C550" s="3" t="inlineStr">
        <is>
          <t>Site Management</t>
        </is>
      </c>
      <c r="D550" s="3" t="inlineStr">
        <is>
          <t>Site Set-up Documentation</t>
        </is>
      </c>
      <c r="E550" s="3" t="inlineStr">
        <is>
          <t>Site and Staff Qualification Supporting Information</t>
        </is>
      </c>
      <c r="F550" s="3" t="inlineStr">
        <is>
          <t>REDACTED_N1_Site Suitability Form Iscare_CZ_CZE_77242113UCO2001_v1_23Jun2023</t>
        </is>
      </c>
      <c r="G550" s="2" t="str">
        <f>HYPERLINK("https://vtmf.veevavault.com/ui/#doc_info/24408066/1/0", "VTMF-19385536")</f>
        <v>VTMF-19385536</v>
      </c>
      <c r="H550" s="3" t="inlineStr">
        <is>
          <t/>
        </is>
      </c>
      <c r="I550" s="3" t="inlineStr">
        <is>
          <t>Anthony Suarez (veeva.com)</t>
        </is>
      </c>
      <c r="J550" s="3" t="inlineStr">
        <is>
          <t>Marketa Zachova</t>
        </is>
      </c>
      <c r="K550" s="4" t="n">
        <v>45114.70076388889</v>
      </c>
      <c r="L550" s="5" t="n">
        <v>45114.0</v>
      </c>
      <c r="M550" s="3" t="inlineStr">
        <is>
          <t>Approved</t>
        </is>
      </c>
      <c r="N550" s="3" t="inlineStr">
        <is>
          <t>Available for Distribution, CLIX Filing, Site Close</t>
        </is>
      </c>
      <c r="O550" s="3" t="inlineStr">
        <is>
          <t>Czech Republic</t>
        </is>
      </c>
      <c r="P550" s="3" t="inlineStr">
        <is>
          <t>Z92-CZ10007</t>
        </is>
      </c>
      <c r="Q550" s="3" t="inlineStr">
        <is>
          <t>77242113UCO2001</t>
        </is>
      </c>
    </row>
    <row r="551">
      <c r="A551" s="2" t="str">
        <f>HYPERLINK("https://vtmf.veevavault.com/ui/#doc_info/25630960/1/0", "77242113UCO2001-CZE-Z92-CZ10007-Source Data-02 Feb 2024 (v1.0)")</f>
        <v>77242113UCO2001-CZE-Z92-CZ10007-Source Data-02 Feb 2024 (v1.0)</v>
      </c>
      <c r="B551" s="3" t="inlineStr">
        <is>
          <t>VI-2153 Enterprise RPA Bot</t>
        </is>
      </c>
      <c r="C551" s="3" t="inlineStr">
        <is>
          <t>Site Management</t>
        </is>
      </c>
      <c r="D551" s="3" t="inlineStr">
        <is>
          <t>Site Management</t>
        </is>
      </c>
      <c r="E551" s="3" t="inlineStr">
        <is>
          <t>Source Data</t>
        </is>
      </c>
      <c r="F551" s="3" t="inlineStr">
        <is>
          <t>SDIAF_site Z92-CZ10007- 02Feb2024</t>
        </is>
      </c>
      <c r="G551" s="2" t="str">
        <f>HYPERLINK("https://vtmf.veevavault.com/ui/#doc_info/25630960/1/0", "VTMF-20453661")</f>
        <v>VTMF-20453661</v>
      </c>
      <c r="H551" s="3" t="inlineStr">
        <is>
          <t/>
        </is>
      </c>
      <c r="I551" s="3" t="inlineStr">
        <is>
          <t>Anthony Suarez (veeva.com)</t>
        </is>
      </c>
      <c r="J551" s="3" t="inlineStr">
        <is>
          <t>VI-2153 Enterprise RPA Bot</t>
        </is>
      </c>
      <c r="K551" s="4" t="n">
        <v>45324.308125</v>
      </c>
      <c r="L551" s="5" t="n">
        <v>45325.0</v>
      </c>
      <c r="M551" s="3" t="inlineStr">
        <is>
          <t>Approved</t>
        </is>
      </c>
      <c r="N551" s="3" t="inlineStr">
        <is>
          <t>Available for Distribution, CLIX Filing, Site Close</t>
        </is>
      </c>
      <c r="O551" s="3" t="inlineStr">
        <is>
          <t>Czech Republic</t>
        </is>
      </c>
      <c r="P551" s="3" t="inlineStr">
        <is>
          <t>Z92-CZ10007</t>
        </is>
      </c>
      <c r="Q551" s="3" t="inlineStr">
        <is>
          <t>77242113UCO2001</t>
        </is>
      </c>
    </row>
    <row r="552">
      <c r="A552" s="2" t="str">
        <f>HYPERLINK("https://vtmf.veevavault.com/ui/#doc_info/25685100/1/0", "77242113UCO2001-CZE-Z92-CZ10007-Source Data-30 Jan 2024 (v1.0)")</f>
        <v>77242113UCO2001-CZE-Z92-CZ10007-Source Data-30 Jan 2024 (v1.0)</v>
      </c>
      <c r="B552" s="3" t="inlineStr">
        <is>
          <t>Lenka Placha</t>
        </is>
      </c>
      <c r="C552" s="3" t="inlineStr">
        <is>
          <t>Site Management</t>
        </is>
      </c>
      <c r="D552" s="3" t="inlineStr">
        <is>
          <t>Site Management</t>
        </is>
      </c>
      <c r="E552" s="3" t="inlineStr">
        <is>
          <t>Source Data</t>
        </is>
      </c>
      <c r="F552" s="3" t="inlineStr">
        <is>
          <t>PI statement -source documentation_ 30Jan24</t>
        </is>
      </c>
      <c r="G552" s="2" t="str">
        <f>HYPERLINK("https://vtmf.veevavault.com/ui/#doc_info/25685100/1/0", "VTMF-20502173")</f>
        <v>VTMF-20502173</v>
      </c>
      <c r="H552" s="3" t="inlineStr">
        <is>
          <t/>
        </is>
      </c>
      <c r="I552" s="3" t="inlineStr">
        <is>
          <t>Anthony Suarez (veeva.com)</t>
        </is>
      </c>
      <c r="J552" s="3" t="inlineStr">
        <is>
          <t>Lenka Placha</t>
        </is>
      </c>
      <c r="K552" s="4" t="n">
        <v>45330.77936342593</v>
      </c>
      <c r="L552" s="5" t="n">
        <v>45330.0</v>
      </c>
      <c r="M552" s="3" t="inlineStr">
        <is>
          <t>Approved</t>
        </is>
      </c>
      <c r="N552" s="3" t="inlineStr">
        <is>
          <t>Available for Distribution, CLIX Filing, Site Close</t>
        </is>
      </c>
      <c r="O552" s="3" t="inlineStr">
        <is>
          <t>Czech Republic</t>
        </is>
      </c>
      <c r="P552" s="3" t="inlineStr">
        <is>
          <t>Z92-CZ10007</t>
        </is>
      </c>
      <c r="Q552" s="3" t="inlineStr">
        <is>
          <t>77242113UCO2001</t>
        </is>
      </c>
    </row>
    <row r="553">
      <c r="A553" s="2" t="str">
        <f>HYPERLINK("https://vtmf.veevavault.com/ui/#doc_info/25773680/1/0", "77242113UCO2001-CZE-Z92-CZ10007-Sub-Investigator Curriculum Vitae-01 Feb 2024 (v1.0)")</f>
        <v>77242113UCO2001-CZE-Z92-CZ10007-Sub-Investigator Curriculum Vitae-01 Feb 2024 (v1.0)</v>
      </c>
      <c r="B553" s="3" t="inlineStr">
        <is>
          <t>Lenka Placha</t>
        </is>
      </c>
      <c r="C553" s="3" t="inlineStr">
        <is>
          <t>Site Management</t>
        </is>
      </c>
      <c r="D553" s="3" t="inlineStr">
        <is>
          <t>Site Set-up Documentation</t>
        </is>
      </c>
      <c r="E553" s="3" t="inlineStr">
        <is>
          <t>Sub-Investigator Curriculum Vitae</t>
        </is>
      </c>
      <c r="F553" s="3" t="inlineStr">
        <is>
          <t>CV_SI_EN_ Zdychyncova Kristyna_initial_01Feb24</t>
        </is>
      </c>
      <c r="G553" s="2" t="str">
        <f>HYPERLINK("https://vtmf.veevavault.com/ui/#doc_info/25773680/1/0", "VTMF-20579504")</f>
        <v>VTMF-20579504</v>
      </c>
      <c r="H553" s="3" t="inlineStr">
        <is>
          <t/>
        </is>
      </c>
      <c r="I553" s="3" t="inlineStr">
        <is>
          <t>Anthony Suarez (veeva.com)</t>
        </is>
      </c>
      <c r="J553" s="3" t="inlineStr">
        <is>
          <t>Lenka Placha</t>
        </is>
      </c>
      <c r="K553" s="4" t="n">
        <v>45344.91324074074</v>
      </c>
      <c r="L553" s="5" t="n">
        <v>45344.0</v>
      </c>
      <c r="M553" s="3" t="inlineStr">
        <is>
          <t>Approved</t>
        </is>
      </c>
      <c r="N553" s="3" t="inlineStr">
        <is>
          <t>Available for Distribution, CLIX Filing, Site Close</t>
        </is>
      </c>
      <c r="O553" s="3" t="inlineStr">
        <is>
          <t>Czech Republic</t>
        </is>
      </c>
      <c r="P553" s="3" t="inlineStr">
        <is>
          <t>Z92-CZ10007</t>
        </is>
      </c>
      <c r="Q553" s="3" t="inlineStr">
        <is>
          <t>77242113UCO2001</t>
        </is>
      </c>
    </row>
    <row r="554">
      <c r="A554" s="2" t="str">
        <f>HYPERLINK("https://vtmf.veevavault.com/ui/#doc_info/24104010/1/0", "77242113UCO2001-CZE-Z92-CZ10007-Sub-Investigator Curriculum Vitae-29 Jan 2024 (v1.0)")</f>
        <v>77242113UCO2001-CZE-Z92-CZ10007-Sub-Investigator Curriculum Vitae-29 Jan 2024 (v1.0)</v>
      </c>
      <c r="B554" s="3" t="inlineStr">
        <is>
          <t>EDL Admin</t>
        </is>
      </c>
      <c r="C554" s="3" t="inlineStr">
        <is>
          <t>Site Management</t>
        </is>
      </c>
      <c r="D554" s="3" t="inlineStr">
        <is>
          <t>Site Set-up Documentation</t>
        </is>
      </c>
      <c r="E554" s="3" t="inlineStr">
        <is>
          <t>Sub-Investigator Curriculum Vitae</t>
        </is>
      </c>
      <c r="F554" s="3" t="inlineStr">
        <is>
          <t>CV_SI_EN_ Lukas Martin_initial_29Jan24</t>
        </is>
      </c>
      <c r="G554" s="2" t="str">
        <f>HYPERLINK("https://vtmf.veevavault.com/ui/#doc_info/24104010/1/0", "VTMF-19118634")</f>
        <v>VTMF-19118634</v>
      </c>
      <c r="H554" s="3" t="inlineStr">
        <is>
          <t/>
        </is>
      </c>
      <c r="I554" s="3" t="inlineStr">
        <is>
          <t>Anthony Suarez (veeva.com)</t>
        </is>
      </c>
      <c r="J554" s="3" t="inlineStr">
        <is>
          <t>Lenka Placha</t>
        </is>
      </c>
      <c r="K554" s="4" t="n">
        <v>45344.90861111111</v>
      </c>
      <c r="L554" s="5" t="n">
        <v>45344.0</v>
      </c>
      <c r="M554" s="3" t="inlineStr">
        <is>
          <t>Approved</t>
        </is>
      </c>
      <c r="N554" s="3" t="inlineStr">
        <is>
          <t>Available for Distribution, CLIX Filing, Site Close</t>
        </is>
      </c>
      <c r="O554" s="3" t="inlineStr">
        <is>
          <t>Czech Republic</t>
        </is>
      </c>
      <c r="P554" s="3" t="inlineStr">
        <is>
          <t>Z92-CZ10007</t>
        </is>
      </c>
      <c r="Q554" s="3" t="inlineStr">
        <is>
          <t>77242113UCO2001</t>
        </is>
      </c>
    </row>
    <row r="555">
      <c r="A555" s="2" t="str">
        <f>HYPERLINK("https://vtmf.veevavault.com/ui/#doc_info/25773695/1/0", "77242113UCO2001-CZE-Z92-CZ10007-Sub-Investigator Curriculum Vitae-30 Jan 2024 (v1.0)")</f>
        <v>77242113UCO2001-CZE-Z92-CZ10007-Sub-Investigator Curriculum Vitae-30 Jan 2024 (v1.0)</v>
      </c>
      <c r="B555" s="3" t="inlineStr">
        <is>
          <t>Lenka Placha</t>
        </is>
      </c>
      <c r="C555" s="3" t="inlineStr">
        <is>
          <t>Site Management</t>
        </is>
      </c>
      <c r="D555" s="3" t="inlineStr">
        <is>
          <t>Site Set-up Documentation</t>
        </is>
      </c>
      <c r="E555" s="3" t="inlineStr">
        <is>
          <t>Sub-Investigator Curriculum Vitae</t>
        </is>
      </c>
      <c r="F555" s="3" t="inlineStr">
        <is>
          <t>CV_SI_EN_ Hruba Veronika_initial_30Jan24</t>
        </is>
      </c>
      <c r="G555" s="2" t="str">
        <f>HYPERLINK("https://vtmf.veevavault.com/ui/#doc_info/25773695/1/0", "VTMF-20579519")</f>
        <v>VTMF-20579519</v>
      </c>
      <c r="H555" s="3" t="inlineStr">
        <is>
          <t/>
        </is>
      </c>
      <c r="I555" s="3" t="inlineStr">
        <is>
          <t>Anthony Suarez (veeva.com)</t>
        </is>
      </c>
      <c r="J555" s="3" t="inlineStr">
        <is>
          <t>Lenka Placha</t>
        </is>
      </c>
      <c r="K555" s="4" t="n">
        <v>45344.91753472222</v>
      </c>
      <c r="L555" s="5" t="n">
        <v>45344.0</v>
      </c>
      <c r="M555" s="3" t="inlineStr">
        <is>
          <t>Approved</t>
        </is>
      </c>
      <c r="N555" s="3" t="inlineStr">
        <is>
          <t>Available for Distribution, CLIX Filing, Site Close</t>
        </is>
      </c>
      <c r="O555" s="3" t="inlineStr">
        <is>
          <t>Czech Republic</t>
        </is>
      </c>
      <c r="P555" s="3" t="inlineStr">
        <is>
          <t>Z92-CZ10007</t>
        </is>
      </c>
      <c r="Q555" s="3" t="inlineStr">
        <is>
          <t>77242113UCO2001</t>
        </is>
      </c>
    </row>
    <row r="556">
      <c r="A556" s="2" t="str">
        <f>HYPERLINK("https://vtmf.veevavault.com/ui/#doc_info/25773696/1/0", "77242113UCO2001-CZE-Z92-CZ10007-Sub-Investigator Curriculum Vitae-30 Jan 2024 (v1.0)")</f>
        <v>77242113UCO2001-CZE-Z92-CZ10007-Sub-Investigator Curriculum Vitae-30 Jan 2024 (v1.0)</v>
      </c>
      <c r="B556" s="3" t="inlineStr">
        <is>
          <t>Lenka Placha</t>
        </is>
      </c>
      <c r="C556" s="3" t="inlineStr">
        <is>
          <t>Site Management</t>
        </is>
      </c>
      <c r="D556" s="3" t="inlineStr">
        <is>
          <t>Site Set-up Documentation</t>
        </is>
      </c>
      <c r="E556" s="3" t="inlineStr">
        <is>
          <t>Sub-Investigator Curriculum Vitae</t>
        </is>
      </c>
      <c r="F556" s="3" t="inlineStr">
        <is>
          <t>CV_SI_EN_ Machkova Nadezda_initial_30Jan24</t>
        </is>
      </c>
      <c r="G556" s="2" t="str">
        <f>HYPERLINK("https://vtmf.veevavault.com/ui/#doc_info/25773696/1/0", "VTMF-20579520")</f>
        <v>VTMF-20579520</v>
      </c>
      <c r="H556" s="3" t="inlineStr">
        <is>
          <t/>
        </is>
      </c>
      <c r="I556" s="3" t="inlineStr">
        <is>
          <t>Anthony Suarez (veeva.com)</t>
        </is>
      </c>
      <c r="J556" s="3" t="inlineStr">
        <is>
          <t>Lenka Placha</t>
        </is>
      </c>
      <c r="K556" s="4" t="n">
        <v>45344.91753472222</v>
      </c>
      <c r="L556" s="5" t="n">
        <v>45344.0</v>
      </c>
      <c r="M556" s="3" t="inlineStr">
        <is>
          <t>Approved</t>
        </is>
      </c>
      <c r="N556" s="3" t="inlineStr">
        <is>
          <t>Available for Distribution, CLIX Filing, Site Close</t>
        </is>
      </c>
      <c r="O556" s="3" t="inlineStr">
        <is>
          <t>Czech Republic</t>
        </is>
      </c>
      <c r="P556" s="3" t="inlineStr">
        <is>
          <t>Z92-CZ10007</t>
        </is>
      </c>
      <c r="Q556" s="3" t="inlineStr">
        <is>
          <t>77242113UCO2001</t>
        </is>
      </c>
    </row>
    <row r="557">
      <c r="A557" s="2" t="str">
        <f>HYPERLINK("https://vtmf.veevavault.com/ui/#doc_info/25773697/1/0", "77242113UCO2001-CZE-Z92-CZ10007-Sub-Investigator Curriculum Vitae-30 Jan 2024 (v1.0)")</f>
        <v>77242113UCO2001-CZE-Z92-CZ10007-Sub-Investigator Curriculum Vitae-30 Jan 2024 (v1.0)</v>
      </c>
      <c r="B557" s="3" t="inlineStr">
        <is>
          <t>Lenka Placha</t>
        </is>
      </c>
      <c r="C557" s="3" t="inlineStr">
        <is>
          <t>Site Management</t>
        </is>
      </c>
      <c r="D557" s="3" t="inlineStr">
        <is>
          <t>Site Set-up Documentation</t>
        </is>
      </c>
      <c r="E557" s="3" t="inlineStr">
        <is>
          <t>Sub-Investigator Curriculum Vitae</t>
        </is>
      </c>
      <c r="F557" s="3" t="inlineStr">
        <is>
          <t>CV_SI_EN_ Kolar Martin_initial_30Jan24</t>
        </is>
      </c>
      <c r="G557" s="2" t="str">
        <f>HYPERLINK("https://vtmf.veevavault.com/ui/#doc_info/25773697/1/0", "VTMF-20579521")</f>
        <v>VTMF-20579521</v>
      </c>
      <c r="H557" s="3" t="inlineStr">
        <is>
          <t/>
        </is>
      </c>
      <c r="I557" s="3" t="inlineStr">
        <is>
          <t>Anthony Suarez (veeva.com)</t>
        </is>
      </c>
      <c r="J557" s="3" t="inlineStr">
        <is>
          <t>Lenka Placha</t>
        </is>
      </c>
      <c r="K557" s="4" t="n">
        <v>45344.91753472222</v>
      </c>
      <c r="L557" s="5" t="n">
        <v>45344.0</v>
      </c>
      <c r="M557" s="3" t="inlineStr">
        <is>
          <t>Approved</t>
        </is>
      </c>
      <c r="N557" s="3" t="inlineStr">
        <is>
          <t>Available for Distribution, CLIX Filing, Site Close</t>
        </is>
      </c>
      <c r="O557" s="3" t="inlineStr">
        <is>
          <t>Czech Republic</t>
        </is>
      </c>
      <c r="P557" s="3" t="inlineStr">
        <is>
          <t>Z92-CZ10007</t>
        </is>
      </c>
      <c r="Q557" s="3" t="inlineStr">
        <is>
          <t>77242113UCO2001</t>
        </is>
      </c>
    </row>
    <row r="558">
      <c r="A558" s="2" t="str">
        <f>HYPERLINK("https://vtmf.veevavault.com/ui/#doc_info/26632480/1/0", "77242113UCO2001-CZE-Z92-CZ10007-Temperature Monitor Validation/Calibration Cert.-13 Jun 2024 (v1.0)")</f>
        <v>77242113UCO2001-CZE-Z92-CZ10007-Temperature Monitor Validation/Calibration Cert.-13 Jun 2024 (v1.0)</v>
      </c>
      <c r="B558" s="3" t="inlineStr">
        <is>
          <t>Jitka Kone</t>
        </is>
      </c>
      <c r="C558" s="3" t="inlineStr">
        <is>
          <t>IP and Trial Supplies</t>
        </is>
      </c>
      <c r="D558" s="3" t="inlineStr">
        <is>
          <t>Storage</t>
        </is>
      </c>
      <c r="E558" s="3" t="inlineStr">
        <is>
          <t>Temperature Monitor Validation/Calibration Certificates</t>
        </is>
      </c>
      <c r="F558" s="3" t="inlineStr">
        <is>
          <t>Calibration certificate_KLT-24K_5254</t>
        </is>
      </c>
      <c r="G558" s="2" t="str">
        <f>HYPERLINK("https://vtmf.veevavault.com/ui/#doc_info/26632480/1/0", "VTMF-21333750")</f>
        <v>VTMF-21333750</v>
      </c>
      <c r="H558" s="3" t="inlineStr">
        <is>
          <t/>
        </is>
      </c>
      <c r="I558" s="3" t="inlineStr">
        <is>
          <t>Anthony Suarez (veeva.com)</t>
        </is>
      </c>
      <c r="J558" s="3" t="inlineStr">
        <is>
          <t>Jitka Kone</t>
        </is>
      </c>
      <c r="K558" s="4" t="n">
        <v>45475.572546296295</v>
      </c>
      <c r="L558" s="5" t="n">
        <v>45475.0</v>
      </c>
      <c r="M558" s="3" t="inlineStr">
        <is>
          <t>Approved</t>
        </is>
      </c>
      <c r="N558" s="3" t="inlineStr">
        <is>
          <t>Available for Distribution, CLIX Filing, Site Close</t>
        </is>
      </c>
      <c r="O558" s="3" t="inlineStr">
        <is>
          <t>Czech Republic</t>
        </is>
      </c>
      <c r="P558" s="3" t="inlineStr">
        <is>
          <t>Z92-CZ10007</t>
        </is>
      </c>
      <c r="Q558" s="3" t="inlineStr">
        <is>
          <t>77242113UCO2001</t>
        </is>
      </c>
    </row>
    <row r="559">
      <c r="A559" s="2" t="str">
        <f>HYPERLINK("https://vtmf.veevavault.com/ui/#doc_info/25743468/1/0", "77242113UCO2001-CZE-Z92-CZ10007-Trial Initiation Monitoring Report-02 Feb 2024 (v1.0)")</f>
        <v>77242113UCO2001-CZE-Z92-CZ10007-Trial Initiation Monitoring Report-02 Feb 2024 (v1.0)</v>
      </c>
      <c r="B559" s="3" t="inlineStr">
        <is>
          <t>Admin User Medidata</t>
        </is>
      </c>
      <c r="C559" s="3" t="inlineStr">
        <is>
          <t>Site Management</t>
        </is>
      </c>
      <c r="D559" s="3" t="inlineStr">
        <is>
          <t>Site Initiation</t>
        </is>
      </c>
      <c r="E559" s="3" t="inlineStr">
        <is>
          <t>Trial Initiation Monitoring Report</t>
        </is>
      </c>
      <c r="F559" s="3" t="inlineStr">
        <is>
          <t/>
        </is>
      </c>
      <c r="G559" s="2" t="str">
        <f>HYPERLINK("https://vtmf.veevavault.com/ui/#doc_info/25743468/1/0", "VTMF-20553614")</f>
        <v>VTMF-20553614</v>
      </c>
      <c r="H559" s="3" t="inlineStr">
        <is>
          <t/>
        </is>
      </c>
      <c r="I559" s="3" t="inlineStr">
        <is>
          <t>System</t>
        </is>
      </c>
      <c r="J559" s="3" t="inlineStr">
        <is>
          <t>Admin User Medidata</t>
        </is>
      </c>
      <c r="K559" s="4" t="n">
        <v>45341.60461805556</v>
      </c>
      <c r="L559" s="5" t="n">
        <v>45341.0</v>
      </c>
      <c r="M559" s="3" t="inlineStr">
        <is>
          <t>Approved</t>
        </is>
      </c>
      <c r="N559" s="3" t="inlineStr">
        <is>
          <t>Available for Distribution, CLIX Filing, Site Close</t>
        </is>
      </c>
      <c r="O559" s="3" t="inlineStr">
        <is>
          <t>Czech Republic</t>
        </is>
      </c>
      <c r="P559" s="3" t="inlineStr">
        <is>
          <t>Z92-CZ10007</t>
        </is>
      </c>
      <c r="Q559" s="3" t="inlineStr">
        <is>
          <t>77242113UCO2001</t>
        </is>
      </c>
    </row>
    <row r="560">
      <c r="A560" s="2" t="str">
        <f>HYPERLINK("https://vtmf.veevavault.com/ui/#doc_info/24104014/2/0", "77242113UCO2001-CZE-Z92-CZ10007-Visit Log (v2.0)")</f>
        <v>77242113UCO2001-CZE-Z92-CZ10007-Visit Log (v2.0)</v>
      </c>
      <c r="B560" s="3" t="inlineStr">
        <is>
          <t>EDL Admin</t>
        </is>
      </c>
      <c r="C560" s="3" t="inlineStr">
        <is>
          <t>Site Management</t>
        </is>
      </c>
      <c r="D560" s="3" t="inlineStr">
        <is>
          <t>Site Management</t>
        </is>
      </c>
      <c r="E560" s="3" t="inlineStr">
        <is>
          <t>Visit Log</t>
        </is>
      </c>
      <c r="F560" s="3" t="inlineStr">
        <is>
          <t>TCVL_site_SIV_site Z92-CZ10007_25Jun24- final</t>
        </is>
      </c>
      <c r="G560" s="2" t="str">
        <f>HYPERLINK("https://vtmf.veevavault.com/ui/#doc_info/24104014/2/0", "VTMF-19118638")</f>
        <v>VTMF-19118638</v>
      </c>
      <c r="H560" s="3" t="inlineStr">
        <is>
          <t/>
        </is>
      </c>
      <c r="I560" s="3" t="inlineStr">
        <is>
          <t>Anthony Suarez (veeva.com)</t>
        </is>
      </c>
      <c r="J560" s="3" t="inlineStr">
        <is>
          <t>Lenka Placha</t>
        </is>
      </c>
      <c r="K560" s="4" t="n">
        <v>45474.40962962963</v>
      </c>
      <c r="L560" s="5" t="n">
        <v>45474.0</v>
      </c>
      <c r="M560" s="3" t="inlineStr">
        <is>
          <t>Approved</t>
        </is>
      </c>
      <c r="N560" s="3" t="inlineStr">
        <is>
          <t>Available for Distribution, CLIX Filing, Site Close</t>
        </is>
      </c>
      <c r="O560" s="3" t="inlineStr">
        <is>
          <t>Czech Republic</t>
        </is>
      </c>
      <c r="P560" s="3" t="inlineStr">
        <is>
          <t>Z92-CZ10007</t>
        </is>
      </c>
      <c r="Q560" s="3" t="inlineStr">
        <is>
          <t>77242113UCO2001</t>
        </is>
      </c>
    </row>
    <row r="561">
      <c r="A561" s="2" t="str">
        <f>HYPERLINK("https://vtmf.veevavault.com/ui/#doc_info/25773845/2/0", "77242113UCO2001-CZE-Z92-CZ10007-Visit Log (v2.0)")</f>
        <v>77242113UCO2001-CZE-Z92-CZ10007-Visit Log (v2.0)</v>
      </c>
      <c r="B561" s="3" t="inlineStr">
        <is>
          <t>Lenka Placha</t>
        </is>
      </c>
      <c r="C561" s="3" t="inlineStr">
        <is>
          <t>Site Management</t>
        </is>
      </c>
      <c r="D561" s="3" t="inlineStr">
        <is>
          <t>Site Management</t>
        </is>
      </c>
      <c r="E561" s="3" t="inlineStr">
        <is>
          <t>Visit Log</t>
        </is>
      </c>
      <c r="F561" s="3" t="inlineStr">
        <is>
          <t>TCVL_pharmacy_SIV_site Z92-CZ10007-25Jun24- final</t>
        </is>
      </c>
      <c r="G561" s="2" t="str">
        <f>HYPERLINK("https://vtmf.veevavault.com/ui/#doc_info/25773845/2/0", "VTMF-20579655")</f>
        <v>VTMF-20579655</v>
      </c>
      <c r="H561" s="3" t="inlineStr">
        <is>
          <t/>
        </is>
      </c>
      <c r="I561" s="3" t="inlineStr">
        <is>
          <t>Anthony Suarez (veeva.com)</t>
        </is>
      </c>
      <c r="J561" s="3" t="inlineStr">
        <is>
          <t>Lenka Placha</t>
        </is>
      </c>
      <c r="K561" s="4" t="n">
        <v>45474.40837962963</v>
      </c>
      <c r="L561" s="5" t="n">
        <v>45474.0</v>
      </c>
      <c r="M561" s="3" t="inlineStr">
        <is>
          <t>Approved</t>
        </is>
      </c>
      <c r="N561" s="3" t="inlineStr">
        <is>
          <t>Available for Distribution, CLIX Filing, Site Close</t>
        </is>
      </c>
      <c r="O561" s="3" t="inlineStr">
        <is>
          <t>Czech Republic</t>
        </is>
      </c>
      <c r="P561" s="3" t="inlineStr">
        <is>
          <t>Z92-CZ10007</t>
        </is>
      </c>
      <c r="Q561" s="3" t="inlineStr">
        <is>
          <t>77242113UCO2001</t>
        </is>
      </c>
    </row>
    <row r="562">
      <c r="A562" s="2" t="str">
        <f>HYPERLINK("https://vtmf.veevavault.com/ui/#doc_info/26763463/1/0", "77242113UCO2001-CZE-Z92-CZ10007-Relevant Communications-22 Jul 2024 (v1.0)")</f>
        <v>77242113UCO2001-CZE-Z92-CZ10007-Relevant Communications-22 Jul 2024 (v1.0)</v>
      </c>
      <c r="B562" s="3" t="inlineStr">
        <is>
          <t>Lenka Placha</t>
        </is>
      </c>
      <c r="C562" s="3" t="inlineStr">
        <is>
          <t>Site Management</t>
        </is>
      </c>
      <c r="D562" s="3" t="inlineStr">
        <is>
          <t>General</t>
        </is>
      </c>
      <c r="E562" s="3" t="inlineStr">
        <is>
          <t>Relevant Communications</t>
        </is>
      </c>
      <c r="F562" s="3" t="inlineStr">
        <is>
          <t>email 22Jul24- biopsy lab kits from site Z92-CZ10007 sent  05Jun24 to site Z92-CZ10009</t>
        </is>
      </c>
      <c r="G562" s="2" t="str">
        <f>HYPERLINK("https://vtmf.veevavault.com/ui/#doc_info/26763463/1/0", "VTMF-21447450")</f>
        <v>VTMF-21447450</v>
      </c>
      <c r="H562" s="3" t="inlineStr">
        <is>
          <t/>
        </is>
      </c>
      <c r="I562" s="3" t="inlineStr">
        <is>
          <t>Lenka Placha</t>
        </is>
      </c>
      <c r="J562" s="3" t="inlineStr">
        <is>
          <t>Lenka Placha</t>
        </is>
      </c>
      <c r="K562" s="4" t="n">
        <v>45497.71037037037</v>
      </c>
      <c r="L562" s="5" t="n">
        <v>45497.0</v>
      </c>
      <c r="M562" s="3" t="inlineStr">
        <is>
          <t>Approved</t>
        </is>
      </c>
      <c r="N562" s="3" t="inlineStr">
        <is>
          <t>Available for Distribution, Country Close, Site Close, Study Close</t>
        </is>
      </c>
      <c r="O562" s="3" t="inlineStr">
        <is>
          <t>Czech Republic</t>
        </is>
      </c>
      <c r="P562" s="3" t="inlineStr">
        <is>
          <t>Z92-CZ10007, Z92-CZ10009</t>
        </is>
      </c>
      <c r="Q562" s="3" t="inlineStr">
        <is>
          <t>77242113UCO2001</t>
        </is>
      </c>
    </row>
    <row r="563">
      <c r="A563" s="2" t="str">
        <f>HYPERLINK("https://vtmf.veevavault.com/ui/#doc_info/28347780/1/0", "77242113UCO2001-CZE-Z92-CZ10008-Acceptance of Investigator Brochure-11 Feb 2025 (v1.0)")</f>
        <v>77242113UCO2001-CZE-Z92-CZ10008-Acceptance of Investigator Brochure-11 Feb 2025 (v1.0)</v>
      </c>
      <c r="B563" s="3" t="inlineStr">
        <is>
          <t>Jitka Kone</t>
        </is>
      </c>
      <c r="C563" s="3" t="inlineStr">
        <is>
          <t>Site Management</t>
        </is>
      </c>
      <c r="D563" s="3" t="inlineStr">
        <is>
          <t>Site Set-up Documentation</t>
        </is>
      </c>
      <c r="E563" s="3" t="inlineStr">
        <is>
          <t>Acceptance of Investigator Brochure</t>
        </is>
      </c>
      <c r="F563" s="3" t="inlineStr">
        <is>
          <t>IB acceptance site_JNJ-77242113_IB Ed. 6 dated 16Dec2024_11Feb2025</t>
        </is>
      </c>
      <c r="G563" s="2" t="str">
        <f>HYPERLINK("https://vtmf.veevavault.com/ui/#doc_info/28347780/1/0", "VTMF-22744177")</f>
        <v>VTMF-22744177</v>
      </c>
      <c r="H563" s="3" t="inlineStr">
        <is>
          <t/>
        </is>
      </c>
      <c r="I563" s="3" t="inlineStr">
        <is>
          <t>Anthony Suarez (veeva.com)</t>
        </is>
      </c>
      <c r="J563" s="3" t="inlineStr">
        <is>
          <t>Jitka Kone</t>
        </is>
      </c>
      <c r="K563" s="4" t="n">
        <v>45709.55997685185</v>
      </c>
      <c r="L563" s="5" t="n">
        <v>45709.0</v>
      </c>
      <c r="M563" s="3" t="inlineStr">
        <is>
          <t>Approved</t>
        </is>
      </c>
      <c r="N563" s="3" t="inlineStr">
        <is>
          <t>Available for Distribution, CLIX Filing, IP Release, Site Start</t>
        </is>
      </c>
      <c r="O563" s="3" t="inlineStr">
        <is>
          <t>Czech Republic</t>
        </is>
      </c>
      <c r="P563" s="3" t="inlineStr">
        <is>
          <t>Z92-CZ10008</t>
        </is>
      </c>
      <c r="Q563" s="3" t="inlineStr">
        <is>
          <t>77242113UCO2001</t>
        </is>
      </c>
    </row>
    <row r="564">
      <c r="A564" s="2" t="str">
        <f>HYPERLINK("https://vtmf.veevavault.com/ui/#doc_info/30117027/1/0", "77242113UCO2001-CZE-Z92-CZ10008-Acceptance of Investigator Brochure-12 Aug 2025 (v1.0)")</f>
        <v>77242113UCO2001-CZE-Z92-CZ10008-Acceptance of Investigator Brochure-12 Aug 2025 (v1.0)</v>
      </c>
      <c r="B564" s="3" t="inlineStr">
        <is>
          <t>Jitka Kone</t>
        </is>
      </c>
      <c r="C564" s="3" t="inlineStr">
        <is>
          <t>Site Management</t>
        </is>
      </c>
      <c r="D564" s="3" t="inlineStr">
        <is>
          <t>Site Set-up Documentation</t>
        </is>
      </c>
      <c r="E564" s="3" t="inlineStr">
        <is>
          <t>Acceptance of Investigator Brochure</t>
        </is>
      </c>
      <c r="F564" s="3" t="inlineStr">
        <is>
          <t>Acceptance of IB_JNJ-77242113_Add. 1 to IB Ed. 6</t>
        </is>
      </c>
      <c r="G564" s="2" t="str">
        <f>HYPERLINK("https://vtmf.veevavault.com/ui/#doc_info/30117027/1/0", "VTMF-24244115")</f>
        <v>VTMF-24244115</v>
      </c>
      <c r="H564" s="3" t="inlineStr">
        <is>
          <t/>
        </is>
      </c>
      <c r="I564" s="3" t="inlineStr">
        <is>
          <t>System</t>
        </is>
      </c>
      <c r="J564" s="3" t="inlineStr">
        <is>
          <t>Jitka Kone</t>
        </is>
      </c>
      <c r="K564" s="4" t="n">
        <v>45938.5005787037</v>
      </c>
      <c r="L564" s="5" t="n">
        <v>45938.0</v>
      </c>
      <c r="M564" s="3" t="inlineStr">
        <is>
          <t>Approved</t>
        </is>
      </c>
      <c r="N564" s="3" t="inlineStr">
        <is>
          <t>Available for Distribution, CLIX Filing, IP Release, Site Start</t>
        </is>
      </c>
      <c r="O564" s="3" t="inlineStr">
        <is>
          <t>Czech Republic</t>
        </is>
      </c>
      <c r="P564" s="3" t="inlineStr">
        <is>
          <t>Z92-CZ10008</t>
        </is>
      </c>
      <c r="Q564" s="3" t="inlineStr">
        <is>
          <t>77242113UCO2001</t>
        </is>
      </c>
    </row>
    <row r="565">
      <c r="A565" s="2" t="str">
        <f>HYPERLINK("https://vtmf.veevavault.com/ui/#doc_info/26596983/2/0", "77242113UCO2001-CZE-Z92-CZ10008-Acceptance of Investigator Brochure-19 Nov 2024 (v2.0)")</f>
        <v>77242113UCO2001-CZE-Z92-CZ10008-Acceptance of Investigator Brochure-19 Nov 2024 (v2.0)</v>
      </c>
      <c r="B565" s="3" t="inlineStr">
        <is>
          <t>Jitka Kone</t>
        </is>
      </c>
      <c r="C565" s="3" t="inlineStr">
        <is>
          <t>Site Management</t>
        </is>
      </c>
      <c r="D565" s="3" t="inlineStr">
        <is>
          <t>Site Set-up Documentation</t>
        </is>
      </c>
      <c r="E565" s="3" t="inlineStr">
        <is>
          <t>Acceptance of Investigator Brochure</t>
        </is>
      </c>
      <c r="F565" s="3" t="inlineStr">
        <is>
          <t>IB acceptance site_JNJ-77242113_ IB Ed4 Add2, dated 31Oct23 and IB Ed5, dated 19Dec23_signed 29May24_update 19Nov24</t>
        </is>
      </c>
      <c r="G565" s="2" t="str">
        <f>HYPERLINK("https://vtmf.veevavault.com/ui/#doc_info/26596983/2/0", "VTMF-21302813")</f>
        <v>VTMF-21302813</v>
      </c>
      <c r="H565" s="3" t="inlineStr">
        <is>
          <t/>
        </is>
      </c>
      <c r="I565" s="3" t="inlineStr">
        <is>
          <t>System</t>
        </is>
      </c>
      <c r="J565" s="3" t="inlineStr">
        <is>
          <t>Lenka Placha</t>
        </is>
      </c>
      <c r="K565" s="4" t="n">
        <v>45615.57848379629</v>
      </c>
      <c r="L565" s="5" t="n">
        <v>45615.0</v>
      </c>
      <c r="M565" s="3" t="inlineStr">
        <is>
          <t>Approved</t>
        </is>
      </c>
      <c r="N565" s="3" t="inlineStr">
        <is>
          <t>Available for Distribution, CLIX Filing, Site Close</t>
        </is>
      </c>
      <c r="O565" s="3" t="inlineStr">
        <is>
          <t>Czech Republic</t>
        </is>
      </c>
      <c r="P565" s="3" t="inlineStr">
        <is>
          <t>Z92-CZ10008</t>
        </is>
      </c>
      <c r="Q565" s="3" t="inlineStr">
        <is>
          <t>77242113UCO2001</t>
        </is>
      </c>
    </row>
    <row r="566">
      <c r="A566" s="2" t="str">
        <f>HYPERLINK("https://vtmf.veevavault.com/ui/#doc_info/25939343/1/0", "77242113UCO2001-CZE-Z92-CZ10008-Acceptance of Investigator Brochure-23 Jan 2024 (v1.0)")</f>
        <v>77242113UCO2001-CZE-Z92-CZ10008-Acceptance of Investigator Brochure-23 Jan 2024 (v1.0)</v>
      </c>
      <c r="B566" s="3" t="inlineStr">
        <is>
          <t>Lenka Placha</t>
        </is>
      </c>
      <c r="C566" s="3" t="inlineStr">
        <is>
          <t>Site Management</t>
        </is>
      </c>
      <c r="D566" s="3" t="inlineStr">
        <is>
          <t>Site Set-up Documentation</t>
        </is>
      </c>
      <c r="E566" s="3" t="inlineStr">
        <is>
          <t>Acceptance of Investigator Brochure</t>
        </is>
      </c>
      <c r="F566" s="3" t="inlineStr">
        <is>
          <t>IB Acceptance pharmacy_JNJ-77242113_IB Ed. 4 , dated 21Dec22+ Add.1 to IB Ed.4, dated 05May22_ 23Jan24</t>
        </is>
      </c>
      <c r="G566" s="2" t="str">
        <f>HYPERLINK("https://vtmf.veevavault.com/ui/#doc_info/25939343/1/0", "VTMF-20726400")</f>
        <v>VTMF-20726400</v>
      </c>
      <c r="H566" s="3" t="inlineStr">
        <is>
          <t/>
        </is>
      </c>
      <c r="I566" s="3" t="inlineStr">
        <is>
          <t>Anthony Suarez (veeva.com)</t>
        </is>
      </c>
      <c r="J566" s="3" t="inlineStr">
        <is>
          <t>Lenka Placha</t>
        </is>
      </c>
      <c r="K566" s="4" t="n">
        <v>45367.94378472222</v>
      </c>
      <c r="L566" s="5" t="n">
        <v>45367.0</v>
      </c>
      <c r="M566" s="3" t="inlineStr">
        <is>
          <t>Approved</t>
        </is>
      </c>
      <c r="N566" s="3" t="inlineStr">
        <is>
          <t>Available for Distribution, CLIX Filing, Site Close</t>
        </is>
      </c>
      <c r="O566" s="3" t="inlineStr">
        <is>
          <t>Czech Republic</t>
        </is>
      </c>
      <c r="P566" s="3" t="inlineStr">
        <is>
          <t>Z92-CZ10008</t>
        </is>
      </c>
      <c r="Q566" s="3" t="inlineStr">
        <is>
          <t>77242113UCO2001</t>
        </is>
      </c>
    </row>
    <row r="567">
      <c r="A567" s="2" t="str">
        <f>HYPERLINK("https://vtmf.veevavault.com/ui/#doc_info/25939344/1/0", "77242113UCO2001-CZE-Z92-CZ10008-Acceptance of Investigator Brochure-23 Jan 2024 (v1.0)")</f>
        <v>77242113UCO2001-CZE-Z92-CZ10008-Acceptance of Investigator Brochure-23 Jan 2024 (v1.0)</v>
      </c>
      <c r="B567" s="3" t="inlineStr">
        <is>
          <t>Lenka Placha</t>
        </is>
      </c>
      <c r="C567" s="3" t="inlineStr">
        <is>
          <t>Site Management</t>
        </is>
      </c>
      <c r="D567" s="3" t="inlineStr">
        <is>
          <t>Site Set-up Documentation</t>
        </is>
      </c>
      <c r="E567" s="3" t="inlineStr">
        <is>
          <t>Acceptance of Investigator Brochure</t>
        </is>
      </c>
      <c r="F567" s="3" t="inlineStr">
        <is>
          <t>IB Acceptance site_JNJ-77242113_IB Ed. 4 , dated 21Dec22+ Add.1 to IB Ed.4, dated 05May22_ 23Jan24</t>
        </is>
      </c>
      <c r="G567" s="2" t="str">
        <f>HYPERLINK("https://vtmf.veevavault.com/ui/#doc_info/25939344/1/0", "VTMF-20726401")</f>
        <v>VTMF-20726401</v>
      </c>
      <c r="H567" s="3" t="inlineStr">
        <is>
          <t/>
        </is>
      </c>
      <c r="I567" s="3" t="inlineStr">
        <is>
          <t>Anthony Suarez (veeva.com)</t>
        </is>
      </c>
      <c r="J567" s="3" t="inlineStr">
        <is>
          <t>Lenka Placha</t>
        </is>
      </c>
      <c r="K567" s="4" t="n">
        <v>45367.94378472222</v>
      </c>
      <c r="L567" s="5" t="n">
        <v>45367.0</v>
      </c>
      <c r="M567" s="3" t="inlineStr">
        <is>
          <t>Approved</t>
        </is>
      </c>
      <c r="N567" s="3" t="inlineStr">
        <is>
          <t>Available for Distribution, CLIX Filing, Site Close</t>
        </is>
      </c>
      <c r="O567" s="3" t="inlineStr">
        <is>
          <t>Czech Republic</t>
        </is>
      </c>
      <c r="P567" s="3" t="inlineStr">
        <is>
          <t>Z92-CZ10008</t>
        </is>
      </c>
      <c r="Q567" s="3" t="inlineStr">
        <is>
          <t>77242113UCO2001</t>
        </is>
      </c>
    </row>
    <row r="568">
      <c r="A568" s="2" t="str">
        <f>HYPERLINK("https://vtmf.veevavault.com/ui/#doc_info/26461616/1/0", "77242113UCO2001-CZE-Z92-CZ10008-Acceptance of Investigator Brochure-30 May 2024 (v1.0)")</f>
        <v>77242113UCO2001-CZE-Z92-CZ10008-Acceptance of Investigator Brochure-30 May 2024 (v1.0)</v>
      </c>
      <c r="B568" s="3" t="inlineStr">
        <is>
          <t>Jitka Kone</t>
        </is>
      </c>
      <c r="C568" s="3" t="inlineStr">
        <is>
          <t>Site Management</t>
        </is>
      </c>
      <c r="D568" s="3" t="inlineStr">
        <is>
          <t>Site Set-up Documentation</t>
        </is>
      </c>
      <c r="E568" s="3" t="inlineStr">
        <is>
          <t>Acceptance of Investigator Brochure</t>
        </is>
      </c>
      <c r="F568" s="3" t="inlineStr">
        <is>
          <t>IB Acceptance pharmacy_JNJ-77242113_ IB Ed4 Add2, dated 31Oct23 + IB Ed5, dated 19Dec23_signed 30May24</t>
        </is>
      </c>
      <c r="G568" s="2" t="str">
        <f>HYPERLINK("https://vtmf.veevavault.com/ui/#doc_info/26461616/1/0", "VTMF-21183881")</f>
        <v>VTMF-21183881</v>
      </c>
      <c r="H568" s="3" t="inlineStr">
        <is>
          <t/>
        </is>
      </c>
      <c r="I568" s="3" t="inlineStr">
        <is>
          <t>Anthony Suarez (veeva.com)</t>
        </is>
      </c>
      <c r="J568" s="3" t="inlineStr">
        <is>
          <t>Jitka Kone</t>
        </is>
      </c>
      <c r="K568" s="4" t="n">
        <v>45448.55366898148</v>
      </c>
      <c r="L568" s="5" t="n">
        <v>45448.0</v>
      </c>
      <c r="M568" s="3" t="inlineStr">
        <is>
          <t>Approved</t>
        </is>
      </c>
      <c r="N568" s="3" t="inlineStr">
        <is>
          <t>Available for Distribution, CLIX Filing, Site Close</t>
        </is>
      </c>
      <c r="O568" s="3" t="inlineStr">
        <is>
          <t>Czech Republic</t>
        </is>
      </c>
      <c r="P568" s="3" t="inlineStr">
        <is>
          <t>Z92-CZ10008</t>
        </is>
      </c>
      <c r="Q568" s="3" t="inlineStr">
        <is>
          <t>77242113UCO2001</t>
        </is>
      </c>
    </row>
    <row r="569">
      <c r="A569" s="2" t="str">
        <f>HYPERLINK("https://vtmf.veevavault.com/ui/#doc_info/25700278/1/0", "77242113UCO2001-CZE-Z92-CZ10008-Clinical Trial Agreement-21 Apr 2023 (v1.0)")</f>
        <v>77242113UCO2001-CZE-Z92-CZ10008-Clinical Trial Agreement-21 Apr 2023 (v1.0)</v>
      </c>
      <c r="B569" s="3" t="inlineStr">
        <is>
          <t>Jitka Kone</t>
        </is>
      </c>
      <c r="C569" s="3" t="inlineStr">
        <is>
          <t>Site Management</t>
        </is>
      </c>
      <c r="D569" s="3" t="inlineStr">
        <is>
          <t>Site Set-up Documentation</t>
        </is>
      </c>
      <c r="E569" s="3" t="inlineStr">
        <is>
          <t>Clinical Trial Agreement</t>
        </is>
      </c>
      <c r="F569" s="3" t="inlineStr">
        <is>
          <t>Bortlík_Nemocnice České Budějovice_contract_document uploaded in ICD_Nr. 1947033</t>
        </is>
      </c>
      <c r="G569" s="2" t="str">
        <f>HYPERLINK("https://vtmf.veevavault.com/ui/#doc_info/25700278/1/0", "VTMF-20515510")</f>
        <v>VTMF-20515510</v>
      </c>
      <c r="H569" s="3" t="inlineStr">
        <is>
          <t/>
        </is>
      </c>
      <c r="I569" s="3" t="inlineStr">
        <is>
          <t>Lenka Placha</t>
        </is>
      </c>
      <c r="J569" s="3" t="inlineStr">
        <is>
          <t>Jitka Kone</t>
        </is>
      </c>
      <c r="K569" s="4" t="n">
        <v>45334.71252314815</v>
      </c>
      <c r="L569" s="5" t="n">
        <v>45334.0</v>
      </c>
      <c r="M569" s="3" t="inlineStr">
        <is>
          <t>Approved</t>
        </is>
      </c>
      <c r="N569" s="3" t="inlineStr">
        <is>
          <t>Available for Distribution, Site Start</t>
        </is>
      </c>
      <c r="O569" s="3" t="inlineStr">
        <is>
          <t>Czech Republic</t>
        </is>
      </c>
      <c r="P569" s="3" t="inlineStr">
        <is>
          <t>Z92-CZ10008</t>
        </is>
      </c>
      <c r="Q569" s="3" t="inlineStr">
        <is>
          <t>77242113UCO2001</t>
        </is>
      </c>
    </row>
    <row r="570">
      <c r="A570" s="2" t="str">
        <f>HYPERLINK("https://vtmf.veevavault.com/ui/#doc_info/26063776/1/0", "77242113UCO2001-CZE-Z92-CZ10008-Clinical Trial Agreement-23 Jan 2024 (v1.0)")</f>
        <v>77242113UCO2001-CZE-Z92-CZ10008-Clinical Trial Agreement-23 Jan 2024 (v1.0)</v>
      </c>
      <c r="B570" s="3" t="inlineStr">
        <is>
          <t>Jitka Kone</t>
        </is>
      </c>
      <c r="C570" s="3" t="inlineStr">
        <is>
          <t>Site Management</t>
        </is>
      </c>
      <c r="D570" s="3" t="inlineStr">
        <is>
          <t>Site Set-up Documentation</t>
        </is>
      </c>
      <c r="E570" s="3" t="inlineStr">
        <is>
          <t>Clinical Trial Agreement</t>
        </is>
      </c>
      <c r="F570" s="3" t="inlineStr">
        <is>
          <t>PI delegation SC Valentova+ Dvorakova -mealvoucher responsibility _site Z92-CZ10008-23Jan24</t>
        </is>
      </c>
      <c r="G570" s="2" t="str">
        <f>HYPERLINK("https://vtmf.veevavault.com/ui/#doc_info/26063776/1/0", "VTMF-20836126")</f>
        <v>VTMF-20836126</v>
      </c>
      <c r="H570" s="3" t="inlineStr">
        <is>
          <t/>
        </is>
      </c>
      <c r="I570" s="3" t="inlineStr">
        <is>
          <t>Anthony Suarez (veeva.com)</t>
        </is>
      </c>
      <c r="J570" s="3" t="inlineStr">
        <is>
          <t>Jitka Kone</t>
        </is>
      </c>
      <c r="K570" s="4" t="n">
        <v>45386.48809027778</v>
      </c>
      <c r="L570" s="5" t="n">
        <v>45386.0</v>
      </c>
      <c r="M570" s="3" t="inlineStr">
        <is>
          <t>Approved</t>
        </is>
      </c>
      <c r="N570" s="3" t="inlineStr">
        <is>
          <t>Available for Distribution, Site Start</t>
        </is>
      </c>
      <c r="O570" s="3" t="inlineStr">
        <is>
          <t>Czech Republic</t>
        </is>
      </c>
      <c r="P570" s="3" t="inlineStr">
        <is>
          <t>Z92-CZ10008</t>
        </is>
      </c>
      <c r="Q570" s="3" t="inlineStr">
        <is>
          <t>77242113UCO2001</t>
        </is>
      </c>
    </row>
    <row r="571">
      <c r="A571" s="2" t="str">
        <f>HYPERLINK("https://vtmf.veevavault.com/ui/#doc_info/24448497/1/0", "77242113UCO2001-CZE-Z92-CZ10008-Confidentiality Agreement-15 May 2023 (v1.0)")</f>
        <v>77242113UCO2001-CZE-Z92-CZ10008-Confidentiality Agreement-15 May 2023 (v1.0)</v>
      </c>
      <c r="B571" s="3" t="inlineStr">
        <is>
          <t>Jitka Kone</t>
        </is>
      </c>
      <c r="C571" s="3" t="inlineStr">
        <is>
          <t>Site Management</t>
        </is>
      </c>
      <c r="D571" s="3" t="inlineStr">
        <is>
          <t>Site Selection</t>
        </is>
      </c>
      <c r="E571" s="3" t="inlineStr">
        <is>
          <t>Confidentiality Agreement</t>
        </is>
      </c>
      <c r="F571" s="3" t="inlineStr">
        <is>
          <t>CDA_Bortlík Martin, Nemocnice Ceske Budejovice a.s.</t>
        </is>
      </c>
      <c r="G571" s="2" t="str">
        <f>HYPERLINK("https://vtmf.veevavault.com/ui/#doc_info/24448497/1/0", "VTMF-19420566")</f>
        <v>VTMF-19420566</v>
      </c>
      <c r="H571" s="3" t="inlineStr">
        <is>
          <t/>
        </is>
      </c>
      <c r="I571" s="3" t="inlineStr">
        <is>
          <t>Anthony Suarez (veeva.com)</t>
        </is>
      </c>
      <c r="J571" s="3" t="inlineStr">
        <is>
          <t>Jitka Kone</t>
        </is>
      </c>
      <c r="K571" s="4" t="n">
        <v>45121.50163194445</v>
      </c>
      <c r="L571" s="5" t="n">
        <v>45121.0</v>
      </c>
      <c r="M571" s="3" t="inlineStr">
        <is>
          <t>Approved</t>
        </is>
      </c>
      <c r="N571" s="3" t="inlineStr">
        <is>
          <t>Available for Distribution, Site Start</t>
        </is>
      </c>
      <c r="O571" s="3" t="inlineStr">
        <is>
          <t>Czech Republic</t>
        </is>
      </c>
      <c r="P571" s="3" t="inlineStr">
        <is>
          <t>Z92-CZ10008</t>
        </is>
      </c>
      <c r="Q571" s="3" t="inlineStr">
        <is>
          <t>77242113UCO2001</t>
        </is>
      </c>
    </row>
    <row r="572">
      <c r="A572" s="2" t="str">
        <f>HYPERLINK("https://vtmf.veevavault.com/ui/#doc_info/31652823/1/0", "77242113UCO2001-CZE-Z92-CZ10008-CRF Completion Requirements-06 May 2026 (v1.0)")</f>
        <v>77242113UCO2001-CZE-Z92-CZ10008-CRF Completion Requirements-06 May 2026 (v1.0)</v>
      </c>
      <c r="B572" s="3" t="inlineStr">
        <is>
          <t>Jitka Kone</t>
        </is>
      </c>
      <c r="C572" s="3" t="inlineStr">
        <is>
          <t>Data Management</t>
        </is>
      </c>
      <c r="D572" s="3" t="inlineStr">
        <is>
          <t>Data Capture</t>
        </is>
      </c>
      <c r="E572" s="3" t="inlineStr">
        <is>
          <t>CRF Completion Requirements</t>
        </is>
      </c>
      <c r="F572" s="3" t="inlineStr">
        <is>
          <t>EOS Acknowledgement -Subject PDF site acknowledgement_V. 06-MAY-2026</t>
        </is>
      </c>
      <c r="G572" s="2" t="str">
        <f>HYPERLINK("https://vtmf.veevavault.com/ui/#doc_info/31652823/1/0", "VTMF-25547479")</f>
        <v>VTMF-25547479</v>
      </c>
      <c r="H572" s="3" t="inlineStr">
        <is>
          <t/>
        </is>
      </c>
      <c r="I572" s="3" t="inlineStr">
        <is>
          <t>System</t>
        </is>
      </c>
      <c r="J572" s="3" t="inlineStr">
        <is>
          <t>Jitka Kone</t>
        </is>
      </c>
      <c r="K572" s="4" t="n">
        <v>46155.560625</v>
      </c>
      <c r="L572" s="5" t="n">
        <v>46155.0</v>
      </c>
      <c r="M572" s="3" t="inlineStr">
        <is>
          <t>Approved</t>
        </is>
      </c>
      <c r="N572" s="3" t="inlineStr">
        <is>
          <t>Available for Distribution, CLIX Filing, Study Start</t>
        </is>
      </c>
      <c r="O572" s="3" t="inlineStr">
        <is>
          <t>Czech Republic</t>
        </is>
      </c>
      <c r="P572" s="3" t="inlineStr">
        <is>
          <t>Z92-CZ10008</t>
        </is>
      </c>
      <c r="Q572" s="3" t="inlineStr">
        <is>
          <t>77242113UCO2001</t>
        </is>
      </c>
    </row>
    <row r="573">
      <c r="A573" s="2" t="str">
        <f>HYPERLINK("https://vtmf.veevavault.com/ui/#doc_info/31251169/1/0", "77242113UCO2001-CZE-Z92-CZ10008-Drug Accountability Form-10 Mar 2026 (v1.0)")</f>
        <v>77242113UCO2001-CZE-Z92-CZ10008-Drug Accountability Form-10 Mar 2026 (v1.0)</v>
      </c>
      <c r="B573" s="3" t="inlineStr">
        <is>
          <t>Bela Lukavcová</t>
        </is>
      </c>
      <c r="C573" s="3" t="inlineStr">
        <is>
          <t>IP and Trial Supplies</t>
        </is>
      </c>
      <c r="D573" s="3" t="inlineStr">
        <is>
          <t>IP Documentation</t>
        </is>
      </c>
      <c r="E573" s="3" t="inlineStr">
        <is>
          <t>Drug Accountability Form</t>
        </is>
      </c>
      <c r="F573" s="3" t="inlineStr">
        <is>
          <t>Drug Accountability Form_Single_CZ100080001</t>
        </is>
      </c>
      <c r="G573" s="2" t="str">
        <f>HYPERLINK("https://vtmf.veevavault.com/ui/#doc_info/31251169/1/0", "VTMF-25204337")</f>
        <v>VTMF-25204337</v>
      </c>
      <c r="H573" s="3" t="inlineStr">
        <is>
          <t/>
        </is>
      </c>
      <c r="I573" s="3" t="inlineStr">
        <is>
          <t>System</t>
        </is>
      </c>
      <c r="J573" s="3" t="inlineStr">
        <is>
          <t>Bela Lukavcová</t>
        </is>
      </c>
      <c r="K573" s="4" t="n">
        <v>46104.45527777778</v>
      </c>
      <c r="L573" s="5" t="n">
        <v>46104.0</v>
      </c>
      <c r="M573" s="3" t="inlineStr">
        <is>
          <t>Approved</t>
        </is>
      </c>
      <c r="N573" s="3" t="inlineStr">
        <is>
          <t>Site Close</t>
        </is>
      </c>
      <c r="O573" s="3" t="inlineStr">
        <is>
          <t>Czech Republic</t>
        </is>
      </c>
      <c r="P573" s="3" t="inlineStr">
        <is>
          <t>Z92-CZ10008</t>
        </is>
      </c>
      <c r="Q573" s="3" t="inlineStr">
        <is>
          <t>77242113UCO2001</t>
        </is>
      </c>
    </row>
    <row r="574">
      <c r="A574" s="2" t="str">
        <f>HYPERLINK("https://vtmf.veevavault.com/ui/#doc_info/31251449/1/0", "77242113UCO2001-CZE-Z92-CZ10008-Drug Accountability Form-10 Mar 2026 (v1.0)")</f>
        <v>77242113UCO2001-CZE-Z92-CZ10008-Drug Accountability Form-10 Mar 2026 (v1.0)</v>
      </c>
      <c r="B574" s="3" t="inlineStr">
        <is>
          <t>Bela Lukavcová</t>
        </is>
      </c>
      <c r="C574" s="3" t="inlineStr">
        <is>
          <t>IP and Trial Supplies</t>
        </is>
      </c>
      <c r="D574" s="3" t="inlineStr">
        <is>
          <t>IP Documentation</t>
        </is>
      </c>
      <c r="E574" s="3" t="inlineStr">
        <is>
          <t>Drug Accountability Form</t>
        </is>
      </c>
      <c r="F574" s="3" t="inlineStr">
        <is>
          <t>Drug Accountability Form_Single_CZ100080001</t>
        </is>
      </c>
      <c r="G574" s="2" t="str">
        <f>HYPERLINK("https://vtmf.veevavault.com/ui/#doc_info/31251449/1/0", "VTMF-25204574")</f>
        <v>VTMF-25204574</v>
      </c>
      <c r="H574" s="3" t="inlineStr">
        <is>
          <t/>
        </is>
      </c>
      <c r="I574" s="3" t="inlineStr">
        <is>
          <t>System</t>
        </is>
      </c>
      <c r="J574" s="3" t="inlineStr">
        <is>
          <t>Bela Lukavcová</t>
        </is>
      </c>
      <c r="K574" s="4" t="n">
        <v>46104.47855324074</v>
      </c>
      <c r="L574" s="5" t="n">
        <v>46104.0</v>
      </c>
      <c r="M574" s="3" t="inlineStr">
        <is>
          <t>Approved</t>
        </is>
      </c>
      <c r="N574" s="3" t="inlineStr">
        <is>
          <t>Site Close</t>
        </is>
      </c>
      <c r="O574" s="3" t="inlineStr">
        <is>
          <t>Czech Republic</t>
        </is>
      </c>
      <c r="P574" s="3" t="inlineStr">
        <is>
          <t>Z92-CZ10008</t>
        </is>
      </c>
      <c r="Q574" s="3" t="inlineStr">
        <is>
          <t>77242113UCO2001</t>
        </is>
      </c>
    </row>
    <row r="575">
      <c r="A575" s="2" t="str">
        <f>HYPERLINK("https://vtmf.veevavault.com/ui/#doc_info/31251456/1/0", "77242113UCO2001-CZE-Z92-CZ10008-Drug Accountability Form-10 Mar 2026 (v1.0)")</f>
        <v>77242113UCO2001-CZE-Z92-CZ10008-Drug Accountability Form-10 Mar 2026 (v1.0)</v>
      </c>
      <c r="B575" s="3" t="inlineStr">
        <is>
          <t>Bela Lukavcová</t>
        </is>
      </c>
      <c r="C575" s="3" t="inlineStr">
        <is>
          <t>IP and Trial Supplies</t>
        </is>
      </c>
      <c r="D575" s="3" t="inlineStr">
        <is>
          <t>IP Documentation</t>
        </is>
      </c>
      <c r="E575" s="3" t="inlineStr">
        <is>
          <t>Drug Accountability Form</t>
        </is>
      </c>
      <c r="F575" s="3" t="inlineStr">
        <is>
          <t>Drug Accountability Form_Single_CZ100080003</t>
        </is>
      </c>
      <c r="G575" s="2" t="str">
        <f>HYPERLINK("https://vtmf.veevavault.com/ui/#doc_info/31251456/1/0", "VTMF-25204588")</f>
        <v>VTMF-25204588</v>
      </c>
      <c r="H575" s="3" t="inlineStr">
        <is>
          <t/>
        </is>
      </c>
      <c r="I575" s="3" t="inlineStr">
        <is>
          <t>System</t>
        </is>
      </c>
      <c r="J575" s="3" t="inlineStr">
        <is>
          <t>Bela Lukavcová</t>
        </is>
      </c>
      <c r="K575" s="4" t="n">
        <v>46104.47981481482</v>
      </c>
      <c r="L575" s="5" t="n">
        <v>46104.0</v>
      </c>
      <c r="M575" s="3" t="inlineStr">
        <is>
          <t>Approved</t>
        </is>
      </c>
      <c r="N575" s="3" t="inlineStr">
        <is>
          <t>Site Close</t>
        </is>
      </c>
      <c r="O575" s="3" t="inlineStr">
        <is>
          <t>Czech Republic</t>
        </is>
      </c>
      <c r="P575" s="3" t="inlineStr">
        <is>
          <t>Z92-CZ10008</t>
        </is>
      </c>
      <c r="Q575" s="3" t="inlineStr">
        <is>
          <t>77242113UCO2001</t>
        </is>
      </c>
    </row>
    <row r="576">
      <c r="A576" s="2" t="str">
        <f>HYPERLINK("https://vtmf.veevavault.com/ui/#doc_info/24275182/1/0", "77242113UCO2001-CZE-Z92-CZ10008-Feasibility Documentation-16 Jun 2023 (v1.0)")</f>
        <v>77242113UCO2001-CZE-Z92-CZ10008-Feasibility Documentation-16 Jun 2023 (v1.0)</v>
      </c>
      <c r="B576" s="3" t="inlineStr">
        <is>
          <t>Vladimir Buzalka</t>
        </is>
      </c>
      <c r="C576" s="3" t="inlineStr">
        <is>
          <t>Site Management</t>
        </is>
      </c>
      <c r="D576" s="3" t="inlineStr">
        <is>
          <t>Site Selection</t>
        </is>
      </c>
      <c r="E576" s="3" t="inlineStr">
        <is>
          <t>Feasibility Documentation</t>
        </is>
      </c>
      <c r="F576" s="3" t="inlineStr">
        <is>
          <t>Site selection notification 16JUN2023</t>
        </is>
      </c>
      <c r="G576" s="2" t="str">
        <f>HYPERLINK("https://vtmf.veevavault.com/ui/#doc_info/24275182/1/0", "VTMF-19271090")</f>
        <v>VTMF-19271090</v>
      </c>
      <c r="H576" s="3" t="inlineStr">
        <is>
          <t/>
        </is>
      </c>
      <c r="I576" s="3" t="inlineStr">
        <is>
          <t>Anthony Suarez (veeva.com)</t>
        </is>
      </c>
      <c r="J576" s="3" t="inlineStr">
        <is>
          <t>Vladimir Buzalka</t>
        </is>
      </c>
      <c r="K576" s="4" t="n">
        <v>45093.409837962965</v>
      </c>
      <c r="L576" s="5" t="n">
        <v>45093.0</v>
      </c>
      <c r="M576" s="3" t="inlineStr">
        <is>
          <t>Approved</t>
        </is>
      </c>
      <c r="N576" s="3" t="inlineStr">
        <is>
          <t>Available for Distribution, CLIX Filing, Site Close</t>
        </is>
      </c>
      <c r="O576" s="3" t="inlineStr">
        <is>
          <t>Czech Republic</t>
        </is>
      </c>
      <c r="P576" s="3" t="inlineStr">
        <is>
          <t>Z92-CZ10008</t>
        </is>
      </c>
      <c r="Q576" s="3" t="inlineStr">
        <is>
          <t>77242113UCO2001</t>
        </is>
      </c>
    </row>
    <row r="577">
      <c r="A577" s="2" t="str">
        <f>HYPERLINK("https://vtmf.veevavault.com/ui/#doc_info/31187772/1/0", "77242113UCO2001-CZE-Z92-CZ10008-Final Trial Close Out Monitoring Report-10 Mar 2026 (v1.0)")</f>
        <v>77242113UCO2001-CZE-Z92-CZ10008-Final Trial Close Out Monitoring Report-10 Mar 2026 (v1.0)</v>
      </c>
      <c r="B577" s="3" t="inlineStr">
        <is>
          <t>Admin User Medidata</t>
        </is>
      </c>
      <c r="C577" s="3" t="inlineStr">
        <is>
          <t>Site Management</t>
        </is>
      </c>
      <c r="D577" s="3" t="inlineStr">
        <is>
          <t>Site Management</t>
        </is>
      </c>
      <c r="E577" s="3" t="inlineStr">
        <is>
          <t>Final Trial Close Out Monitoring Report</t>
        </is>
      </c>
      <c r="F577" s="3" t="inlineStr">
        <is>
          <t/>
        </is>
      </c>
      <c r="G577" s="2" t="str">
        <f>HYPERLINK("https://vtmf.veevavault.com/ui/#doc_info/31187772/1/0", "VTMF-25147819")</f>
        <v>VTMF-25147819</v>
      </c>
      <c r="H577" s="3" t="inlineStr">
        <is>
          <t/>
        </is>
      </c>
      <c r="I577" s="3" t="inlineStr">
        <is>
          <t>System</t>
        </is>
      </c>
      <c r="J577" s="3" t="inlineStr">
        <is>
          <t>Admin User Medidata</t>
        </is>
      </c>
      <c r="K577" s="4" t="n">
        <v>46097.47636574074</v>
      </c>
      <c r="L577" s="5" t="n">
        <v>46097.0</v>
      </c>
      <c r="M577" s="3" t="inlineStr">
        <is>
          <t>Approved</t>
        </is>
      </c>
      <c r="N577" s="3" t="inlineStr">
        <is>
          <t>Site Close</t>
        </is>
      </c>
      <c r="O577" s="3" t="inlineStr">
        <is>
          <t>Czech Republic</t>
        </is>
      </c>
      <c r="P577" s="3" t="inlineStr">
        <is>
          <t>Z92-CZ10008</t>
        </is>
      </c>
      <c r="Q577" s="3" t="inlineStr">
        <is>
          <t>77242113UCO2001</t>
        </is>
      </c>
    </row>
    <row r="578">
      <c r="A578" s="2" t="str">
        <f>HYPERLINK("https://vtmf.veevavault.com/ui/#doc_info/24104018/1/0", "77242113UCO2001-CZE-Z92-CZ10008-Financial Disclosure Form-23 Jan 2024 (v1.0)")</f>
        <v>77242113UCO2001-CZE-Z92-CZ10008-Financial Disclosure Form-23 Jan 2024 (v1.0)</v>
      </c>
      <c r="B578" s="3" t="inlineStr">
        <is>
          <t>EDL Admin</t>
        </is>
      </c>
      <c r="C578" s="3" t="inlineStr">
        <is>
          <t>Site Management</t>
        </is>
      </c>
      <c r="D578" s="3" t="inlineStr">
        <is>
          <t>Site Set-up Documentation</t>
        </is>
      </c>
      <c r="E578" s="3" t="inlineStr">
        <is>
          <t>Financial Disclosure Form</t>
        </is>
      </c>
      <c r="F578" s="3" t="inlineStr">
        <is>
          <t>IFDF_SI Machytka Petr_initial_23Jan24</t>
        </is>
      </c>
      <c r="G578" s="2" t="str">
        <f>HYPERLINK("https://vtmf.veevavault.com/ui/#doc_info/24104018/1/0", "VTMF-19118642")</f>
        <v>VTMF-19118642</v>
      </c>
      <c r="H578" s="3" t="inlineStr">
        <is>
          <t/>
        </is>
      </c>
      <c r="I578" s="3" t="inlineStr">
        <is>
          <t>Anthony Suarez (veeva.com)</t>
        </is>
      </c>
      <c r="J578" s="3" t="inlineStr">
        <is>
          <t>Lenka Placha</t>
        </is>
      </c>
      <c r="K578" s="4" t="n">
        <v>45322.364699074074</v>
      </c>
      <c r="L578" s="5" t="n">
        <v>45322.0</v>
      </c>
      <c r="M578" s="3" t="inlineStr">
        <is>
          <t>Approved</t>
        </is>
      </c>
      <c r="N578" s="3" t="inlineStr">
        <is>
          <t>Available for Distribution, IP Release, Ready for TMF Lock, Site Start</t>
        </is>
      </c>
      <c r="O578" s="3" t="inlineStr">
        <is>
          <t>Czech Republic</t>
        </is>
      </c>
      <c r="P578" s="3" t="inlineStr">
        <is>
          <t>Z92-CZ10008</t>
        </is>
      </c>
      <c r="Q578" s="3" t="inlineStr">
        <is>
          <t>77242113UCO2001</t>
        </is>
      </c>
    </row>
    <row r="579">
      <c r="A579" s="2" t="str">
        <f>HYPERLINK("https://vtmf.veevavault.com/ui/#doc_info/25611959/1/0", "77242113UCO2001-CZE-Z92-CZ10008-Financial Disclosure Form-23 Jan 2024 (v1.0)")</f>
        <v>77242113UCO2001-CZE-Z92-CZ10008-Financial Disclosure Form-23 Jan 2024 (v1.0)</v>
      </c>
      <c r="B579" s="3" t="inlineStr">
        <is>
          <t>Lenka Placha</t>
        </is>
      </c>
      <c r="C579" s="3" t="inlineStr">
        <is>
          <t>Site Management</t>
        </is>
      </c>
      <c r="D579" s="3" t="inlineStr">
        <is>
          <t>Site Set-up Documentation</t>
        </is>
      </c>
      <c r="E579" s="3" t="inlineStr">
        <is>
          <t>Financial Disclosure Form</t>
        </is>
      </c>
      <c r="F579" s="3" t="inlineStr">
        <is>
          <t>IFDF_SI Novakova Marie_initial_23Jan24</t>
        </is>
      </c>
      <c r="G579" s="2" t="str">
        <f>HYPERLINK("https://vtmf.veevavault.com/ui/#doc_info/25611959/1/0", "VTMF-20437212")</f>
        <v>VTMF-20437212</v>
      </c>
      <c r="H579" s="3" t="inlineStr">
        <is>
          <t/>
        </is>
      </c>
      <c r="I579" s="3" t="inlineStr">
        <is>
          <t>Anthony Suarez (veeva.com)</t>
        </is>
      </c>
      <c r="J579" s="3" t="inlineStr">
        <is>
          <t>Lenka Placha</t>
        </is>
      </c>
      <c r="K579" s="4" t="n">
        <v>45322.369733796295</v>
      </c>
      <c r="L579" s="5" t="n">
        <v>45322.0</v>
      </c>
      <c r="M579" s="3" t="inlineStr">
        <is>
          <t>Approved</t>
        </is>
      </c>
      <c r="N579" s="3" t="inlineStr">
        <is>
          <t>Available for Distribution, IP Release, Ready for TMF Lock, Site Start</t>
        </is>
      </c>
      <c r="O579" s="3" t="inlineStr">
        <is>
          <t>Czech Republic</t>
        </is>
      </c>
      <c r="P579" s="3" t="inlineStr">
        <is>
          <t>Z92-CZ10008</t>
        </is>
      </c>
      <c r="Q579" s="3" t="inlineStr">
        <is>
          <t>77242113UCO2001</t>
        </is>
      </c>
    </row>
    <row r="580">
      <c r="A580" s="2" t="str">
        <f>HYPERLINK("https://vtmf.veevavault.com/ui/#doc_info/25611960/1/0", "77242113UCO2001-CZE-Z92-CZ10008-Financial Disclosure Form-23 Jan 2024 (v1.0)")</f>
        <v>77242113UCO2001-CZE-Z92-CZ10008-Financial Disclosure Form-23 Jan 2024 (v1.0)</v>
      </c>
      <c r="B580" s="3" t="inlineStr">
        <is>
          <t>Lenka Placha</t>
        </is>
      </c>
      <c r="C580" s="3" t="inlineStr">
        <is>
          <t>Site Management</t>
        </is>
      </c>
      <c r="D580" s="3" t="inlineStr">
        <is>
          <t>Site Set-up Documentation</t>
        </is>
      </c>
      <c r="E580" s="3" t="inlineStr">
        <is>
          <t>Financial Disclosure Form</t>
        </is>
      </c>
      <c r="F580" s="3" t="inlineStr">
        <is>
          <t>IFDF_SI Rucklova Ivana_initial_23Jan24</t>
        </is>
      </c>
      <c r="G580" s="2" t="str">
        <f>HYPERLINK("https://vtmf.veevavault.com/ui/#doc_info/25611960/1/0", "VTMF-20437213")</f>
        <v>VTMF-20437213</v>
      </c>
      <c r="H580" s="3" t="inlineStr">
        <is>
          <t/>
        </is>
      </c>
      <c r="I580" s="3" t="inlineStr">
        <is>
          <t>Anthony Suarez (veeva.com)</t>
        </is>
      </c>
      <c r="J580" s="3" t="inlineStr">
        <is>
          <t>Lenka Placha</t>
        </is>
      </c>
      <c r="K580" s="4" t="n">
        <v>45322.369733796295</v>
      </c>
      <c r="L580" s="5" t="n">
        <v>45322.0</v>
      </c>
      <c r="M580" s="3" t="inlineStr">
        <is>
          <t>Approved</t>
        </is>
      </c>
      <c r="N580" s="3" t="inlineStr">
        <is>
          <t>Available for Distribution, IP Release, Ready for TMF Lock, Site Start</t>
        </is>
      </c>
      <c r="O580" s="3" t="inlineStr">
        <is>
          <t>Czech Republic</t>
        </is>
      </c>
      <c r="P580" s="3" t="inlineStr">
        <is>
          <t>Z92-CZ10008</t>
        </is>
      </c>
      <c r="Q580" s="3" t="inlineStr">
        <is>
          <t>77242113UCO2001</t>
        </is>
      </c>
    </row>
    <row r="581">
      <c r="A581" s="2" t="str">
        <f>HYPERLINK("https://vtmf.veevavault.com/ui/#doc_info/25611961/1/0", "77242113UCO2001-CZE-Z92-CZ10008-Financial Disclosure Form-23 Jan 2024 (v1.0)")</f>
        <v>77242113UCO2001-CZE-Z92-CZ10008-Financial Disclosure Form-23 Jan 2024 (v1.0)</v>
      </c>
      <c r="B581" s="3" t="inlineStr">
        <is>
          <t>Lenka Placha</t>
        </is>
      </c>
      <c r="C581" s="3" t="inlineStr">
        <is>
          <t>Site Management</t>
        </is>
      </c>
      <c r="D581" s="3" t="inlineStr">
        <is>
          <t>Site Set-up Documentation</t>
        </is>
      </c>
      <c r="E581" s="3" t="inlineStr">
        <is>
          <t>Financial Disclosure Form</t>
        </is>
      </c>
      <c r="F581" s="3" t="inlineStr">
        <is>
          <t>IFDF_SI Stepanek Vaclav_initial_23Jan24</t>
        </is>
      </c>
      <c r="G581" s="2" t="str">
        <f>HYPERLINK("https://vtmf.veevavault.com/ui/#doc_info/25611961/1/0", "VTMF-20437214")</f>
        <v>VTMF-20437214</v>
      </c>
      <c r="H581" s="3" t="inlineStr">
        <is>
          <t/>
        </is>
      </c>
      <c r="I581" s="3" t="inlineStr">
        <is>
          <t>Anthony Suarez (veeva.com)</t>
        </is>
      </c>
      <c r="J581" s="3" t="inlineStr">
        <is>
          <t>Lenka Placha</t>
        </is>
      </c>
      <c r="K581" s="4" t="n">
        <v>45322.369733796295</v>
      </c>
      <c r="L581" s="5" t="n">
        <v>45322.0</v>
      </c>
      <c r="M581" s="3" t="inlineStr">
        <is>
          <t>Approved</t>
        </is>
      </c>
      <c r="N581" s="3" t="inlineStr">
        <is>
          <t>Available for Distribution, IP Release, Ready for TMF Lock, Site Start</t>
        </is>
      </c>
      <c r="O581" s="3" t="inlineStr">
        <is>
          <t>Czech Republic</t>
        </is>
      </c>
      <c r="P581" s="3" t="inlineStr">
        <is>
          <t>Z92-CZ10008</t>
        </is>
      </c>
      <c r="Q581" s="3" t="inlineStr">
        <is>
          <t>77242113UCO2001</t>
        </is>
      </c>
    </row>
    <row r="582">
      <c r="A582" s="2" t="str">
        <f>HYPERLINK("https://vtmf.veevavault.com/ui/#doc_info/26048459/1/0", "77242113UCO2001-CZE-Z92-CZ10008-Financial Disclosure Form-24 Jan 2024 (v1.0)")</f>
        <v>77242113UCO2001-CZE-Z92-CZ10008-Financial Disclosure Form-24 Jan 2024 (v1.0)</v>
      </c>
      <c r="B582" s="3" t="inlineStr">
        <is>
          <t>Lenka Placha</t>
        </is>
      </c>
      <c r="C582" s="3" t="inlineStr">
        <is>
          <t>Site Management</t>
        </is>
      </c>
      <c r="D582" s="3" t="inlineStr">
        <is>
          <t>Site Set-up Documentation</t>
        </is>
      </c>
      <c r="E582" s="3" t="inlineStr">
        <is>
          <t>Financial Disclosure Form</t>
        </is>
      </c>
      <c r="F582" s="3" t="inlineStr">
        <is>
          <t>IFDF_SI Krlinova Ivana_initial_24Jan24</t>
        </is>
      </c>
      <c r="G582" s="2" t="str">
        <f>HYPERLINK("https://vtmf.veevavault.com/ui/#doc_info/26048459/1/0", "VTMF-20822623")</f>
        <v>VTMF-20822623</v>
      </c>
      <c r="H582" s="3" t="inlineStr">
        <is>
          <t/>
        </is>
      </c>
      <c r="I582" s="3" t="inlineStr">
        <is>
          <t>Anthony Suarez (veeva.com)</t>
        </is>
      </c>
      <c r="J582" s="3" t="inlineStr">
        <is>
          <t>Lenka Placha</t>
        </is>
      </c>
      <c r="K582" s="4" t="n">
        <v>45384.67556712963</v>
      </c>
      <c r="L582" s="5" t="n">
        <v>45384.0</v>
      </c>
      <c r="M582" s="3" t="inlineStr">
        <is>
          <t>Approved</t>
        </is>
      </c>
      <c r="N582" s="3" t="inlineStr">
        <is>
          <t>Available for Distribution, IP Release, Ready for TMF Lock, Site Start</t>
        </is>
      </c>
      <c r="O582" s="3" t="inlineStr">
        <is>
          <t>Czech Republic</t>
        </is>
      </c>
      <c r="P582" s="3" t="inlineStr">
        <is>
          <t>Z92-CZ10008</t>
        </is>
      </c>
      <c r="Q582" s="3" t="inlineStr">
        <is>
          <t>77242113UCO2001</t>
        </is>
      </c>
    </row>
    <row r="583">
      <c r="A583" s="2" t="str">
        <f>HYPERLINK("https://vtmf.veevavault.com/ui/#doc_info/25613550/2/0", "77242113UCO2001-CZE-Z92-CZ10008-Form FDA1572-21 Feb 2024 (v2.0)")</f>
        <v>77242113UCO2001-CZE-Z92-CZ10008-Form FDA1572-21 Feb 2024 (v2.0)</v>
      </c>
      <c r="B583" s="3" t="inlineStr">
        <is>
          <t>Lenka Placha</t>
        </is>
      </c>
      <c r="C583" s="3" t="inlineStr">
        <is>
          <t>Site Management</t>
        </is>
      </c>
      <c r="D583" s="3" t="inlineStr">
        <is>
          <t>Site Set-up Documentation</t>
        </is>
      </c>
      <c r="E583" s="3" t="inlineStr">
        <is>
          <t>Form FDA1572</t>
        </is>
      </c>
      <c r="F583" s="3" t="inlineStr">
        <is>
          <t>FDA 1572_Bortlik Martin_initial_22Jan24_not signed_update 21Feb24</t>
        </is>
      </c>
      <c r="G583" s="2" t="str">
        <f>HYPERLINK("https://vtmf.veevavault.com/ui/#doc_info/25613550/2/0", "VTMF-20438525")</f>
        <v>VTMF-20438525</v>
      </c>
      <c r="H583" s="3" t="inlineStr">
        <is>
          <t/>
        </is>
      </c>
      <c r="I583" s="3" t="inlineStr">
        <is>
          <t>Anthony Suarez (veeva.com)</t>
        </is>
      </c>
      <c r="J583" s="3" t="inlineStr">
        <is>
          <t>Lenka Placha</t>
        </is>
      </c>
      <c r="K583" s="4" t="n">
        <v>45343.97457175926</v>
      </c>
      <c r="L583" s="5" t="n">
        <v>45343.0</v>
      </c>
      <c r="M583" s="3" t="inlineStr">
        <is>
          <t>Approved</t>
        </is>
      </c>
      <c r="N583" s="3" t="inlineStr">
        <is>
          <t>Available for Distribution, CLIX Filing, Site Close</t>
        </is>
      </c>
      <c r="O583" s="3" t="inlineStr">
        <is>
          <t>Czech Republic</t>
        </is>
      </c>
      <c r="P583" s="3" t="inlineStr">
        <is>
          <t>Z92-CZ10008</t>
        </is>
      </c>
      <c r="Q583" s="3" t="inlineStr">
        <is>
          <t>77242113UCO2001</t>
        </is>
      </c>
    </row>
    <row r="584">
      <c r="A584" s="2" t="str">
        <f>HYPERLINK("https://vtmf.veevavault.com/ui/#doc_info/29925503/1/0", "77242113UCO2001-CZE-Z92-CZ10008-Handover Document/Transition Checklist-10 Sep 2025 (v1.0)")</f>
        <v>77242113UCO2001-CZE-Z92-CZ10008-Handover Document/Transition Checklist-10 Sep 2025 (v1.0)</v>
      </c>
      <c r="B584" s="3" t="inlineStr">
        <is>
          <t>Lenka Placha</t>
        </is>
      </c>
      <c r="C584" s="3" t="inlineStr">
        <is>
          <t>Trial Management</t>
        </is>
      </c>
      <c r="D584" s="3" t="inlineStr">
        <is>
          <t>Trial Team</t>
        </is>
      </c>
      <c r="E584" s="3" t="inlineStr">
        <is>
          <t>Handover Document/Transition Checklist</t>
        </is>
      </c>
      <c r="F584" s="3" t="inlineStr">
        <is>
          <t>handover_77242113UCO2001_ site Z92-CZ10008_ Placha Lenka_Ruiz Kajtarova Agnesa _10Sep25</t>
        </is>
      </c>
      <c r="G584" s="2" t="str">
        <f>HYPERLINK("https://vtmf.veevavault.com/ui/#doc_info/29925503/1/0", "VTMF-24089442")</f>
        <v>VTMF-24089442</v>
      </c>
      <c r="H584" s="3" t="inlineStr">
        <is>
          <t/>
        </is>
      </c>
      <c r="I584" s="3" t="inlineStr">
        <is>
          <t>System</t>
        </is>
      </c>
      <c r="J584" s="3" t="inlineStr">
        <is>
          <t>Lenka Placha</t>
        </is>
      </c>
      <c r="K584" s="4" t="n">
        <v>45910.558958333335</v>
      </c>
      <c r="L584" s="5" t="n">
        <v>45910.0</v>
      </c>
      <c r="M584" s="3" t="inlineStr">
        <is>
          <t>Approved</t>
        </is>
      </c>
      <c r="N584" s="3" t="inlineStr">
        <is>
          <t>Not associated to a milestone</t>
        </is>
      </c>
      <c r="O584" s="3" t="inlineStr">
        <is>
          <t>Czech Republic</t>
        </is>
      </c>
      <c r="P584" s="3" t="inlineStr">
        <is>
          <t>Z92-CZ10008</t>
        </is>
      </c>
      <c r="Q584" s="3" t="inlineStr">
        <is>
          <t>77242113UCO2001</t>
        </is>
      </c>
    </row>
    <row r="585">
      <c r="A585" s="2" t="str">
        <f>HYPERLINK("https://vtmf.veevavault.com/ui/#doc_info/30716036/1/0", "77242113UCO2001-CZE-Z92-CZ10008-IP Destruction Form-03 Oct 2025 (v1.0)")</f>
        <v>77242113UCO2001-CZE-Z92-CZ10008-IP Destruction Form-03 Oct 2025 (v1.0)</v>
      </c>
      <c r="B585" s="3" t="inlineStr">
        <is>
          <t>Jitka Kone</t>
        </is>
      </c>
      <c r="C585" s="3" t="inlineStr">
        <is>
          <t>IP and Trial Supplies</t>
        </is>
      </c>
      <c r="D585" s="3" t="inlineStr">
        <is>
          <t>IP Documentation</t>
        </is>
      </c>
      <c r="E585" s="3" t="inlineStr">
        <is>
          <t>IP Destruction Form</t>
        </is>
      </c>
      <c r="F585" s="3" t="inlineStr">
        <is>
          <t>Destruction form_CZ-DESTR-075-2025</t>
        </is>
      </c>
      <c r="G585" s="2" t="str">
        <f>HYPERLINK("https://vtmf.veevavault.com/ui/#doc_info/30716036/1/0", "VTMF-24750641")</f>
        <v>VTMF-24750641</v>
      </c>
      <c r="H585" s="3" t="inlineStr">
        <is>
          <t/>
        </is>
      </c>
      <c r="I585" s="3" t="inlineStr">
        <is>
          <t>System</t>
        </is>
      </c>
      <c r="J585" s="3" t="inlineStr">
        <is>
          <t>Jitka Kone</t>
        </is>
      </c>
      <c r="K585" s="4" t="n">
        <v>46027.60741898148</v>
      </c>
      <c r="L585" s="5" t="n">
        <v>46027.0</v>
      </c>
      <c r="M585" s="3" t="inlineStr">
        <is>
          <t>Approved</t>
        </is>
      </c>
      <c r="N585" s="3" t="inlineStr">
        <is>
          <t>Available for Distribution, CLIX Filing, Country Close, Site Close</t>
        </is>
      </c>
      <c r="O585" s="3" t="inlineStr">
        <is>
          <t>Czech Republic</t>
        </is>
      </c>
      <c r="P585" s="3" t="inlineStr">
        <is>
          <t>Z92-CZ10008</t>
        </is>
      </c>
      <c r="Q585" s="3" t="inlineStr">
        <is>
          <t>77242113UCO2001</t>
        </is>
      </c>
    </row>
    <row r="586">
      <c r="A586" s="2" t="str">
        <f>HYPERLINK("https://vtmf.veevavault.com/ui/#doc_info/27442731/1/0", "77242113UCO2001-CZE-Z92-CZ10008-IP Destruction Form-25 Sep 2024 (v1.0)")</f>
        <v>77242113UCO2001-CZE-Z92-CZ10008-IP Destruction Form-25 Sep 2024 (v1.0)</v>
      </c>
      <c r="B586" s="3" t="inlineStr">
        <is>
          <t>Jana Seemanova</t>
        </is>
      </c>
      <c r="C586" s="3" t="inlineStr">
        <is>
          <t>IP and Trial Supplies</t>
        </is>
      </c>
      <c r="D586" s="3" t="inlineStr">
        <is>
          <t>IP Documentation</t>
        </is>
      </c>
      <c r="E586" s="3" t="inlineStr">
        <is>
          <t>IP Destruction Form</t>
        </is>
      </c>
      <c r="F586" s="3" t="inlineStr">
        <is>
          <t>Desctruction log_CZ-DESTR-084-2024</t>
        </is>
      </c>
      <c r="G586" s="2" t="str">
        <f>HYPERLINK("https://vtmf.veevavault.com/ui/#doc_info/27442731/1/0", "VTMF-22008269")</f>
        <v>VTMF-22008269</v>
      </c>
      <c r="H586" s="3" t="inlineStr">
        <is>
          <t/>
        </is>
      </c>
      <c r="I586" s="3" t="inlineStr">
        <is>
          <t>Anthony Suarez (veeva.com)</t>
        </is>
      </c>
      <c r="J586" s="3" t="inlineStr">
        <is>
          <t>Jana Seemanova</t>
        </is>
      </c>
      <c r="K586" s="4" t="n">
        <v>45603.670219907406</v>
      </c>
      <c r="L586" s="5" t="n">
        <v>45603.0</v>
      </c>
      <c r="M586" s="3" t="inlineStr">
        <is>
          <t>Approved</t>
        </is>
      </c>
      <c r="N586" s="3" t="inlineStr">
        <is>
          <t>Available for Distribution, CLIX Filing, Country Close, Site Close</t>
        </is>
      </c>
      <c r="O586" s="3" t="inlineStr">
        <is>
          <t>Czech Republic</t>
        </is>
      </c>
      <c r="P586" s="3" t="inlineStr">
        <is>
          <t>Z92-CZ10008</t>
        </is>
      </c>
      <c r="Q586" s="3" t="inlineStr">
        <is>
          <t>77242113UCO2001</t>
        </is>
      </c>
    </row>
    <row r="587">
      <c r="A587" s="2" t="str">
        <f>HYPERLINK("https://vtmf.veevavault.com/ui/#doc_info/28312070/1/0", "77242113UCO2001-CZE-Z92-CZ10008-IP Destruction Form-29 Jan 2025 (v1.0)")</f>
        <v>77242113UCO2001-CZE-Z92-CZ10008-IP Destruction Form-29 Jan 2025 (v1.0)</v>
      </c>
      <c r="B587" s="3" t="inlineStr">
        <is>
          <t>Jitka Kone</t>
        </is>
      </c>
      <c r="C587" s="3" t="inlineStr">
        <is>
          <t>IP and Trial Supplies</t>
        </is>
      </c>
      <c r="D587" s="3" t="inlineStr">
        <is>
          <t>IP Documentation</t>
        </is>
      </c>
      <c r="E587" s="3" t="inlineStr">
        <is>
          <t>IP Destruction Form</t>
        </is>
      </c>
      <c r="F587" s="3" t="inlineStr">
        <is>
          <t>Destruction log CZ-DESTR-005/2025</t>
        </is>
      </c>
      <c r="G587" s="2" t="str">
        <f>HYPERLINK("https://vtmf.veevavault.com/ui/#doc_info/28312070/1/0", "VTMF-22712994")</f>
        <v>VTMF-22712994</v>
      </c>
      <c r="H587" s="3" t="inlineStr">
        <is>
          <t/>
        </is>
      </c>
      <c r="I587" s="3" t="inlineStr">
        <is>
          <t>System</t>
        </is>
      </c>
      <c r="J587" s="3" t="inlineStr">
        <is>
          <t>Jitka Kone</t>
        </is>
      </c>
      <c r="K587" s="4" t="n">
        <v>45705.60527777778</v>
      </c>
      <c r="L587" s="5" t="n">
        <v>45705.0</v>
      </c>
      <c r="M587" s="3" t="inlineStr">
        <is>
          <t>Approved</t>
        </is>
      </c>
      <c r="N587" s="3" t="inlineStr">
        <is>
          <t>Available for Distribution, CLIX Filing, Country Close, Site Close</t>
        </is>
      </c>
      <c r="O587" s="3" t="inlineStr">
        <is>
          <t>Czech Republic</t>
        </is>
      </c>
      <c r="P587" s="3" t="inlineStr">
        <is>
          <t>Z92-CZ10008</t>
        </is>
      </c>
      <c r="Q587" s="3" t="inlineStr">
        <is>
          <t>77242113UCO2001</t>
        </is>
      </c>
    </row>
    <row r="588">
      <c r="A588" s="2" t="str">
        <f>HYPERLINK("https://vtmf.veevavault.com/ui/#doc_info/25613875/1/0", "77242113UCO2001-CZE-Z92-CZ10008-IP Site Release Documentation-31 Jan 2024 (v1.0)")</f>
        <v>77242113UCO2001-CZE-Z92-CZ10008-IP Site Release Documentation-31 Jan 2024 (v1.0)</v>
      </c>
      <c r="B588" s="3" t="inlineStr">
        <is>
          <t>Lenka Placha</t>
        </is>
      </c>
      <c r="C588" s="3" t="inlineStr">
        <is>
          <t>Site Management</t>
        </is>
      </c>
      <c r="D588" s="3" t="inlineStr">
        <is>
          <t>Site Set-up Documentation</t>
        </is>
      </c>
      <c r="E588" s="3" t="inlineStr">
        <is>
          <t>IP Site Release Documentation</t>
        </is>
      </c>
      <c r="F588" s="3" t="inlineStr">
        <is>
          <t>IP shipment approval form_site Z92-CZ10008_31Jan2024</t>
        </is>
      </c>
      <c r="G588" s="2" t="str">
        <f>HYPERLINK("https://vtmf.veevavault.com/ui/#doc_info/25613875/1/0", "VTMF-20438799")</f>
        <v>VTMF-20438799</v>
      </c>
      <c r="H588" s="3" t="inlineStr">
        <is>
          <t/>
        </is>
      </c>
      <c r="I588" s="3" t="inlineStr">
        <is>
          <t>Anthony Suarez (veeva.com)</t>
        </is>
      </c>
      <c r="J588" s="3" t="inlineStr">
        <is>
          <t>Lenka Placha</t>
        </is>
      </c>
      <c r="K588" s="4" t="n">
        <v>45322.52546296296</v>
      </c>
      <c r="L588" s="5" t="n">
        <v>45322.0</v>
      </c>
      <c r="M588" s="3" t="inlineStr">
        <is>
          <t>Approved</t>
        </is>
      </c>
      <c r="N588" s="3" t="inlineStr">
        <is>
          <t>Available for Distribution, Site Start</t>
        </is>
      </c>
      <c r="O588" s="3" t="inlineStr">
        <is>
          <t>Czech Republic</t>
        </is>
      </c>
      <c r="P588" s="3" t="inlineStr">
        <is>
          <t>Z92-CZ10008</t>
        </is>
      </c>
      <c r="Q588" s="3" t="inlineStr">
        <is>
          <t>77242113UCO2001</t>
        </is>
      </c>
    </row>
    <row r="589">
      <c r="A589" s="2" t="str">
        <f>HYPERLINK("https://vtmf.veevavault.com/ui/#doc_info/25613759/1/0", "77242113UCO2001-CZE-Z92-CZ10008-IRB/IEC Composition-31 Jan 2024 (v1.0)")</f>
        <v>77242113UCO2001-CZE-Z92-CZ10008-IRB/IEC Composition-31 Jan 2024 (v1.0)</v>
      </c>
      <c r="B589" s="3" t="inlineStr">
        <is>
          <t>Lenka Placha</t>
        </is>
      </c>
      <c r="C589" s="3" t="inlineStr">
        <is>
          <t>IRB/IEC and other Approvals</t>
        </is>
      </c>
      <c r="D589" s="3" t="inlineStr">
        <is>
          <t>IRB/IEC Trial Approval</t>
        </is>
      </c>
      <c r="E589" s="3" t="inlineStr">
        <is>
          <t>IRB/IEC Composition</t>
        </is>
      </c>
      <c r="F589" s="3" t="inlineStr">
        <is>
          <t>NTF-IRB_IEC membership list_site Z92-CZ10008_31Jan24</t>
        </is>
      </c>
      <c r="G589" s="2" t="str">
        <f>HYPERLINK("https://vtmf.veevavault.com/ui/#doc_info/25613759/1/0", "VTMF-20438699")</f>
        <v>VTMF-20438699</v>
      </c>
      <c r="H589" s="3" t="inlineStr">
        <is>
          <t/>
        </is>
      </c>
      <c r="I589" s="3" t="inlineStr">
        <is>
          <t>System</t>
        </is>
      </c>
      <c r="J589" s="3" t="inlineStr">
        <is>
          <t>Lenka Placha</t>
        </is>
      </c>
      <c r="K589" s="4" t="n">
        <v>45322.514398148145</v>
      </c>
      <c r="L589" s="5" t="n">
        <v>45322.0</v>
      </c>
      <c r="M589" s="3" t="inlineStr">
        <is>
          <t>Approved</t>
        </is>
      </c>
      <c r="N589" s="3" t="inlineStr">
        <is>
          <t>Available for Distribution, Country Start, Site Start</t>
        </is>
      </c>
      <c r="O589" s="3" t="inlineStr">
        <is>
          <t>Czech Republic</t>
        </is>
      </c>
      <c r="P589" s="3" t="inlineStr">
        <is>
          <t>Z92-CZ10008</t>
        </is>
      </c>
      <c r="Q589" s="3" t="inlineStr">
        <is>
          <t>77242113UCO2001</t>
        </is>
      </c>
    </row>
    <row r="590">
      <c r="A590" s="2" t="str">
        <f>HYPERLINK("https://vtmf.veevavault.com/ui/#doc_info/25613784/1/0", "77242113UCO2001-CZE-Z92-CZ10008-IRB/IEC Documentation of Non-Voting Status-31 Jan 2024 (v1.0)")</f>
        <v>77242113UCO2001-CZE-Z92-CZ10008-IRB/IEC Documentation of Non-Voting Status-31 Jan 2024 (v1.0)</v>
      </c>
      <c r="B590" s="3" t="inlineStr">
        <is>
          <t>Lenka Placha</t>
        </is>
      </c>
      <c r="C590" s="3" t="inlineStr">
        <is>
          <t>IRB/IEC and other Approvals</t>
        </is>
      </c>
      <c r="D590" s="3" t="inlineStr">
        <is>
          <t>IRB/IEC Trial Approval</t>
        </is>
      </c>
      <c r="E590" s="3" t="inlineStr">
        <is>
          <t>IRB/IEC Documentation of Non-Voting Status</t>
        </is>
      </c>
      <c r="F590" s="3" t="inlineStr">
        <is>
          <t>NTF-IRB-IEC Documentation of Non-Voting Status_site Z92-CZ10008_31Jan24</t>
        </is>
      </c>
      <c r="G590" s="2" t="str">
        <f>HYPERLINK("https://vtmf.veevavault.com/ui/#doc_info/25613784/1/0", "VTMF-20438720")</f>
        <v>VTMF-20438720</v>
      </c>
      <c r="H590" s="3" t="inlineStr">
        <is>
          <t/>
        </is>
      </c>
      <c r="I590" s="3" t="inlineStr">
        <is>
          <t>System</t>
        </is>
      </c>
      <c r="J590" s="3" t="inlineStr">
        <is>
          <t>Lenka Placha</t>
        </is>
      </c>
      <c r="K590" s="4" t="n">
        <v>45322.51725694445</v>
      </c>
      <c r="L590" s="5" t="n">
        <v>45322.0</v>
      </c>
      <c r="M590" s="3" t="inlineStr">
        <is>
          <t>Approved</t>
        </is>
      </c>
      <c r="N590" s="3" t="inlineStr">
        <is>
          <t>Available for Distribution, Country Start, Site Start</t>
        </is>
      </c>
      <c r="O590" s="3" t="inlineStr">
        <is>
          <t>Czech Republic</t>
        </is>
      </c>
      <c r="P590" s="3" t="inlineStr">
        <is>
          <t>Z92-CZ10008</t>
        </is>
      </c>
      <c r="Q590" s="3" t="inlineStr">
        <is>
          <t>77242113UCO2001</t>
        </is>
      </c>
    </row>
    <row r="591">
      <c r="A591" s="2" t="str">
        <f>HYPERLINK("https://vtmf.veevavault.com/ui/#doc_info/25613743/1/0", "77242113UCO2001-CZE-Z92-CZ10008-IRB/IEC GCP Compliance Statement-31 Jan 2024 (v1.0)")</f>
        <v>77242113UCO2001-CZE-Z92-CZ10008-IRB/IEC GCP Compliance Statement-31 Jan 2024 (v1.0)</v>
      </c>
      <c r="B591" s="3" t="inlineStr">
        <is>
          <t>Lenka Placha</t>
        </is>
      </c>
      <c r="C591" s="3" t="inlineStr">
        <is>
          <t>IRB/IEC and other Approvals</t>
        </is>
      </c>
      <c r="D591" s="3" t="inlineStr">
        <is>
          <t>IRB/IEC Trial Approval</t>
        </is>
      </c>
      <c r="E591" s="3" t="inlineStr">
        <is>
          <t>IRB/IEC GCP Compliance Statement</t>
        </is>
      </c>
      <c r="F591" s="3" t="inlineStr">
        <is>
          <t>NTF-IRB_IEC GCP Compliance Statement_site Z92-CZ10008_31Jan24</t>
        </is>
      </c>
      <c r="G591" s="2" t="str">
        <f>HYPERLINK("https://vtmf.veevavault.com/ui/#doc_info/25613743/1/0", "VTMF-20438686")</f>
        <v>VTMF-20438686</v>
      </c>
      <c r="H591" s="3" t="inlineStr">
        <is>
          <t/>
        </is>
      </c>
      <c r="I591" s="3" t="inlineStr">
        <is>
          <t>System</t>
        </is>
      </c>
      <c r="J591" s="3" t="inlineStr">
        <is>
          <t>Lenka Placha</t>
        </is>
      </c>
      <c r="K591" s="4" t="n">
        <v>45322.51290509259</v>
      </c>
      <c r="L591" s="5" t="n">
        <v>45322.0</v>
      </c>
      <c r="M591" s="3" t="inlineStr">
        <is>
          <t>Approved</t>
        </is>
      </c>
      <c r="N591" s="3" t="inlineStr">
        <is>
          <t>Available for Distribution, Country Start, IP Release, Site Start</t>
        </is>
      </c>
      <c r="O591" s="3" t="inlineStr">
        <is>
          <t>Czech Republic</t>
        </is>
      </c>
      <c r="P591" s="3" t="inlineStr">
        <is>
          <t>Z92-CZ10008</t>
        </is>
      </c>
      <c r="Q591" s="3" t="inlineStr">
        <is>
          <t>77242113UCO2001</t>
        </is>
      </c>
    </row>
    <row r="592">
      <c r="A592" s="2" t="str">
        <f>HYPERLINK("https://vtmf.veevavault.com/ui/#doc_info/31279645/1/0", "77242113UCO2001-CZE-Z92-CZ10008-Monitoring Visit Follow-up Letter-SCVR_FL-10 Mar 2026 (v1.0)")</f>
        <v>77242113UCO2001-CZE-Z92-CZ10008-Monitoring Visit Follow-up Letter-SCVR_FL-10 Mar 2026 (v1.0)</v>
      </c>
      <c r="B592" s="3" t="inlineStr">
        <is>
          <t>Admin User Medidata</t>
        </is>
      </c>
      <c r="C592" s="3" t="inlineStr">
        <is>
          <t>Site Management</t>
        </is>
      </c>
      <c r="D592" s="3" t="inlineStr">
        <is>
          <t>Site Management</t>
        </is>
      </c>
      <c r="E592" s="3" t="inlineStr">
        <is>
          <t>Monitoring Visit Follow-up Letter</t>
        </is>
      </c>
      <c r="F592" s="3" t="inlineStr">
        <is>
          <t/>
        </is>
      </c>
      <c r="G592" s="2" t="str">
        <f>HYPERLINK("https://vtmf.veevavault.com/ui/#doc_info/31279645/1/0", "VTMF-25226711")</f>
        <v>VTMF-25226711</v>
      </c>
      <c r="H592" s="3" t="inlineStr">
        <is>
          <t/>
        </is>
      </c>
      <c r="I592" s="3" t="inlineStr">
        <is>
          <t>System</t>
        </is>
      </c>
      <c r="J592" s="3" t="inlineStr">
        <is>
          <t>Admin User Medidata</t>
        </is>
      </c>
      <c r="K592" s="4" t="n">
        <v>46107.64407407407</v>
      </c>
      <c r="L592" s="5" t="n">
        <v>46107.0</v>
      </c>
      <c r="M592" s="3" t="inlineStr">
        <is>
          <t>Approved</t>
        </is>
      </c>
      <c r="N592" s="3" t="inlineStr">
        <is>
          <t>Available for Distribution, CLIX Filing, Not associated to a milestone</t>
        </is>
      </c>
      <c r="O592" s="3" t="inlineStr">
        <is>
          <t>Czech Republic</t>
        </is>
      </c>
      <c r="P592" s="3" t="inlineStr">
        <is>
          <t>Z92-CZ10008</t>
        </is>
      </c>
      <c r="Q592" s="3" t="inlineStr">
        <is>
          <t>77242113UCO2001</t>
        </is>
      </c>
    </row>
    <row r="593">
      <c r="A593" s="2" t="str">
        <f>HYPERLINK("https://vtmf.veevavault.com/ui/#doc_info/25719027/1/0", "77242113UCO2001-CZE-Z92-CZ10008-Monitoring Visit Follow-up Letter-SIVR_FL-24 Jan 2024 (v1.0)")</f>
        <v>77242113UCO2001-CZE-Z92-CZ10008-Monitoring Visit Follow-up Letter-SIVR_FL-24 Jan 2024 (v1.0)</v>
      </c>
      <c r="B593" s="3" t="inlineStr">
        <is>
          <t>Admin User Medidata</t>
        </is>
      </c>
      <c r="C593" s="3" t="inlineStr">
        <is>
          <t>Site Management</t>
        </is>
      </c>
      <c r="D593" s="3" t="inlineStr">
        <is>
          <t>Site Management</t>
        </is>
      </c>
      <c r="E593" s="3" t="inlineStr">
        <is>
          <t>Monitoring Visit Follow-up Letter</t>
        </is>
      </c>
      <c r="F593" s="3" t="inlineStr">
        <is>
          <t/>
        </is>
      </c>
      <c r="G593" s="2" t="str">
        <f>HYPERLINK("https://vtmf.veevavault.com/ui/#doc_info/25719027/1/0", "VTMF-20531999")</f>
        <v>VTMF-20531999</v>
      </c>
      <c r="H593" s="3" t="inlineStr">
        <is>
          <t/>
        </is>
      </c>
      <c r="I593" s="3" t="inlineStr">
        <is>
          <t>System</t>
        </is>
      </c>
      <c r="J593" s="3" t="inlineStr">
        <is>
          <t>Admin User Medidata</t>
        </is>
      </c>
      <c r="K593" s="4" t="n">
        <v>45336.985347222224</v>
      </c>
      <c r="L593" s="5" t="n">
        <v>45336.0</v>
      </c>
      <c r="M593" s="3" t="inlineStr">
        <is>
          <t>Approved</t>
        </is>
      </c>
      <c r="N593" s="3" t="inlineStr">
        <is>
          <t>Available for Distribution, CLIX Filing, Site Close</t>
        </is>
      </c>
      <c r="O593" s="3" t="inlineStr">
        <is>
          <t>Czech Republic</t>
        </is>
      </c>
      <c r="P593" s="3" t="inlineStr">
        <is>
          <t>Z92-CZ10008</t>
        </is>
      </c>
      <c r="Q593" s="3" t="inlineStr">
        <is>
          <t>77242113UCO2001</t>
        </is>
      </c>
    </row>
    <row r="594">
      <c r="A594" s="2" t="str">
        <f>HYPERLINK("https://vtmf.veevavault.com/ui/#doc_info/26182471/1/0", "77242113UCO2001-CZE-Z92-CZ10008-Monitoring Visit Follow-up Letter-SMVR_FL-03 Apr 2024 (v1.0)")</f>
        <v>77242113UCO2001-CZE-Z92-CZ10008-Monitoring Visit Follow-up Letter-SMVR_FL-03 Apr 2024 (v1.0)</v>
      </c>
      <c r="B594" s="3" t="inlineStr">
        <is>
          <t>Admin User Medidata</t>
        </is>
      </c>
      <c r="C594" s="3" t="inlineStr">
        <is>
          <t>Site Management</t>
        </is>
      </c>
      <c r="D594" s="3" t="inlineStr">
        <is>
          <t>Site Management</t>
        </is>
      </c>
      <c r="E594" s="3" t="inlineStr">
        <is>
          <t>Monitoring Visit Follow-up Letter</t>
        </is>
      </c>
      <c r="F594" s="3" t="inlineStr">
        <is>
          <t/>
        </is>
      </c>
      <c r="G594" s="2" t="str">
        <f>HYPERLINK("https://vtmf.veevavault.com/ui/#doc_info/26182471/1/0", "VTMF-20940425")</f>
        <v>VTMF-20940425</v>
      </c>
      <c r="H594" s="3" t="inlineStr">
        <is>
          <t/>
        </is>
      </c>
      <c r="I594" s="3" t="inlineStr">
        <is>
          <t>System</t>
        </is>
      </c>
      <c r="J594" s="3" t="inlineStr">
        <is>
          <t>Admin User Medidata</t>
        </is>
      </c>
      <c r="K594" s="4" t="n">
        <v>45404.891180555554</v>
      </c>
      <c r="L594" s="5" t="n">
        <v>45404.0</v>
      </c>
      <c r="M594" s="3" t="inlineStr">
        <is>
          <t>Approved</t>
        </is>
      </c>
      <c r="N594" s="3" t="inlineStr">
        <is>
          <t>Available for Distribution, CLIX Filing, Site Close</t>
        </is>
      </c>
      <c r="O594" s="3" t="inlineStr">
        <is>
          <t>Czech Republic</t>
        </is>
      </c>
      <c r="P594" s="3" t="inlineStr">
        <is>
          <t>Z92-CZ10008</t>
        </is>
      </c>
      <c r="Q594" s="3" t="inlineStr">
        <is>
          <t>77242113UCO2001</t>
        </is>
      </c>
    </row>
    <row r="595">
      <c r="A595" s="2" t="str">
        <f>HYPERLINK("https://vtmf.veevavault.com/ui/#doc_info/30384799/1/0", "77242113UCO2001-CZE-Z92-CZ10008-Monitoring Visit Follow-up Letter-SMVR_FL-05 Nov 2025 (v1.0)")</f>
        <v>77242113UCO2001-CZE-Z92-CZ10008-Monitoring Visit Follow-up Letter-SMVR_FL-05 Nov 2025 (v1.0)</v>
      </c>
      <c r="B595" s="3" t="inlineStr">
        <is>
          <t>Admin User Medidata</t>
        </is>
      </c>
      <c r="C595" s="3" t="inlineStr">
        <is>
          <t>Site Management</t>
        </is>
      </c>
      <c r="D595" s="3" t="inlineStr">
        <is>
          <t>Site Management</t>
        </is>
      </c>
      <c r="E595" s="3" t="inlineStr">
        <is>
          <t>Monitoring Visit Follow-up Letter</t>
        </is>
      </c>
      <c r="F595" s="3" t="inlineStr">
        <is>
          <t/>
        </is>
      </c>
      <c r="G595" s="2" t="str">
        <f>HYPERLINK("https://vtmf.veevavault.com/ui/#doc_info/30384799/1/0", "VTMF-24473827")</f>
        <v>VTMF-24473827</v>
      </c>
      <c r="H595" s="3" t="inlineStr">
        <is>
          <t/>
        </is>
      </c>
      <c r="I595" s="3" t="inlineStr">
        <is>
          <t>System</t>
        </is>
      </c>
      <c r="J595" s="3" t="inlineStr">
        <is>
          <t>Admin User Medidata</t>
        </is>
      </c>
      <c r="K595" s="4" t="n">
        <v>45975.60016203704</v>
      </c>
      <c r="L595" s="5" t="n">
        <v>45975.0</v>
      </c>
      <c r="M595" s="3" t="inlineStr">
        <is>
          <t>Approved</t>
        </is>
      </c>
      <c r="N595" s="3" t="inlineStr">
        <is>
          <t>Available for Distribution, CLIX Filing, Not associated to a milestone</t>
        </is>
      </c>
      <c r="O595" s="3" t="inlineStr">
        <is>
          <t>Czech Republic</t>
        </is>
      </c>
      <c r="P595" s="3" t="inlineStr">
        <is>
          <t>Z92-CZ10008</t>
        </is>
      </c>
      <c r="Q595" s="3" t="inlineStr">
        <is>
          <t>77242113UCO2001</t>
        </is>
      </c>
    </row>
    <row r="596">
      <c r="A596" s="2" t="str">
        <f>HYPERLINK("https://vtmf.veevavault.com/ui/#doc_info/28166099/1/0", "77242113UCO2001-CZE-Z92-CZ10008-Monitoring Visit Follow-up Letter-SMVR_FL-07 Jan 2025 (v1.0)")</f>
        <v>77242113UCO2001-CZE-Z92-CZ10008-Monitoring Visit Follow-up Letter-SMVR_FL-07 Jan 2025 (v1.0)</v>
      </c>
      <c r="B596" s="3" t="inlineStr">
        <is>
          <t>Admin User Medidata</t>
        </is>
      </c>
      <c r="C596" s="3" t="inlineStr">
        <is>
          <t>Site Management</t>
        </is>
      </c>
      <c r="D596" s="3" t="inlineStr">
        <is>
          <t>Site Management</t>
        </is>
      </c>
      <c r="E596" s="3" t="inlineStr">
        <is>
          <t>Monitoring Visit Follow-up Letter</t>
        </is>
      </c>
      <c r="F596" s="3" t="inlineStr">
        <is>
          <t/>
        </is>
      </c>
      <c r="G596" s="2" t="str">
        <f>HYPERLINK("https://vtmf.veevavault.com/ui/#doc_info/28166099/1/0", "VTMF-22587541")</f>
        <v>VTMF-22587541</v>
      </c>
      <c r="H596" s="3" t="inlineStr">
        <is>
          <t/>
        </is>
      </c>
      <c r="I596" s="3" t="inlineStr">
        <is>
          <t>System</t>
        </is>
      </c>
      <c r="J596" s="3" t="inlineStr">
        <is>
          <t>Admin User Medidata</t>
        </is>
      </c>
      <c r="K596" s="4" t="n">
        <v>45684.85054398148</v>
      </c>
      <c r="L596" s="5" t="n">
        <v>45684.0</v>
      </c>
      <c r="M596" s="3" t="inlineStr">
        <is>
          <t>Approved</t>
        </is>
      </c>
      <c r="N596" s="3" t="inlineStr">
        <is>
          <t>Available for Distribution, CLIX Filing, Not associated to a milestone</t>
        </is>
      </c>
      <c r="O596" s="3" t="inlineStr">
        <is>
          <t>Czech Republic</t>
        </is>
      </c>
      <c r="P596" s="3" t="inlineStr">
        <is>
          <t>Z92-CZ10008</t>
        </is>
      </c>
      <c r="Q596" s="3" t="inlineStr">
        <is>
          <t>77242113UCO2001</t>
        </is>
      </c>
    </row>
    <row r="597">
      <c r="A597" s="2" t="str">
        <f>HYPERLINK("https://vtmf.veevavault.com/ui/#doc_info/29566086/1/0", "77242113UCO2001-CZE-Z92-CZ10008-Monitoring Visit Follow-up Letter-SMVR_FL-08 Jul 2025 (v1.0)")</f>
        <v>77242113UCO2001-CZE-Z92-CZ10008-Monitoring Visit Follow-up Letter-SMVR_FL-08 Jul 2025 (v1.0)</v>
      </c>
      <c r="B597" s="3" t="inlineStr">
        <is>
          <t>Admin User Medidata</t>
        </is>
      </c>
      <c r="C597" s="3" t="inlineStr">
        <is>
          <t>Site Management</t>
        </is>
      </c>
      <c r="D597" s="3" t="inlineStr">
        <is>
          <t>Site Management</t>
        </is>
      </c>
      <c r="E597" s="3" t="inlineStr">
        <is>
          <t>Monitoring Visit Follow-up Letter</t>
        </is>
      </c>
      <c r="F597" s="3" t="inlineStr">
        <is>
          <t/>
        </is>
      </c>
      <c r="G597" s="2" t="str">
        <f>HYPERLINK("https://vtmf.veevavault.com/ui/#doc_info/29566086/1/0", "VTMF-23781424")</f>
        <v>VTMF-23781424</v>
      </c>
      <c r="H597" s="3" t="inlineStr">
        <is>
          <t/>
        </is>
      </c>
      <c r="I597" s="3" t="inlineStr">
        <is>
          <t>System</t>
        </is>
      </c>
      <c r="J597" s="3" t="inlineStr">
        <is>
          <t>Admin User Medidata</t>
        </is>
      </c>
      <c r="K597" s="4" t="n">
        <v>45854.51582175926</v>
      </c>
      <c r="L597" s="5" t="n">
        <v>45854.0</v>
      </c>
      <c r="M597" s="3" t="inlineStr">
        <is>
          <t>Approved</t>
        </is>
      </c>
      <c r="N597" s="3" t="inlineStr">
        <is>
          <t>Available for Distribution, CLIX Filing, Not associated to a milestone</t>
        </is>
      </c>
      <c r="O597" s="3" t="inlineStr">
        <is>
          <t>Czech Republic</t>
        </is>
      </c>
      <c r="P597" s="3" t="inlineStr">
        <is>
          <t>Z92-CZ10008</t>
        </is>
      </c>
      <c r="Q597" s="3" t="inlineStr">
        <is>
          <t>77242113UCO2001</t>
        </is>
      </c>
    </row>
    <row r="598">
      <c r="A598" s="2" t="str">
        <f>HYPERLINK("https://vtmf.veevavault.com/ui/#doc_info/26798633/1/0", "77242113UCO2001-CZE-Z92-CZ10008-Monitoring Visit Follow-up Letter-SMVR_FL-09 Jul 2024 (v1.0)")</f>
        <v>77242113UCO2001-CZE-Z92-CZ10008-Monitoring Visit Follow-up Letter-SMVR_FL-09 Jul 2024 (v1.0)</v>
      </c>
      <c r="B598" s="3" t="inlineStr">
        <is>
          <t>Admin User Medidata</t>
        </is>
      </c>
      <c r="C598" s="3" t="inlineStr">
        <is>
          <t>Site Management</t>
        </is>
      </c>
      <c r="D598" s="3" t="inlineStr">
        <is>
          <t>Site Management</t>
        </is>
      </c>
      <c r="E598" s="3" t="inlineStr">
        <is>
          <t>Monitoring Visit Follow-up Letter</t>
        </is>
      </c>
      <c r="F598" s="3" t="inlineStr">
        <is>
          <t/>
        </is>
      </c>
      <c r="G598" s="2" t="str">
        <f>HYPERLINK("https://vtmf.veevavault.com/ui/#doc_info/26798633/1/0", "VTMF-21477436")</f>
        <v>VTMF-21477436</v>
      </c>
      <c r="H598" s="3" t="inlineStr">
        <is>
          <t/>
        </is>
      </c>
      <c r="I598" s="3" t="inlineStr">
        <is>
          <t>System</t>
        </is>
      </c>
      <c r="J598" s="3" t="inlineStr">
        <is>
          <t>Admin User Medidata</t>
        </is>
      </c>
      <c r="K598" s="4" t="n">
        <v>45503.94236111111</v>
      </c>
      <c r="L598" s="5" t="n">
        <v>45503.0</v>
      </c>
      <c r="M598" s="3" t="inlineStr">
        <is>
          <t>Approved</t>
        </is>
      </c>
      <c r="N598" s="3" t="inlineStr">
        <is>
          <t>Available for Distribution, CLIX Filing, Site Close</t>
        </is>
      </c>
      <c r="O598" s="3" t="inlineStr">
        <is>
          <t>Czech Republic</t>
        </is>
      </c>
      <c r="P598" s="3" t="inlineStr">
        <is>
          <t>Z92-CZ10008</t>
        </is>
      </c>
      <c r="Q598" s="3" t="inlineStr">
        <is>
          <t>77242113UCO2001</t>
        </is>
      </c>
    </row>
    <row r="599">
      <c r="A599" s="2" t="str">
        <f>HYPERLINK("https://vtmf.veevavault.com/ui/#doc_info/27169516/1/0", "77242113UCO2001-CZE-Z92-CZ10008-Monitoring Visit Follow-up Letter-SMVR_FL-10 Sep 2024 (v1.0)")</f>
        <v>77242113UCO2001-CZE-Z92-CZ10008-Monitoring Visit Follow-up Letter-SMVR_FL-10 Sep 2024 (v1.0)</v>
      </c>
      <c r="B599" s="3" t="inlineStr">
        <is>
          <t>Admin User Medidata</t>
        </is>
      </c>
      <c r="C599" s="3" t="inlineStr">
        <is>
          <t>Site Management</t>
        </is>
      </c>
      <c r="D599" s="3" t="inlineStr">
        <is>
          <t>Site Management</t>
        </is>
      </c>
      <c r="E599" s="3" t="inlineStr">
        <is>
          <t>Monitoring Visit Follow-up Letter</t>
        </is>
      </c>
      <c r="F599" s="3" t="inlineStr">
        <is>
          <t/>
        </is>
      </c>
      <c r="G599" s="2" t="str">
        <f>HYPERLINK("https://vtmf.veevavault.com/ui/#doc_info/27169516/1/0", "VTMF-21783925")</f>
        <v>VTMF-21783925</v>
      </c>
      <c r="H599" s="3" t="inlineStr">
        <is>
          <t/>
        </is>
      </c>
      <c r="I599" s="3" t="inlineStr">
        <is>
          <t>System</t>
        </is>
      </c>
      <c r="J599" s="3" t="inlineStr">
        <is>
          <t>Admin User Medidata</t>
        </is>
      </c>
      <c r="K599" s="4" t="n">
        <v>45565.81744212963</v>
      </c>
      <c r="L599" s="5" t="n">
        <v>45565.0</v>
      </c>
      <c r="M599" s="3" t="inlineStr">
        <is>
          <t>Approved</t>
        </is>
      </c>
      <c r="N599" s="3" t="inlineStr">
        <is>
          <t>Available for Distribution, CLIX Filing, Site Close</t>
        </is>
      </c>
      <c r="O599" s="3" t="inlineStr">
        <is>
          <t>Czech Republic</t>
        </is>
      </c>
      <c r="P599" s="3" t="inlineStr">
        <is>
          <t>Z92-CZ10008</t>
        </is>
      </c>
      <c r="Q599" s="3" t="inlineStr">
        <is>
          <t>77242113UCO2001</t>
        </is>
      </c>
    </row>
    <row r="600">
      <c r="A600" s="2" t="str">
        <f>HYPERLINK("https://vtmf.veevavault.com/ui/#doc_info/27749866/1/0", "77242113UCO2001-CZE-Z92-CZ10008-Monitoring Visit Follow-up Letter-SMVR_FL-19 Nov 2024 (v1.0)")</f>
        <v>77242113UCO2001-CZE-Z92-CZ10008-Monitoring Visit Follow-up Letter-SMVR_FL-19 Nov 2024 (v1.0)</v>
      </c>
      <c r="B600" s="3" t="inlineStr">
        <is>
          <t>Admin User Medidata</t>
        </is>
      </c>
      <c r="C600" s="3" t="inlineStr">
        <is>
          <t>Site Management</t>
        </is>
      </c>
      <c r="D600" s="3" t="inlineStr">
        <is>
          <t>Site Management</t>
        </is>
      </c>
      <c r="E600" s="3" t="inlineStr">
        <is>
          <t>Monitoring Visit Follow-up Letter</t>
        </is>
      </c>
      <c r="F600" s="3" t="inlineStr">
        <is>
          <t/>
        </is>
      </c>
      <c r="G600" s="2" t="str">
        <f>HYPERLINK("https://vtmf.veevavault.com/ui/#doc_info/27749866/1/0", "VTMF-22250823")</f>
        <v>VTMF-22250823</v>
      </c>
      <c r="H600" s="3" t="inlineStr">
        <is>
          <t/>
        </is>
      </c>
      <c r="I600" s="3" t="inlineStr">
        <is>
          <t>System</t>
        </is>
      </c>
      <c r="J600" s="3" t="inlineStr">
        <is>
          <t>Admin User Medidata</t>
        </is>
      </c>
      <c r="K600" s="4" t="n">
        <v>45622.83188657407</v>
      </c>
      <c r="L600" s="5" t="n">
        <v>45622.0</v>
      </c>
      <c r="M600" s="3" t="inlineStr">
        <is>
          <t>Approved</t>
        </is>
      </c>
      <c r="N600" s="3" t="inlineStr">
        <is>
          <t>Available for Distribution, CLIX Filing, Not associated to a milestone</t>
        </is>
      </c>
      <c r="O600" s="3" t="inlineStr">
        <is>
          <t>Czech Republic</t>
        </is>
      </c>
      <c r="P600" s="3" t="inlineStr">
        <is>
          <t>Z92-CZ10008</t>
        </is>
      </c>
      <c r="Q600" s="3" t="inlineStr">
        <is>
          <t>77242113UCO2001</t>
        </is>
      </c>
    </row>
    <row r="601">
      <c r="A601" s="2" t="str">
        <f>HYPERLINK("https://vtmf.veevavault.com/ui/#doc_info/30064967/1/0", "77242113UCO2001-CZE-Z92-CZ10008-Monitoring Visit Follow-up Letter-SMVR_FL-23 Sep 2025 (v1.0)")</f>
        <v>77242113UCO2001-CZE-Z92-CZ10008-Monitoring Visit Follow-up Letter-SMVR_FL-23 Sep 2025 (v1.0)</v>
      </c>
      <c r="B601" s="3" t="inlineStr">
        <is>
          <t>Admin User Medidata</t>
        </is>
      </c>
      <c r="C601" s="3" t="inlineStr">
        <is>
          <t>Site Management</t>
        </is>
      </c>
      <c r="D601" s="3" t="inlineStr">
        <is>
          <t>Site Management</t>
        </is>
      </c>
      <c r="E601" s="3" t="inlineStr">
        <is>
          <t>Monitoring Visit Follow-up Letter</t>
        </is>
      </c>
      <c r="F601" s="3" t="inlineStr">
        <is>
          <t/>
        </is>
      </c>
      <c r="G601" s="2" t="str">
        <f>HYPERLINK("https://vtmf.veevavault.com/ui/#doc_info/30064967/1/0", "VTMF-24199539")</f>
        <v>VTMF-24199539</v>
      </c>
      <c r="H601" s="3" t="inlineStr">
        <is>
          <t/>
        </is>
      </c>
      <c r="I601" s="3" t="inlineStr">
        <is>
          <t>System</t>
        </is>
      </c>
      <c r="J601" s="3" t="inlineStr">
        <is>
          <t>Admin User Medidata</t>
        </is>
      </c>
      <c r="K601" s="4" t="n">
        <v>45930.55736111111</v>
      </c>
      <c r="L601" s="5" t="n">
        <v>45930.0</v>
      </c>
      <c r="M601" s="3" t="inlineStr">
        <is>
          <t>Approved</t>
        </is>
      </c>
      <c r="N601" s="3" t="inlineStr">
        <is>
          <t>Available for Distribution, CLIX Filing, Not associated to a milestone</t>
        </is>
      </c>
      <c r="O601" s="3" t="inlineStr">
        <is>
          <t>Czech Republic</t>
        </is>
      </c>
      <c r="P601" s="3" t="inlineStr">
        <is>
          <t>Z92-CZ10008</t>
        </is>
      </c>
      <c r="Q601" s="3" t="inlineStr">
        <is>
          <t>77242113UCO2001</t>
        </is>
      </c>
    </row>
    <row r="602">
      <c r="A602" s="2" t="str">
        <f>HYPERLINK("https://vtmf.veevavault.com/ui/#doc_info/24191888/1/0", "77242113UCO2001-CZE-Z92-CZ10008-Monitoring Visit Follow-up Letter-SQVR_FL-15 May 2023 (v1.0)")</f>
        <v>77242113UCO2001-CZE-Z92-CZ10008-Monitoring Visit Follow-up Letter-SQVR_FL-15 May 2023 (v1.0)</v>
      </c>
      <c r="B602" s="3" t="inlineStr">
        <is>
          <t>Admin User Medidata</t>
        </is>
      </c>
      <c r="C602" s="3" t="inlineStr">
        <is>
          <t>Site Management</t>
        </is>
      </c>
      <c r="D602" s="3" t="inlineStr">
        <is>
          <t>Site Management</t>
        </is>
      </c>
      <c r="E602" s="3" t="inlineStr">
        <is>
          <t>Monitoring Visit Follow-up Letter</t>
        </is>
      </c>
      <c r="F602" s="3" t="inlineStr">
        <is>
          <t/>
        </is>
      </c>
      <c r="G602" s="2" t="str">
        <f>HYPERLINK("https://vtmf.veevavault.com/ui/#doc_info/24191888/1/0", "VTMF-19198642")</f>
        <v>VTMF-19198642</v>
      </c>
      <c r="H602" s="3" t="inlineStr">
        <is>
          <t/>
        </is>
      </c>
      <c r="I602" s="3" t="inlineStr">
        <is>
          <t>System</t>
        </is>
      </c>
      <c r="J602" s="3" t="inlineStr">
        <is>
          <t>Admin User Medidata</t>
        </is>
      </c>
      <c r="K602" s="4" t="n">
        <v>45079.67355324074</v>
      </c>
      <c r="L602" s="5" t="n">
        <v>45079.0</v>
      </c>
      <c r="M602" s="3" t="inlineStr">
        <is>
          <t>Approved</t>
        </is>
      </c>
      <c r="N602" s="3" t="inlineStr">
        <is>
          <t>Available for Distribution, CLIX Filing, Site Close</t>
        </is>
      </c>
      <c r="O602" s="3" t="inlineStr">
        <is>
          <t>Czech Republic</t>
        </is>
      </c>
      <c r="P602" s="3" t="inlineStr">
        <is>
          <t>Z92-CZ10008</t>
        </is>
      </c>
      <c r="Q602" s="3" t="inlineStr">
        <is>
          <t>77242113UCO2001</t>
        </is>
      </c>
    </row>
    <row r="603">
      <c r="A603" s="2" t="str">
        <f>HYPERLINK("https://vtmf.veevavault.com/ui/#doc_info/26101797/1/0", "77242113UCO2001-CZE-Z92-CZ10008-Monitoring Visit Report-03 Apr 2024 (v1.0)")</f>
        <v>77242113UCO2001-CZE-Z92-CZ10008-Monitoring Visit Report-03 Apr 2024 (v1.0)</v>
      </c>
      <c r="B603" s="3" t="inlineStr">
        <is>
          <t>Admin User Medidata</t>
        </is>
      </c>
      <c r="C603" s="3" t="inlineStr">
        <is>
          <t>Site Management</t>
        </is>
      </c>
      <c r="D603" s="3" t="inlineStr">
        <is>
          <t>Site Management</t>
        </is>
      </c>
      <c r="E603" s="3" t="inlineStr">
        <is>
          <t>Monitoring Visit Report</t>
        </is>
      </c>
      <c r="F603" s="3" t="inlineStr">
        <is>
          <t/>
        </is>
      </c>
      <c r="G603" s="2" t="str">
        <f>HYPERLINK("https://vtmf.veevavault.com/ui/#doc_info/26101797/1/0", "VTMF-20869852")</f>
        <v>VTMF-20869852</v>
      </c>
      <c r="H603" s="3" t="inlineStr">
        <is>
          <t/>
        </is>
      </c>
      <c r="I603" s="3" t="inlineStr">
        <is>
          <t>System</t>
        </is>
      </c>
      <c r="J603" s="3" t="inlineStr">
        <is>
          <t>Admin User Medidata</t>
        </is>
      </c>
      <c r="K603" s="4" t="n">
        <v>45392.39236111111</v>
      </c>
      <c r="L603" s="5" t="n">
        <v>45392.0</v>
      </c>
      <c r="M603" s="3" t="inlineStr">
        <is>
          <t>Approved</t>
        </is>
      </c>
      <c r="N603" s="3" t="inlineStr">
        <is>
          <t>Site Close</t>
        </is>
      </c>
      <c r="O603" s="3" t="inlineStr">
        <is>
          <t>Czech Republic</t>
        </is>
      </c>
      <c r="P603" s="3" t="inlineStr">
        <is>
          <t>Z92-CZ10008</t>
        </is>
      </c>
      <c r="Q603" s="3" t="inlineStr">
        <is>
          <t>77242113UCO2001</t>
        </is>
      </c>
    </row>
    <row r="604">
      <c r="A604" s="2" t="str">
        <f>HYPERLINK("https://vtmf.veevavault.com/ui/#doc_info/30362757/1/0", "77242113UCO2001-CZE-Z92-CZ10008-Monitoring Visit Report-05 Nov 2025 (v1.0)")</f>
        <v>77242113UCO2001-CZE-Z92-CZ10008-Monitoring Visit Report-05 Nov 2025 (v1.0)</v>
      </c>
      <c r="B604" s="3" t="inlineStr">
        <is>
          <t>Admin User Medidata</t>
        </is>
      </c>
      <c r="C604" s="3" t="inlineStr">
        <is>
          <t>Site Management</t>
        </is>
      </c>
      <c r="D604" s="3" t="inlineStr">
        <is>
          <t>Site Management</t>
        </is>
      </c>
      <c r="E604" s="3" t="inlineStr">
        <is>
          <t>Monitoring Visit Report</t>
        </is>
      </c>
      <c r="F604" s="3" t="inlineStr">
        <is>
          <t/>
        </is>
      </c>
      <c r="G604" s="2" t="str">
        <f>HYPERLINK("https://vtmf.veevavault.com/ui/#doc_info/30362757/1/0", "VTMF-24454804")</f>
        <v>VTMF-24454804</v>
      </c>
      <c r="H604" s="3" t="inlineStr">
        <is>
          <t/>
        </is>
      </c>
      <c r="I604" s="3" t="inlineStr">
        <is>
          <t>System</t>
        </is>
      </c>
      <c r="J604" s="3" t="inlineStr">
        <is>
          <t>Admin User Medidata</t>
        </is>
      </c>
      <c r="K604" s="4" t="n">
        <v>45973.5552662037</v>
      </c>
      <c r="L604" s="5" t="n">
        <v>45973.0</v>
      </c>
      <c r="M604" s="3" t="inlineStr">
        <is>
          <t>Approved</t>
        </is>
      </c>
      <c r="N604" s="3" t="inlineStr">
        <is>
          <t>Site Close</t>
        </is>
      </c>
      <c r="O604" s="3" t="inlineStr">
        <is>
          <t>Czech Republic</t>
        </is>
      </c>
      <c r="P604" s="3" t="inlineStr">
        <is>
          <t>Z92-CZ10008</t>
        </is>
      </c>
      <c r="Q604" s="3" t="inlineStr">
        <is>
          <t>77242113UCO2001</t>
        </is>
      </c>
    </row>
    <row r="605">
      <c r="A605" s="2" t="str">
        <f>HYPERLINK("https://vtmf.veevavault.com/ui/#doc_info/28083540/1/0", "77242113UCO2001-CZE-Z92-CZ10008-Monitoring Visit Report-07 Jan 2025 (v1.0)")</f>
        <v>77242113UCO2001-CZE-Z92-CZ10008-Monitoring Visit Report-07 Jan 2025 (v1.0)</v>
      </c>
      <c r="B605" s="3" t="inlineStr">
        <is>
          <t>Admin User Medidata</t>
        </is>
      </c>
      <c r="C605" s="3" t="inlineStr">
        <is>
          <t>Site Management</t>
        </is>
      </c>
      <c r="D605" s="3" t="inlineStr">
        <is>
          <t>Site Management</t>
        </is>
      </c>
      <c r="E605" s="3" t="inlineStr">
        <is>
          <t>Monitoring Visit Report</t>
        </is>
      </c>
      <c r="F605" s="3" t="inlineStr">
        <is>
          <t/>
        </is>
      </c>
      <c r="G605" s="2" t="str">
        <f>HYPERLINK("https://vtmf.veevavault.com/ui/#doc_info/28083540/1/0", "VTMF-22521975")</f>
        <v>VTMF-22521975</v>
      </c>
      <c r="H605" s="3" t="inlineStr">
        <is>
          <t/>
        </is>
      </c>
      <c r="I605" s="3" t="inlineStr">
        <is>
          <t>System</t>
        </is>
      </c>
      <c r="J605" s="3" t="inlineStr">
        <is>
          <t>Admin User Medidata</t>
        </is>
      </c>
      <c r="K605" s="4" t="n">
        <v>45672.65047453704</v>
      </c>
      <c r="L605" s="5" t="n">
        <v>45672.0</v>
      </c>
      <c r="M605" s="3" t="inlineStr">
        <is>
          <t>Approved</t>
        </is>
      </c>
      <c r="N605" s="3" t="inlineStr">
        <is>
          <t>Site Close</t>
        </is>
      </c>
      <c r="O605" s="3" t="inlineStr">
        <is>
          <t>Czech Republic</t>
        </is>
      </c>
      <c r="P605" s="3" t="inlineStr">
        <is>
          <t>Z92-CZ10008</t>
        </is>
      </c>
      <c r="Q605" s="3" t="inlineStr">
        <is>
          <t>77242113UCO2001</t>
        </is>
      </c>
    </row>
    <row r="606">
      <c r="A606" s="2" t="str">
        <f>HYPERLINK("https://vtmf.veevavault.com/ui/#doc_info/29565611/1/0", "77242113UCO2001-CZE-Z92-CZ10008-Monitoring Visit Report-08 Jul 2025 (v1.0)")</f>
        <v>77242113UCO2001-CZE-Z92-CZ10008-Monitoring Visit Report-08 Jul 2025 (v1.0)</v>
      </c>
      <c r="B606" s="3" t="inlineStr">
        <is>
          <t>Admin User Medidata</t>
        </is>
      </c>
      <c r="C606" s="3" t="inlineStr">
        <is>
          <t>Site Management</t>
        </is>
      </c>
      <c r="D606" s="3" t="inlineStr">
        <is>
          <t>Site Management</t>
        </is>
      </c>
      <c r="E606" s="3" t="inlineStr">
        <is>
          <t>Monitoring Visit Report</t>
        </is>
      </c>
      <c r="F606" s="3" t="inlineStr">
        <is>
          <t/>
        </is>
      </c>
      <c r="G606" s="2" t="str">
        <f>HYPERLINK("https://vtmf.veevavault.com/ui/#doc_info/29565611/1/0", "VTMF-23780882")</f>
        <v>VTMF-23780882</v>
      </c>
      <c r="H606" s="3" t="inlineStr">
        <is>
          <t/>
        </is>
      </c>
      <c r="I606" s="3" t="inlineStr">
        <is>
          <t>System</t>
        </is>
      </c>
      <c r="J606" s="3" t="inlineStr">
        <is>
          <t>Admin User Medidata</t>
        </is>
      </c>
      <c r="K606" s="4" t="n">
        <v>45854.43546296296</v>
      </c>
      <c r="L606" s="5" t="n">
        <v>45854.0</v>
      </c>
      <c r="M606" s="3" t="inlineStr">
        <is>
          <t>Approved</t>
        </is>
      </c>
      <c r="N606" s="3" t="inlineStr">
        <is>
          <t>Site Close</t>
        </is>
      </c>
      <c r="O606" s="3" t="inlineStr">
        <is>
          <t>Czech Republic</t>
        </is>
      </c>
      <c r="P606" s="3" t="inlineStr">
        <is>
          <t>Z92-CZ10008</t>
        </is>
      </c>
      <c r="Q606" s="3" t="inlineStr">
        <is>
          <t>77242113UCO2001</t>
        </is>
      </c>
    </row>
    <row r="607">
      <c r="A607" s="2" t="str">
        <f>HYPERLINK("https://vtmf.veevavault.com/ui/#doc_info/26784429/1/0", "77242113UCO2001-CZE-Z92-CZ10008-Monitoring Visit Report-09 Jul 2024 (v1.0)")</f>
        <v>77242113UCO2001-CZE-Z92-CZ10008-Monitoring Visit Report-09 Jul 2024 (v1.0)</v>
      </c>
      <c r="B607" s="3" t="inlineStr">
        <is>
          <t>Admin User Medidata</t>
        </is>
      </c>
      <c r="C607" s="3" t="inlineStr">
        <is>
          <t>Site Management</t>
        </is>
      </c>
      <c r="D607" s="3" t="inlineStr">
        <is>
          <t>Site Management</t>
        </is>
      </c>
      <c r="E607" s="3" t="inlineStr">
        <is>
          <t>Monitoring Visit Report</t>
        </is>
      </c>
      <c r="F607" s="3" t="inlineStr">
        <is>
          <t/>
        </is>
      </c>
      <c r="G607" s="2" t="str">
        <f>HYPERLINK("https://vtmf.veevavault.com/ui/#doc_info/26784429/1/0", "VTMF-21465738")</f>
        <v>VTMF-21465738</v>
      </c>
      <c r="H607" s="3" t="inlineStr">
        <is>
          <t/>
        </is>
      </c>
      <c r="I607" s="3" t="inlineStr">
        <is>
          <t>System</t>
        </is>
      </c>
      <c r="J607" s="3" t="inlineStr">
        <is>
          <t>Admin User Medidata</t>
        </is>
      </c>
      <c r="K607" s="4" t="n">
        <v>45502.39126157408</v>
      </c>
      <c r="L607" s="5" t="n">
        <v>45502.0</v>
      </c>
      <c r="M607" s="3" t="inlineStr">
        <is>
          <t>Approved</t>
        </is>
      </c>
      <c r="N607" s="3" t="inlineStr">
        <is>
          <t>Site Close</t>
        </is>
      </c>
      <c r="O607" s="3" t="inlineStr">
        <is>
          <t>Czech Republic</t>
        </is>
      </c>
      <c r="P607" s="3" t="inlineStr">
        <is>
          <t>Z92-CZ10008</t>
        </is>
      </c>
      <c r="Q607" s="3" t="inlineStr">
        <is>
          <t>77242113UCO2001</t>
        </is>
      </c>
    </row>
    <row r="608">
      <c r="A608" s="2" t="str">
        <f>HYPERLINK("https://vtmf.veevavault.com/ui/#doc_info/27139302/1/0", "77242113UCO2001-CZE-Z92-CZ10008-Monitoring Visit Report-10 Sep 2024 (v1.0)")</f>
        <v>77242113UCO2001-CZE-Z92-CZ10008-Monitoring Visit Report-10 Sep 2024 (v1.0)</v>
      </c>
      <c r="B608" s="3" t="inlineStr">
        <is>
          <t>Admin User Medidata</t>
        </is>
      </c>
      <c r="C608" s="3" t="inlineStr">
        <is>
          <t>Site Management</t>
        </is>
      </c>
      <c r="D608" s="3" t="inlineStr">
        <is>
          <t>Site Management</t>
        </is>
      </c>
      <c r="E608" s="3" t="inlineStr">
        <is>
          <t>Monitoring Visit Report</t>
        </is>
      </c>
      <c r="F608" s="3" t="inlineStr">
        <is>
          <t/>
        </is>
      </c>
      <c r="G608" s="2" t="str">
        <f>HYPERLINK("https://vtmf.veevavault.com/ui/#doc_info/27139302/1/0", "VTMF-21757644")</f>
        <v>VTMF-21757644</v>
      </c>
      <c r="H608" s="3" t="inlineStr">
        <is>
          <t/>
        </is>
      </c>
      <c r="I608" s="3" t="inlineStr">
        <is>
          <t>System</t>
        </is>
      </c>
      <c r="J608" s="3" t="inlineStr">
        <is>
          <t>Admin User Medidata</t>
        </is>
      </c>
      <c r="K608" s="4" t="n">
        <v>45560.60476851852</v>
      </c>
      <c r="L608" s="5" t="n">
        <v>45560.0</v>
      </c>
      <c r="M608" s="3" t="inlineStr">
        <is>
          <t>Approved</t>
        </is>
      </c>
      <c r="N608" s="3" t="inlineStr">
        <is>
          <t>Site Close</t>
        </is>
      </c>
      <c r="O608" s="3" t="inlineStr">
        <is>
          <t>Czech Republic</t>
        </is>
      </c>
      <c r="P608" s="3" t="inlineStr">
        <is>
          <t>Z92-CZ10008</t>
        </is>
      </c>
      <c r="Q608" s="3" t="inlineStr">
        <is>
          <t>77242113UCO2001</t>
        </is>
      </c>
    </row>
    <row r="609">
      <c r="A609" s="2" t="str">
        <f>HYPERLINK("https://vtmf.veevavault.com/ui/#doc_info/27769781/1/0", "77242113UCO2001-CZE-Z92-CZ10008-Monitoring Visit Report-19 Nov 2024 (v1.0)")</f>
        <v>77242113UCO2001-CZE-Z92-CZ10008-Monitoring Visit Report-19 Nov 2024 (v1.0)</v>
      </c>
      <c r="B609" s="3" t="inlineStr">
        <is>
          <t>Admin User Medidata</t>
        </is>
      </c>
      <c r="C609" s="3" t="inlineStr">
        <is>
          <t>Site Management</t>
        </is>
      </c>
      <c r="D609" s="3" t="inlineStr">
        <is>
          <t>Site Management</t>
        </is>
      </c>
      <c r="E609" s="3" t="inlineStr">
        <is>
          <t>Monitoring Visit Report</t>
        </is>
      </c>
      <c r="F609" s="3" t="inlineStr">
        <is>
          <t/>
        </is>
      </c>
      <c r="G609" s="2" t="str">
        <f>HYPERLINK("https://vtmf.veevavault.com/ui/#doc_info/27769781/1/0", "VTMF-22267305")</f>
        <v>VTMF-22267305</v>
      </c>
      <c r="H609" s="3" t="inlineStr">
        <is>
          <t/>
        </is>
      </c>
      <c r="I609" s="3" t="inlineStr">
        <is>
          <t>System</t>
        </is>
      </c>
      <c r="J609" s="3" t="inlineStr">
        <is>
          <t>Admin User Medidata</t>
        </is>
      </c>
      <c r="K609" s="4" t="n">
        <v>45625.39613425926</v>
      </c>
      <c r="L609" s="5" t="n">
        <v>45625.0</v>
      </c>
      <c r="M609" s="3" t="inlineStr">
        <is>
          <t>Approved</t>
        </is>
      </c>
      <c r="N609" s="3" t="inlineStr">
        <is>
          <t>Site Close</t>
        </is>
      </c>
      <c r="O609" s="3" t="inlineStr">
        <is>
          <t>Czech Republic</t>
        </is>
      </c>
      <c r="P609" s="3" t="inlineStr">
        <is>
          <t>Z92-CZ10008</t>
        </is>
      </c>
      <c r="Q609" s="3" t="inlineStr">
        <is>
          <t>77242113UCO2001</t>
        </is>
      </c>
    </row>
    <row r="610">
      <c r="A610" s="2" t="str">
        <f>HYPERLINK("https://vtmf.veevavault.com/ui/#doc_info/30100044/1/0", "77242113UCO2001-CZE-Z92-CZ10008-Monitoring Visit Report-23 Sep 2025 (v1.0)")</f>
        <v>77242113UCO2001-CZE-Z92-CZ10008-Monitoring Visit Report-23 Sep 2025 (v1.0)</v>
      </c>
      <c r="B610" s="3" t="inlineStr">
        <is>
          <t>Admin User Medidata</t>
        </is>
      </c>
      <c r="C610" s="3" t="inlineStr">
        <is>
          <t>Site Management</t>
        </is>
      </c>
      <c r="D610" s="3" t="inlineStr">
        <is>
          <t>Site Management</t>
        </is>
      </c>
      <c r="E610" s="3" t="inlineStr">
        <is>
          <t>Monitoring Visit Report</t>
        </is>
      </c>
      <c r="F610" s="3" t="inlineStr">
        <is>
          <t/>
        </is>
      </c>
      <c r="G610" s="2" t="str">
        <f>HYPERLINK("https://vtmf.veevavault.com/ui/#doc_info/30100044/1/0", "VTMF-24229542")</f>
        <v>VTMF-24229542</v>
      </c>
      <c r="H610" s="3" t="inlineStr">
        <is>
          <t/>
        </is>
      </c>
      <c r="I610" s="3" t="inlineStr">
        <is>
          <t>System</t>
        </is>
      </c>
      <c r="J610" s="3" t="inlineStr">
        <is>
          <t>Admin User Medidata</t>
        </is>
      </c>
      <c r="K610" s="4" t="n">
        <v>45936.4750462963</v>
      </c>
      <c r="L610" s="5" t="n">
        <v>45936.0</v>
      </c>
      <c r="M610" s="3" t="inlineStr">
        <is>
          <t>Approved</t>
        </is>
      </c>
      <c r="N610" s="3" t="inlineStr">
        <is>
          <t>Site Close</t>
        </is>
      </c>
      <c r="O610" s="3" t="inlineStr">
        <is>
          <t>Czech Republic</t>
        </is>
      </c>
      <c r="P610" s="3" t="inlineStr">
        <is>
          <t>Z92-CZ10008</t>
        </is>
      </c>
      <c r="Q610" s="3" t="inlineStr">
        <is>
          <t>77242113UCO2001</t>
        </is>
      </c>
    </row>
    <row r="611">
      <c r="A611" s="2" t="str">
        <f>HYPERLINK("https://vtmf.veevavault.com/ui/#doc_info/26641936/1/0", "77242113UCO2001-CZE-Z92-CZ10008-Non-IP Return Documentation-03 Jul 2024 (v1.0)")</f>
        <v>77242113UCO2001-CZE-Z92-CZ10008-Non-IP Return Documentation-03 Jul 2024 (v1.0)</v>
      </c>
      <c r="B611" s="3" t="inlineStr">
        <is>
          <t>Lenka Placha</t>
        </is>
      </c>
      <c r="C611" s="3" t="inlineStr">
        <is>
          <t>IP and Trial Supplies</t>
        </is>
      </c>
      <c r="D611" s="3" t="inlineStr">
        <is>
          <t>Non-IP Documentation</t>
        </is>
      </c>
      <c r="E611" s="3" t="inlineStr">
        <is>
          <t>Non-IP Return Documentation</t>
        </is>
      </c>
      <c r="F611" s="3" t="inlineStr">
        <is>
          <t>email 03Jul24- site confirmation - return deep freezer including return protocol in attachment_ site Z92-CZ10008</t>
        </is>
      </c>
      <c r="G611" s="2" t="str">
        <f>HYPERLINK("https://vtmf.veevavault.com/ui/#doc_info/26641936/1/0", "VTMF-21341920")</f>
        <v>VTMF-21341920</v>
      </c>
      <c r="H611" s="3" t="inlineStr">
        <is>
          <t/>
        </is>
      </c>
      <c r="I611" s="3" t="inlineStr">
        <is>
          <t>Anthony Suarez (veeva.com)</t>
        </is>
      </c>
      <c r="J611" s="3" t="inlineStr">
        <is>
          <t>Lenka Placha</t>
        </is>
      </c>
      <c r="K611" s="4" t="n">
        <v>45476.55207175926</v>
      </c>
      <c r="L611" s="5" t="n">
        <v>45476.0</v>
      </c>
      <c r="M611" s="3" t="inlineStr">
        <is>
          <t>Approved</t>
        </is>
      </c>
      <c r="N611" s="3" t="inlineStr">
        <is>
          <t>Available for Distribution, CLIX Filing, Site Close</t>
        </is>
      </c>
      <c r="O611" s="3" t="inlineStr">
        <is>
          <t>Czech Republic</t>
        </is>
      </c>
      <c r="P611" s="3" t="inlineStr">
        <is>
          <t>Z92-CZ10008</t>
        </is>
      </c>
      <c r="Q611" s="3" t="inlineStr">
        <is>
          <t>77242113UCO2001</t>
        </is>
      </c>
    </row>
    <row r="612">
      <c r="A612" s="2" t="str">
        <f>HYPERLINK("https://vtmf.veevavault.com/ui/#doc_info/30468860/1/0", "77242113UCO2001-CZE-Z92-CZ10008-Non-IP Return Documentation-05 Nov 2025 (v1.0)")</f>
        <v>77242113UCO2001-CZE-Z92-CZ10008-Non-IP Return Documentation-05 Nov 2025 (v1.0)</v>
      </c>
      <c r="B612" s="3" t="inlineStr">
        <is>
          <t>Jitka Kone</t>
        </is>
      </c>
      <c r="C612" s="3" t="inlineStr">
        <is>
          <t>IP and Trial Supplies</t>
        </is>
      </c>
      <c r="D612" s="3" t="inlineStr">
        <is>
          <t>Non-IP Documentation</t>
        </is>
      </c>
      <c r="E612" s="3" t="inlineStr">
        <is>
          <t>Non-IP Return Documentation</t>
        </is>
      </c>
      <c r="F612" s="3" t="inlineStr">
        <is>
          <t>Handover protocol_meal vouchers 2025 6 pcs</t>
        </is>
      </c>
      <c r="G612" s="2" t="str">
        <f>HYPERLINK("https://vtmf.veevavault.com/ui/#doc_info/30468860/1/0", "VTMF-24546568")</f>
        <v>VTMF-24546568</v>
      </c>
      <c r="H612" s="3" t="inlineStr">
        <is>
          <t/>
        </is>
      </c>
      <c r="I612" s="3" t="inlineStr">
        <is>
          <t>System</t>
        </is>
      </c>
      <c r="J612" s="3" t="inlineStr">
        <is>
          <t>Jitka Kone</t>
        </is>
      </c>
      <c r="K612" s="4" t="n">
        <v>45986.43914351852</v>
      </c>
      <c r="L612" s="5" t="n">
        <v>45986.0</v>
      </c>
      <c r="M612" s="3" t="inlineStr">
        <is>
          <t>Approved</t>
        </is>
      </c>
      <c r="N612" s="3" t="inlineStr">
        <is>
          <t>CLIX Filing, Country Close, Study Close</t>
        </is>
      </c>
      <c r="O612" s="3" t="inlineStr">
        <is>
          <t>Czech Republic</t>
        </is>
      </c>
      <c r="P612" s="3" t="inlineStr">
        <is>
          <t>Z92-CZ10008</t>
        </is>
      </c>
      <c r="Q612" s="3" t="inlineStr">
        <is>
          <t>77242113UCO2001</t>
        </is>
      </c>
    </row>
    <row r="613">
      <c r="A613" s="2" t="str">
        <f>HYPERLINK("https://vtmf.veevavault.com/ui/#doc_info/29523803/1/0", "77242113UCO2001-CZE-Z92-CZ10008-Non-IP Return Documentation-08 Jul 2025 (v1.0)")</f>
        <v>77242113UCO2001-CZE-Z92-CZ10008-Non-IP Return Documentation-08 Jul 2025 (v1.0)</v>
      </c>
      <c r="B613" s="3" t="inlineStr">
        <is>
          <t>Jitka Kone</t>
        </is>
      </c>
      <c r="C613" s="3" t="inlineStr">
        <is>
          <t>IP and Trial Supplies</t>
        </is>
      </c>
      <c r="D613" s="3" t="inlineStr">
        <is>
          <t>Non-IP Documentation</t>
        </is>
      </c>
      <c r="E613" s="3" t="inlineStr">
        <is>
          <t>Non-IP Return Documentation</t>
        </is>
      </c>
      <c r="F613" s="3" t="inlineStr">
        <is>
          <t>Handover protocol return_Thermometer KLT-24K-5254</t>
        </is>
      </c>
      <c r="G613" s="2" t="str">
        <f>HYPERLINK("https://vtmf.veevavault.com/ui/#doc_info/29523803/1/0", "VTMF-23746383")</f>
        <v>VTMF-23746383</v>
      </c>
      <c r="H613" s="3" t="inlineStr">
        <is>
          <t/>
        </is>
      </c>
      <c r="I613" s="3" t="inlineStr">
        <is>
          <t>Anthony Suarez (veeva.com)</t>
        </is>
      </c>
      <c r="J613" s="3" t="inlineStr">
        <is>
          <t>Jitka Kone</t>
        </is>
      </c>
      <c r="K613" s="4" t="n">
        <v>45847.54488425926</v>
      </c>
      <c r="L613" s="5" t="n">
        <v>45847.0</v>
      </c>
      <c r="M613" s="3" t="inlineStr">
        <is>
          <t>Approved</t>
        </is>
      </c>
      <c r="N613" s="3" t="inlineStr">
        <is>
          <t>CLIX Filing, Country Close, Study Close</t>
        </is>
      </c>
      <c r="O613" s="3" t="inlineStr">
        <is>
          <t>Czech Republic</t>
        </is>
      </c>
      <c r="P613" s="3" t="inlineStr">
        <is>
          <t>Z92-CZ10008</t>
        </is>
      </c>
      <c r="Q613" s="3" t="inlineStr">
        <is>
          <t>77242113UCO2001</t>
        </is>
      </c>
    </row>
    <row r="614">
      <c r="A614" s="2" t="str">
        <f>HYPERLINK("https://vtmf.veevavault.com/ui/#doc_info/29523906/1/0", "77242113UCO2001-CZE-Z92-CZ10008-Non-IP Return Documentation-08 Jul 2025 (v1.0)")</f>
        <v>77242113UCO2001-CZE-Z92-CZ10008-Non-IP Return Documentation-08 Jul 2025 (v1.0)</v>
      </c>
      <c r="B614" s="3" t="inlineStr">
        <is>
          <t>Jitka Kone</t>
        </is>
      </c>
      <c r="C614" s="3" t="inlineStr">
        <is>
          <t>IP and Trial Supplies</t>
        </is>
      </c>
      <c r="D614" s="3" t="inlineStr">
        <is>
          <t>Non-IP Documentation</t>
        </is>
      </c>
      <c r="E614" s="3" t="inlineStr">
        <is>
          <t>Non-IP Return Documentation</t>
        </is>
      </c>
      <c r="F614" s="3" t="inlineStr">
        <is>
          <t>Handover protocol return_thermometer KLT- 24K-5429</t>
        </is>
      </c>
      <c r="G614" s="2" t="str">
        <f>HYPERLINK("https://vtmf.veevavault.com/ui/#doc_info/29523906/1/0", "VTMF-23746443")</f>
        <v>VTMF-23746443</v>
      </c>
      <c r="H614" s="3" t="inlineStr">
        <is>
          <t/>
        </is>
      </c>
      <c r="I614" s="3" t="inlineStr">
        <is>
          <t>System</t>
        </is>
      </c>
      <c r="J614" s="3" t="inlineStr">
        <is>
          <t>Jitka Kone</t>
        </is>
      </c>
      <c r="K614" s="4" t="n">
        <v>45847.55474537037</v>
      </c>
      <c r="L614" s="5" t="n">
        <v>45847.0</v>
      </c>
      <c r="M614" s="3" t="inlineStr">
        <is>
          <t>Approved</t>
        </is>
      </c>
      <c r="N614" s="3" t="inlineStr">
        <is>
          <t>CLIX Filing, Country Close, Study Close</t>
        </is>
      </c>
      <c r="O614" s="3" t="inlineStr">
        <is>
          <t>Czech Republic</t>
        </is>
      </c>
      <c r="P614" s="3" t="inlineStr">
        <is>
          <t>Z92-CZ10008</t>
        </is>
      </c>
      <c r="Q614" s="3" t="inlineStr">
        <is>
          <t>77242113UCO2001</t>
        </is>
      </c>
    </row>
    <row r="615">
      <c r="A615" s="2" t="str">
        <f>HYPERLINK("https://vtmf.veevavault.com/ui/#doc_info/29524984/1/0", "77242113UCO2001-CZE-Z92-CZ10008-Non-IP Return Documentation-08 Jul 2025 (v1.0)")</f>
        <v>77242113UCO2001-CZE-Z92-CZ10008-Non-IP Return Documentation-08 Jul 2025 (v1.0)</v>
      </c>
      <c r="B615" s="3" t="inlineStr">
        <is>
          <t>Jitka Kone</t>
        </is>
      </c>
      <c r="C615" s="3" t="inlineStr">
        <is>
          <t>IP and Trial Supplies</t>
        </is>
      </c>
      <c r="D615" s="3" t="inlineStr">
        <is>
          <t>Non-IP Documentation</t>
        </is>
      </c>
      <c r="E615" s="3" t="inlineStr">
        <is>
          <t>Non-IP Return Documentation</t>
        </is>
      </c>
      <c r="F615" s="3" t="inlineStr">
        <is>
          <t>Handover protocol return_scale S/N 8344521749</t>
        </is>
      </c>
      <c r="G615" s="2" t="str">
        <f>HYPERLINK("https://vtmf.veevavault.com/ui/#doc_info/29524984/1/0", "VTMF-23747133")</f>
        <v>VTMF-23747133</v>
      </c>
      <c r="H615" s="3" t="inlineStr">
        <is>
          <t/>
        </is>
      </c>
      <c r="I615" s="3" t="inlineStr">
        <is>
          <t>System</t>
        </is>
      </c>
      <c r="J615" s="3" t="inlineStr">
        <is>
          <t>Jitka Kone</t>
        </is>
      </c>
      <c r="K615" s="4" t="n">
        <v>45847.638865740744</v>
      </c>
      <c r="L615" s="5" t="n">
        <v>45847.0</v>
      </c>
      <c r="M615" s="3" t="inlineStr">
        <is>
          <t>Approved</t>
        </is>
      </c>
      <c r="N615" s="3" t="inlineStr">
        <is>
          <t>CLIX Filing, Country Close, Study Close</t>
        </is>
      </c>
      <c r="O615" s="3" t="inlineStr">
        <is>
          <t>Czech Republic</t>
        </is>
      </c>
      <c r="P615" s="3" t="inlineStr">
        <is>
          <t>Z92-CZ10008</t>
        </is>
      </c>
      <c r="Q615" s="3" t="inlineStr">
        <is>
          <t>77242113UCO2001</t>
        </is>
      </c>
    </row>
    <row r="616">
      <c r="A616" s="2" t="str">
        <f>HYPERLINK("https://vtmf.veevavault.com/ui/#doc_info/31196912/1/0", "77242113UCO2001-CZE-Z92-CZ10008-Non-IP Return Documentation-10 Mar 2026 (v1.0)")</f>
        <v>77242113UCO2001-CZE-Z92-CZ10008-Non-IP Return Documentation-10 Mar 2026 (v1.0)</v>
      </c>
      <c r="B616" s="3" t="inlineStr">
        <is>
          <t>Jitka Kone</t>
        </is>
      </c>
      <c r="C616" s="3" t="inlineStr">
        <is>
          <t>IP and Trial Supplies</t>
        </is>
      </c>
      <c r="D616" s="3" t="inlineStr">
        <is>
          <t>Non-IP Documentation</t>
        </is>
      </c>
      <c r="E616" s="3" t="inlineStr">
        <is>
          <t>Non-IP Return Documentation</t>
        </is>
      </c>
      <c r="F616" s="3" t="inlineStr">
        <is>
          <t>Handover protocol_thermometer JC-CZ-179_10-MAR-2026</t>
        </is>
      </c>
      <c r="G616" s="2" t="str">
        <f>HYPERLINK("https://vtmf.veevavault.com/ui/#doc_info/31196912/1/0", "VTMF-25154964")</f>
        <v>VTMF-25154964</v>
      </c>
      <c r="H616" s="3" t="inlineStr">
        <is>
          <t/>
        </is>
      </c>
      <c r="I616" s="3" t="inlineStr">
        <is>
          <t>System</t>
        </is>
      </c>
      <c r="J616" s="3" t="inlineStr">
        <is>
          <t>Jitka Kone</t>
        </is>
      </c>
      <c r="K616" s="4" t="n">
        <v>46098.61701388889</v>
      </c>
      <c r="L616" s="5" t="n">
        <v>46098.0</v>
      </c>
      <c r="M616" s="3" t="inlineStr">
        <is>
          <t>Approved</t>
        </is>
      </c>
      <c r="N616" s="3" t="inlineStr">
        <is>
          <t>CLIX Filing, Country Close, Study Close</t>
        </is>
      </c>
      <c r="O616" s="3" t="inlineStr">
        <is>
          <t>Czech Republic</t>
        </is>
      </c>
      <c r="P616" s="3" t="inlineStr">
        <is>
          <t>Z92-CZ10008</t>
        </is>
      </c>
      <c r="Q616" s="3" t="inlineStr">
        <is>
          <t>77242113UCO2001</t>
        </is>
      </c>
    </row>
    <row r="617">
      <c r="A617" s="2" t="str">
        <f>HYPERLINK("https://vtmf.veevavault.com/ui/#doc_info/27199626/1/0", "77242113UCO2001-CZE-Z92-CZ10008-Non-IP Return Documentation-10 Sep 2024 (v1.0)")</f>
        <v>77242113UCO2001-CZE-Z92-CZ10008-Non-IP Return Documentation-10 Sep 2024 (v1.0)</v>
      </c>
      <c r="B617" s="3" t="inlineStr">
        <is>
          <t>Jitka Kone</t>
        </is>
      </c>
      <c r="C617" s="3" t="inlineStr">
        <is>
          <t>IP and Trial Supplies</t>
        </is>
      </c>
      <c r="D617" s="3" t="inlineStr">
        <is>
          <t>Non-IP Documentation</t>
        </is>
      </c>
      <c r="E617" s="3" t="inlineStr">
        <is>
          <t>Non-IP Return Documentation</t>
        </is>
      </c>
      <c r="F617" s="3" t="inlineStr">
        <is>
          <t>Handover protocol return_thermometer 
KLT-23K-6202 (23-172)</t>
        </is>
      </c>
      <c r="G617" s="2" t="str">
        <f>HYPERLINK("https://vtmf.veevavault.com/ui/#doc_info/27199626/1/0", "VTMF-21810285")</f>
        <v>VTMF-21810285</v>
      </c>
      <c r="H617" s="3" t="inlineStr">
        <is>
          <t/>
        </is>
      </c>
      <c r="I617" s="3" t="inlineStr">
        <is>
          <t>Anthony Suarez (veeva.com)</t>
        </is>
      </c>
      <c r="J617" s="3" t="inlineStr">
        <is>
          <t>Jitka Kone</t>
        </is>
      </c>
      <c r="K617" s="4" t="n">
        <v>45569.675671296296</v>
      </c>
      <c r="L617" s="5" t="n">
        <v>45569.0</v>
      </c>
      <c r="M617" s="3" t="inlineStr">
        <is>
          <t>Approved</t>
        </is>
      </c>
      <c r="N617" s="3" t="inlineStr">
        <is>
          <t>Available for Distribution, CLIX Filing, Site Close</t>
        </is>
      </c>
      <c r="O617" s="3" t="inlineStr">
        <is>
          <t>Czech Republic</t>
        </is>
      </c>
      <c r="P617" s="3" t="inlineStr">
        <is>
          <t>Z92-CZ10008</t>
        </is>
      </c>
      <c r="Q617" s="3" t="inlineStr">
        <is>
          <t>77242113UCO2001</t>
        </is>
      </c>
    </row>
    <row r="618">
      <c r="A618" s="2" t="str">
        <f>HYPERLINK("https://vtmf.veevavault.com/ui/#doc_info/30383868/1/0", "77242113UCO2001-CZE-Z92-CZ10008-Non-IP Return Documentation-12 Nov 2025 (v1.0)")</f>
        <v>77242113UCO2001-CZE-Z92-CZ10008-Non-IP Return Documentation-12 Nov 2025 (v1.0)</v>
      </c>
      <c r="B618" s="3" t="inlineStr">
        <is>
          <t>Jitka Kone</t>
        </is>
      </c>
      <c r="C618" s="3" t="inlineStr">
        <is>
          <t>IP and Trial Supplies</t>
        </is>
      </c>
      <c r="D618" s="3" t="inlineStr">
        <is>
          <t>Non-IP Documentation</t>
        </is>
      </c>
      <c r="E618" s="3" t="inlineStr">
        <is>
          <t>Non-IP Return Documentation</t>
        </is>
      </c>
      <c r="F618" s="3" t="inlineStr">
        <is>
          <t>Handover protocol_Tablet + 2x Handheld</t>
        </is>
      </c>
      <c r="G618" s="2" t="str">
        <f>HYPERLINK("https://vtmf.veevavault.com/ui/#doc_info/30383868/1/0", "VTMF-24473207")</f>
        <v>VTMF-24473207</v>
      </c>
      <c r="H618" s="3" t="inlineStr">
        <is>
          <t/>
        </is>
      </c>
      <c r="I618" s="3" t="inlineStr">
        <is>
          <t>System</t>
        </is>
      </c>
      <c r="J618" s="3" t="inlineStr">
        <is>
          <t>Jitka Kone</t>
        </is>
      </c>
      <c r="K618" s="4" t="n">
        <v>45975.51505787037</v>
      </c>
      <c r="L618" s="5" t="n">
        <v>45975.0</v>
      </c>
      <c r="M618" s="3" t="inlineStr">
        <is>
          <t>Approved</t>
        </is>
      </c>
      <c r="N618" s="3" t="inlineStr">
        <is>
          <t>CLIX Filing, Country Close, Study Close</t>
        </is>
      </c>
      <c r="O618" s="3" t="inlineStr">
        <is>
          <t>Czech Republic</t>
        </is>
      </c>
      <c r="P618" s="3" t="inlineStr">
        <is>
          <t>Z92-CZ10008</t>
        </is>
      </c>
      <c r="Q618" s="3" t="inlineStr">
        <is>
          <t>77242113UCO2001</t>
        </is>
      </c>
    </row>
    <row r="619">
      <c r="A619" s="2" t="str">
        <f>HYPERLINK("https://vtmf.veevavault.com/ui/#doc_info/27734214/1/0", "77242113UCO2001-CZE-Z92-CZ10008-Non-IP Return Documentation-19 Nov 2024 (v1.0)")</f>
        <v>77242113UCO2001-CZE-Z92-CZ10008-Non-IP Return Documentation-19 Nov 2024 (v1.0)</v>
      </c>
      <c r="B619" s="3" t="inlineStr">
        <is>
          <t>Jitka Kone</t>
        </is>
      </c>
      <c r="C619" s="3" t="inlineStr">
        <is>
          <t>IP and Trial Supplies</t>
        </is>
      </c>
      <c r="D619" s="3" t="inlineStr">
        <is>
          <t>Non-IP Documentation</t>
        </is>
      </c>
      <c r="E619" s="3" t="inlineStr">
        <is>
          <t>Non-IP Return Documentation</t>
        </is>
      </c>
      <c r="F619" s="3" t="inlineStr">
        <is>
          <t>Handover protocol_meal vouchers return 15 pcs</t>
        </is>
      </c>
      <c r="G619" s="2" t="str">
        <f>HYPERLINK("https://vtmf.veevavault.com/ui/#doc_info/27734214/1/0", "VTMF-22239774")</f>
        <v>VTMF-22239774</v>
      </c>
      <c r="H619" s="3" t="inlineStr">
        <is>
          <t/>
        </is>
      </c>
      <c r="I619" s="3" t="inlineStr">
        <is>
          <t>System</t>
        </is>
      </c>
      <c r="J619" s="3" t="inlineStr">
        <is>
          <t>Jitka Kone</t>
        </is>
      </c>
      <c r="K619" s="4" t="n">
        <v>45621.38591435185</v>
      </c>
      <c r="L619" s="5" t="n">
        <v>45621.0</v>
      </c>
      <c r="M619" s="3" t="inlineStr">
        <is>
          <t>Approved</t>
        </is>
      </c>
      <c r="N619" s="3" t="inlineStr">
        <is>
          <t>CLIX Filing, Country Close, Study Close</t>
        </is>
      </c>
      <c r="O619" s="3" t="inlineStr">
        <is>
          <t>Czech Republic</t>
        </is>
      </c>
      <c r="P619" s="3" t="inlineStr">
        <is>
          <t>Z92-CZ10008</t>
        </is>
      </c>
      <c r="Q619" s="3" t="inlineStr">
        <is>
          <t>77242113UCO2001</t>
        </is>
      </c>
    </row>
    <row r="620">
      <c r="A620" s="2" t="str">
        <f>HYPERLINK("https://vtmf.veevavault.com/ui/#doc_info/30063891/1/0", "77242113UCO2001-CZE-Z92-CZ10008-Non-IP Return Documentation-23 Sep 2025 (v1.0)")</f>
        <v>77242113UCO2001-CZE-Z92-CZ10008-Non-IP Return Documentation-23 Sep 2025 (v1.0)</v>
      </c>
      <c r="B620" s="3" t="inlineStr">
        <is>
          <t>Jitka Kone</t>
        </is>
      </c>
      <c r="C620" s="3" t="inlineStr">
        <is>
          <t>IP and Trial Supplies</t>
        </is>
      </c>
      <c r="D620" s="3" t="inlineStr">
        <is>
          <t>Non-IP Documentation</t>
        </is>
      </c>
      <c r="E620" s="3" t="inlineStr">
        <is>
          <t>Non-IP Return Documentation</t>
        </is>
      </c>
      <c r="F620" s="3" t="inlineStr">
        <is>
          <t>NIPSF_Thermometer KLT-25K-6310 return</t>
        </is>
      </c>
      <c r="G620" s="2" t="str">
        <f>HYPERLINK("https://vtmf.veevavault.com/ui/#doc_info/30063891/1/0", "VTMF-24198670")</f>
        <v>VTMF-24198670</v>
      </c>
      <c r="H620" s="3" t="inlineStr">
        <is>
          <t/>
        </is>
      </c>
      <c r="I620" s="3" t="inlineStr">
        <is>
          <t>System</t>
        </is>
      </c>
      <c r="J620" s="3" t="inlineStr">
        <is>
          <t>Jitka Kone</t>
        </is>
      </c>
      <c r="K620" s="4" t="n">
        <v>45930.43770833333</v>
      </c>
      <c r="L620" s="5" t="n">
        <v>45930.0</v>
      </c>
      <c r="M620" s="3" t="inlineStr">
        <is>
          <t>Approved</t>
        </is>
      </c>
      <c r="N620" s="3" t="inlineStr">
        <is>
          <t>CLIX Filing, Country Close, Study Close</t>
        </is>
      </c>
      <c r="O620" s="3" t="inlineStr">
        <is>
          <t>Czech Republic</t>
        </is>
      </c>
      <c r="P620" s="3" t="inlineStr">
        <is>
          <t>Z92-CZ10008</t>
        </is>
      </c>
      <c r="Q620" s="3" t="inlineStr">
        <is>
          <t>77242113UCO2001</t>
        </is>
      </c>
    </row>
    <row r="621">
      <c r="A621" s="2" t="str">
        <f>HYPERLINK("https://vtmf.veevavault.com/ui/#doc_info/26055628/2/0", "77242113UCO2001-CZE-Z92-CZ10008-Non-IP Shipment Documentation-03 Apr 2024 (v2.0)")</f>
        <v>77242113UCO2001-CZE-Z92-CZ10008-Non-IP Shipment Documentation-03 Apr 2024 (v2.0)</v>
      </c>
      <c r="B621" s="3" t="inlineStr">
        <is>
          <t>Jitka Kone</t>
        </is>
      </c>
      <c r="C621" s="3" t="inlineStr">
        <is>
          <t>IP and Trial Supplies</t>
        </is>
      </c>
      <c r="D621" s="3" t="inlineStr">
        <is>
          <t>Non-IP Documentation</t>
        </is>
      </c>
      <c r="E621" s="3" t="inlineStr">
        <is>
          <t>Non-IP Shipment Documentation</t>
        </is>
      </c>
      <c r="F621" s="3" t="inlineStr">
        <is>
          <t>NIPSF_Initial_22-JAN-2024_corrected 03Apr24</t>
        </is>
      </c>
      <c r="G621" s="2" t="str">
        <f>HYPERLINK("https://vtmf.veevavault.com/ui/#doc_info/26055628/2/0", "VTMF-20828993")</f>
        <v>VTMF-20828993</v>
      </c>
      <c r="H621" s="3" t="inlineStr">
        <is>
          <t/>
        </is>
      </c>
      <c r="I621" s="3" t="inlineStr">
        <is>
          <t>System</t>
        </is>
      </c>
      <c r="J621" s="3" t="inlineStr">
        <is>
          <t>Lenka Placha</t>
        </is>
      </c>
      <c r="K621" s="4" t="n">
        <v>45615.57591435185</v>
      </c>
      <c r="L621" s="5" t="n">
        <v>45615.0</v>
      </c>
      <c r="M621" s="3" t="inlineStr">
        <is>
          <t>Approved</t>
        </is>
      </c>
      <c r="N621" s="3" t="inlineStr">
        <is>
          <t>Available for Distribution, CLIX Filing, Site Close</t>
        </is>
      </c>
      <c r="O621" s="3" t="inlineStr">
        <is>
          <t>Czech Republic</t>
        </is>
      </c>
      <c r="P621" s="3" t="inlineStr">
        <is>
          <t>Z92-CZ10008</t>
        </is>
      </c>
      <c r="Q621" s="3" t="inlineStr">
        <is>
          <t>77242113UCO2001</t>
        </is>
      </c>
    </row>
    <row r="622">
      <c r="A622" s="2" t="str">
        <f>HYPERLINK("https://vtmf.veevavault.com/ui/#doc_info/26065701/1/0", "77242113UCO2001-CZE-Z92-CZ10008-Non-IP Shipment Documentation-03 Apr 2024 (v1.0)")</f>
        <v>77242113UCO2001-CZE-Z92-CZ10008-Non-IP Shipment Documentation-03 Apr 2024 (v1.0)</v>
      </c>
      <c r="B622" s="3" t="inlineStr">
        <is>
          <t>Jitka Kone</t>
        </is>
      </c>
      <c r="C622" s="3" t="inlineStr">
        <is>
          <t>IP and Trial Supplies</t>
        </is>
      </c>
      <c r="D622" s="3" t="inlineStr">
        <is>
          <t>Non-IP Documentation</t>
        </is>
      </c>
      <c r="E622" s="3" t="inlineStr">
        <is>
          <t>Non-IP Shipment Documentation</t>
        </is>
      </c>
      <c r="F622" s="3" t="inlineStr">
        <is>
          <t>NIPSF_Subject File + ICFs + Mini Protocol Am. 2 + I-E Criteria_02-APR-2024</t>
        </is>
      </c>
      <c r="G622" s="2" t="str">
        <f>HYPERLINK("https://vtmf.veevavault.com/ui/#doc_info/26065701/1/0", "VTMF-20837776")</f>
        <v>VTMF-20837776</v>
      </c>
      <c r="H622" s="3" t="inlineStr">
        <is>
          <t/>
        </is>
      </c>
      <c r="I622" s="3" t="inlineStr">
        <is>
          <t>Anthony Suarez (veeva.com)</t>
        </is>
      </c>
      <c r="J622" s="3" t="inlineStr">
        <is>
          <t>Jitka Kone</t>
        </is>
      </c>
      <c r="K622" s="4" t="n">
        <v>45386.67503472222</v>
      </c>
      <c r="L622" s="5" t="n">
        <v>45386.0</v>
      </c>
      <c r="M622" s="3" t="inlineStr">
        <is>
          <t>Approved</t>
        </is>
      </c>
      <c r="N622" s="3" t="inlineStr">
        <is>
          <t>Available for Distribution, CLIX Filing, Site Close</t>
        </is>
      </c>
      <c r="O622" s="3" t="inlineStr">
        <is>
          <t>Czech Republic</t>
        </is>
      </c>
      <c r="P622" s="3" t="inlineStr">
        <is>
          <t>Z92-CZ10008</t>
        </is>
      </c>
      <c r="Q622" s="3" t="inlineStr">
        <is>
          <t>77242113UCO2001</t>
        </is>
      </c>
    </row>
    <row r="623">
      <c r="A623" s="2" t="str">
        <f>HYPERLINK("https://vtmf.veevavault.com/ui/#doc_info/26070740/1/0", "77242113UCO2001-CZE-Z92-CZ10008-Non-IP Shipment Documentation-03 Apr 2024 (v1.0)")</f>
        <v>77242113UCO2001-CZE-Z92-CZ10008-Non-IP Shipment Documentation-03 Apr 2024 (v1.0)</v>
      </c>
      <c r="B623" s="3" t="inlineStr">
        <is>
          <t>Jitka Kone</t>
        </is>
      </c>
      <c r="C623" s="3" t="inlineStr">
        <is>
          <t>IP and Trial Supplies</t>
        </is>
      </c>
      <c r="D623" s="3" t="inlineStr">
        <is>
          <t>Non-IP Documentation</t>
        </is>
      </c>
      <c r="E623" s="3" t="inlineStr">
        <is>
          <t>Non-IP Shipment Documentation</t>
        </is>
      </c>
      <c r="F623" s="3" t="inlineStr">
        <is>
          <t>Handover Protocol_Scale S/N 8344521749
02-APR-2024</t>
        </is>
      </c>
      <c r="G623" s="2" t="str">
        <f>HYPERLINK("https://vtmf.veevavault.com/ui/#doc_info/26070740/1/0", "VTMF-20842303")</f>
        <v>VTMF-20842303</v>
      </c>
      <c r="H623" s="3" t="inlineStr">
        <is>
          <t/>
        </is>
      </c>
      <c r="I623" s="3" t="inlineStr">
        <is>
          <t>Anthony Suarez (veeva.com)</t>
        </is>
      </c>
      <c r="J623" s="3" t="inlineStr">
        <is>
          <t>Jitka Kone</t>
        </is>
      </c>
      <c r="K623" s="4" t="n">
        <v>45387.43431712963</v>
      </c>
      <c r="L623" s="5" t="n">
        <v>45387.0</v>
      </c>
      <c r="M623" s="3" t="inlineStr">
        <is>
          <t>Approved</t>
        </is>
      </c>
      <c r="N623" s="3" t="inlineStr">
        <is>
          <t>Available for Distribution, CLIX Filing, Site Close</t>
        </is>
      </c>
      <c r="O623" s="3" t="inlineStr">
        <is>
          <t>Czech Republic</t>
        </is>
      </c>
      <c r="P623" s="3" t="inlineStr">
        <is>
          <t>Z92-CZ10008</t>
        </is>
      </c>
      <c r="Q623" s="3" t="inlineStr">
        <is>
          <t>77242113UCO2001</t>
        </is>
      </c>
    </row>
    <row r="624">
      <c r="A624" s="2" t="str">
        <f>HYPERLINK("https://vtmf.veevavault.com/ui/#doc_info/26071017/1/0", "77242113UCO2001-CZE-Z92-CZ10008-Non-IP Shipment Documentation-03 Apr 2024 (v1.0)")</f>
        <v>77242113UCO2001-CZE-Z92-CZ10008-Non-IP Shipment Documentation-03 Apr 2024 (v1.0)</v>
      </c>
      <c r="B624" s="3" t="inlineStr">
        <is>
          <t>Jitka Kone</t>
        </is>
      </c>
      <c r="C624" s="3" t="inlineStr">
        <is>
          <t>IP and Trial Supplies</t>
        </is>
      </c>
      <c r="D624" s="3" t="inlineStr">
        <is>
          <t>Non-IP Documentation</t>
        </is>
      </c>
      <c r="E624" s="3" t="inlineStr">
        <is>
          <t>Non-IP Shipment Documentation</t>
        </is>
      </c>
      <c r="F624" s="3" t="inlineStr">
        <is>
          <t>Handover Protocol_Thermometer 23-172
KLT-23K-6202</t>
        </is>
      </c>
      <c r="G624" s="2" t="str">
        <f>HYPERLINK("https://vtmf.veevavault.com/ui/#doc_info/26071017/1/0", "VTMF-20842535")</f>
        <v>VTMF-20842535</v>
      </c>
      <c r="H624" s="3" t="inlineStr">
        <is>
          <t/>
        </is>
      </c>
      <c r="I624" s="3" t="inlineStr">
        <is>
          <t>Anthony Suarez (veeva.com)</t>
        </is>
      </c>
      <c r="J624" s="3" t="inlineStr">
        <is>
          <t>Jitka Kone</t>
        </is>
      </c>
      <c r="K624" s="4" t="n">
        <v>45387.472037037034</v>
      </c>
      <c r="L624" s="5" t="n">
        <v>45387.0</v>
      </c>
      <c r="M624" s="3" t="inlineStr">
        <is>
          <t>Approved</t>
        </is>
      </c>
      <c r="N624" s="3" t="inlineStr">
        <is>
          <t>Available for Distribution, CLIX Filing, Site Close</t>
        </is>
      </c>
      <c r="O624" s="3" t="inlineStr">
        <is>
          <t>Czech Republic</t>
        </is>
      </c>
      <c r="P624" s="3" t="inlineStr">
        <is>
          <t>Z92-CZ10008</t>
        </is>
      </c>
      <c r="Q624" s="3" t="inlineStr">
        <is>
          <t>77242113UCO2001</t>
        </is>
      </c>
    </row>
    <row r="625">
      <c r="A625" s="2" t="str">
        <f>HYPERLINK("https://vtmf.veevavault.com/ui/#doc_info/26072229/1/0", "77242113UCO2001-CZE-Z92-CZ10008-Non-IP Shipment Documentation-03 Apr 2024 (v1.0)")</f>
        <v>77242113UCO2001-CZE-Z92-CZ10008-Non-IP Shipment Documentation-03 Apr 2024 (v1.0)</v>
      </c>
      <c r="B625" s="3" t="inlineStr">
        <is>
          <t>Jitka Kone</t>
        </is>
      </c>
      <c r="C625" s="3" t="inlineStr">
        <is>
          <t>IP and Trial Supplies</t>
        </is>
      </c>
      <c r="D625" s="3" t="inlineStr">
        <is>
          <t>Non-IP Documentation</t>
        </is>
      </c>
      <c r="E625" s="3" t="inlineStr">
        <is>
          <t>Non-IP Shipment Documentation</t>
        </is>
      </c>
      <c r="F625" s="3" t="inlineStr">
        <is>
          <t>Handover Protocol_Meal vouchers 100 pcs 02-APR-2024</t>
        </is>
      </c>
      <c r="G625" s="2" t="str">
        <f>HYPERLINK("https://vtmf.veevavault.com/ui/#doc_info/26072229/1/0", "VTMF-20843512")</f>
        <v>VTMF-20843512</v>
      </c>
      <c r="H625" s="3" t="inlineStr">
        <is>
          <t/>
        </is>
      </c>
      <c r="I625" s="3" t="inlineStr">
        <is>
          <t>Anthony Suarez (veeva.com)</t>
        </is>
      </c>
      <c r="J625" s="3" t="inlineStr">
        <is>
          <t>Jitka Kone</t>
        </is>
      </c>
      <c r="K625" s="4" t="n">
        <v>45387.594560185185</v>
      </c>
      <c r="L625" s="5" t="n">
        <v>45387.0</v>
      </c>
      <c r="M625" s="3" t="inlineStr">
        <is>
          <t>Approved</t>
        </is>
      </c>
      <c r="N625" s="3" t="inlineStr">
        <is>
          <t>Available for Distribution, CLIX Filing, Site Close</t>
        </is>
      </c>
      <c r="O625" s="3" t="inlineStr">
        <is>
          <t>Czech Republic</t>
        </is>
      </c>
      <c r="P625" s="3" t="inlineStr">
        <is>
          <t>Z92-CZ10008</t>
        </is>
      </c>
      <c r="Q625" s="3" t="inlineStr">
        <is>
          <t>77242113UCO2001</t>
        </is>
      </c>
    </row>
    <row r="626">
      <c r="A626" s="2" t="str">
        <f>HYPERLINK("https://vtmf.veevavault.com/ui/#doc_info/26072694/1/0", "77242113UCO2001-CZE-Z92-CZ10008-Non-IP Shipment Documentation-03 Apr 2024 (v1.0)")</f>
        <v>77242113UCO2001-CZE-Z92-CZ10008-Non-IP Shipment Documentation-03 Apr 2024 (v1.0)</v>
      </c>
      <c r="B626" s="3" t="inlineStr">
        <is>
          <t>Jitka Kone</t>
        </is>
      </c>
      <c r="C626" s="3" t="inlineStr">
        <is>
          <t>IP and Trial Supplies</t>
        </is>
      </c>
      <c r="D626" s="3" t="inlineStr">
        <is>
          <t>Non-IP Documentation</t>
        </is>
      </c>
      <c r="E626" s="3" t="inlineStr">
        <is>
          <t>Non-IP Shipment Documentation</t>
        </is>
      </c>
      <c r="F626" s="3" t="inlineStr">
        <is>
          <t>NIPSF_Handheld A694530_02-APR-2024</t>
        </is>
      </c>
      <c r="G626" s="2" t="str">
        <f>HYPERLINK("https://vtmf.veevavault.com/ui/#doc_info/26072694/1/0", "VTMF-20843937")</f>
        <v>VTMF-20843937</v>
      </c>
      <c r="H626" s="3" t="inlineStr">
        <is>
          <t/>
        </is>
      </c>
      <c r="I626" s="3" t="inlineStr">
        <is>
          <t>Anthony Suarez (veeva.com)</t>
        </is>
      </c>
      <c r="J626" s="3" t="inlineStr">
        <is>
          <t>Jitka Kone</t>
        </is>
      </c>
      <c r="K626" s="4" t="n">
        <v>45387.63171296296</v>
      </c>
      <c r="L626" s="5" t="n">
        <v>45387.0</v>
      </c>
      <c r="M626" s="3" t="inlineStr">
        <is>
          <t>Approved</t>
        </is>
      </c>
      <c r="N626" s="3" t="inlineStr">
        <is>
          <t>Available for Distribution, CLIX Filing, Site Close</t>
        </is>
      </c>
      <c r="O626" s="3" t="inlineStr">
        <is>
          <t>Czech Republic</t>
        </is>
      </c>
      <c r="P626" s="3" t="inlineStr">
        <is>
          <t>Z92-CZ10008</t>
        </is>
      </c>
      <c r="Q626" s="3" t="inlineStr">
        <is>
          <t>77242113UCO2001</t>
        </is>
      </c>
    </row>
    <row r="627">
      <c r="A627" s="2" t="str">
        <f>HYPERLINK("https://vtmf.veevavault.com/ui/#doc_info/26675064/1/0", "77242113UCO2001-CZE-Z92-CZ10008-Non-IP Shipment Documentation-03 Jul 2024 (v1.0)")</f>
        <v>77242113UCO2001-CZE-Z92-CZ10008-Non-IP Shipment Documentation-03 Jul 2024 (v1.0)</v>
      </c>
      <c r="B627" s="3" t="inlineStr">
        <is>
          <t>Jitka Kone</t>
        </is>
      </c>
      <c r="C627" s="3" t="inlineStr">
        <is>
          <t>IP and Trial Supplies</t>
        </is>
      </c>
      <c r="D627" s="3" t="inlineStr">
        <is>
          <t>Non-IP Documentation</t>
        </is>
      </c>
      <c r="E627" s="3" t="inlineStr">
        <is>
          <t>Non-IP Shipment Documentation</t>
        </is>
      </c>
      <c r="F627" s="3" t="inlineStr">
        <is>
          <t>Handover protocol_ Thermometer KLT-24K-5254_01-JUL-2024</t>
        </is>
      </c>
      <c r="G627" s="2" t="str">
        <f>HYPERLINK("https://vtmf.veevavault.com/ui/#doc_info/26675064/1/0", "VTMF-21370792")</f>
        <v>VTMF-21370792</v>
      </c>
      <c r="H627" s="3" t="inlineStr">
        <is>
          <t/>
        </is>
      </c>
      <c r="I627" s="3" t="inlineStr">
        <is>
          <t>Anthony Suarez (veeva.com)</t>
        </is>
      </c>
      <c r="J627" s="3" t="inlineStr">
        <is>
          <t>Jitka Kone</t>
        </is>
      </c>
      <c r="K627" s="4" t="n">
        <v>45482.683842592596</v>
      </c>
      <c r="L627" s="5" t="n">
        <v>45482.0</v>
      </c>
      <c r="M627" s="3" t="inlineStr">
        <is>
          <t>Approved</t>
        </is>
      </c>
      <c r="N627" s="3" t="inlineStr">
        <is>
          <t>Available for Distribution, CLIX Filing, Site Close</t>
        </is>
      </c>
      <c r="O627" s="3" t="inlineStr">
        <is>
          <t>Czech Republic</t>
        </is>
      </c>
      <c r="P627" s="3" t="inlineStr">
        <is>
          <t>Z92-CZ10008</t>
        </is>
      </c>
      <c r="Q627" s="3" t="inlineStr">
        <is>
          <t>77242113UCO2001</t>
        </is>
      </c>
    </row>
    <row r="628">
      <c r="A628" s="2" t="str">
        <f>HYPERLINK("https://vtmf.veevavault.com/ui/#doc_info/31637939/1/0", "77242113UCO2001-CZE-Z92-CZ10008-Non-IP Shipment Documentation-04 May 2026 (v1.0)")</f>
        <v>77242113UCO2001-CZE-Z92-CZ10008-Non-IP Shipment Documentation-04 May 2026 (v1.0)</v>
      </c>
      <c r="B628" s="3" t="inlineStr">
        <is>
          <t>Jitka Kone</t>
        </is>
      </c>
      <c r="C628" s="3" t="inlineStr">
        <is>
          <t>IP and Trial Supplies</t>
        </is>
      </c>
      <c r="D628" s="3" t="inlineStr">
        <is>
          <t>Non-IP Documentation</t>
        </is>
      </c>
      <c r="E628" s="3" t="inlineStr">
        <is>
          <t>Non-IP Shipment Documentation</t>
        </is>
      </c>
      <c r="F628" s="3" t="inlineStr">
        <is>
          <t>NIPSF_USB archiving + Final Progress Report_27-APR-2026</t>
        </is>
      </c>
      <c r="G628" s="2" t="str">
        <f>HYPERLINK("https://vtmf.veevavault.com/ui/#doc_info/31637939/1/0", "VTMF-25533789")</f>
        <v>VTMF-25533789</v>
      </c>
      <c r="H628" s="3" t="inlineStr">
        <is>
          <t/>
        </is>
      </c>
      <c r="I628" s="3" t="inlineStr">
        <is>
          <t>System</t>
        </is>
      </c>
      <c r="J628" s="3" t="inlineStr">
        <is>
          <t>Jitka Kone</t>
        </is>
      </c>
      <c r="K628" s="4" t="n">
        <v>46154.67890046296</v>
      </c>
      <c r="L628" s="5" t="n">
        <v>46154.0</v>
      </c>
      <c r="M628" s="3" t="inlineStr">
        <is>
          <t>Approved</t>
        </is>
      </c>
      <c r="N628" s="3" t="inlineStr">
        <is>
          <t>CLIX Filing, Country Start, Site Start</t>
        </is>
      </c>
      <c r="O628" s="3" t="inlineStr">
        <is>
          <t>Czech Republic</t>
        </is>
      </c>
      <c r="P628" s="3" t="inlineStr">
        <is>
          <t>Z92-CZ10008</t>
        </is>
      </c>
      <c r="Q628" s="3" t="inlineStr">
        <is>
          <t>77242113UCO2001</t>
        </is>
      </c>
    </row>
    <row r="629">
      <c r="A629" s="2" t="str">
        <f>HYPERLINK("https://vtmf.veevavault.com/ui/#doc_info/31203907/1/0", "77242113UCO2001-CZE-Z92-CZ10008-Non-IP Shipment Documentation-09 Mar 2026 (v1.0)")</f>
        <v>77242113UCO2001-CZE-Z92-CZ10008-Non-IP Shipment Documentation-09 Mar 2026 (v1.0)</v>
      </c>
      <c r="B629" s="3" t="inlineStr">
        <is>
          <t>Jitka Kone</t>
        </is>
      </c>
      <c r="C629" s="3" t="inlineStr">
        <is>
          <t>IP and Trial Supplies</t>
        </is>
      </c>
      <c r="D629" s="3" t="inlineStr">
        <is>
          <t>Non-IP Documentation</t>
        </is>
      </c>
      <c r="E629" s="3" t="inlineStr">
        <is>
          <t>Non-IP Shipment Documentation</t>
        </is>
      </c>
      <c r="F629" s="3" t="inlineStr">
        <is>
          <t>NIPSF sit_USB_09-MAR-2026</t>
        </is>
      </c>
      <c r="G629" s="2" t="str">
        <f>HYPERLINK("https://vtmf.veevavault.com/ui/#doc_info/31203907/1/0", "VTMF-25160964")</f>
        <v>VTMF-25160964</v>
      </c>
      <c r="H629" s="3" t="inlineStr">
        <is>
          <t/>
        </is>
      </c>
      <c r="I629" s="3" t="inlineStr">
        <is>
          <t>System</t>
        </is>
      </c>
      <c r="J629" s="3" t="inlineStr">
        <is>
          <t>Jitka Kone</t>
        </is>
      </c>
      <c r="K629" s="4" t="n">
        <v>46099.591215277775</v>
      </c>
      <c r="L629" s="5" t="n">
        <v>46099.0</v>
      </c>
      <c r="M629" s="3" t="inlineStr">
        <is>
          <t>Approved</t>
        </is>
      </c>
      <c r="N629" s="3" t="inlineStr">
        <is>
          <t>CLIX Filing, Country Start, Site Start</t>
        </is>
      </c>
      <c r="O629" s="3" t="inlineStr">
        <is>
          <t>Czech Republic</t>
        </is>
      </c>
      <c r="P629" s="3" t="inlineStr">
        <is>
          <t>Z92-CZ10008</t>
        </is>
      </c>
      <c r="Q629" s="3" t="inlineStr">
        <is>
          <t>77242113UCO2001</t>
        </is>
      </c>
    </row>
    <row r="630">
      <c r="A630" s="2" t="str">
        <f>HYPERLINK("https://vtmf.veevavault.com/ui/#doc_info/28281770/1/0", "77242113UCO2001-CZE-Z92-CZ10008-Non-IP Shipment Documentation-10 Feb 2025 (v1.0)")</f>
        <v>77242113UCO2001-CZE-Z92-CZ10008-Non-IP Shipment Documentation-10 Feb 2025 (v1.0)</v>
      </c>
      <c r="B630" s="3" t="inlineStr">
        <is>
          <t>Jitka Kone</t>
        </is>
      </c>
      <c r="C630" s="3" t="inlineStr">
        <is>
          <t>IP and Trial Supplies</t>
        </is>
      </c>
      <c r="D630" s="3" t="inlineStr">
        <is>
          <t>Non-IP Documentation</t>
        </is>
      </c>
      <c r="E630" s="3" t="inlineStr">
        <is>
          <t>Non-IP Shipment Documentation</t>
        </is>
      </c>
      <c r="F630" s="3" t="inlineStr">
        <is>
          <t>NIPSF pharmacy_IB Ed. 6 + PCI v. 7_03-FEB-2025</t>
        </is>
      </c>
      <c r="G630" s="2" t="str">
        <f>HYPERLINK("https://vtmf.veevavault.com/ui/#doc_info/28281770/1/0", "VTMF-22687021")</f>
        <v>VTMF-22687021</v>
      </c>
      <c r="H630" s="3" t="inlineStr">
        <is>
          <t/>
        </is>
      </c>
      <c r="I630" s="3" t="inlineStr">
        <is>
          <t>System</t>
        </is>
      </c>
      <c r="J630" s="3" t="inlineStr">
        <is>
          <t>Jitka Kone</t>
        </is>
      </c>
      <c r="K630" s="4" t="n">
        <v>45700.565034722225</v>
      </c>
      <c r="L630" s="5" t="n">
        <v>45700.0</v>
      </c>
      <c r="M630" s="3" t="inlineStr">
        <is>
          <t>Approved</t>
        </is>
      </c>
      <c r="N630" s="3" t="inlineStr">
        <is>
          <t>CLIX Filing, Country Start, Site Start</t>
        </is>
      </c>
      <c r="O630" s="3" t="inlineStr">
        <is>
          <t>Czech Republic</t>
        </is>
      </c>
      <c r="P630" s="3" t="inlineStr">
        <is>
          <t>Z92-CZ10008</t>
        </is>
      </c>
      <c r="Q630" s="3" t="inlineStr">
        <is>
          <t>77242113UCO2001</t>
        </is>
      </c>
    </row>
    <row r="631">
      <c r="A631" s="2" t="str">
        <f>HYPERLINK("https://vtmf.veevavault.com/ui/#doc_info/29378878/1/0", "77242113UCO2001-CZE-Z92-CZ10008-Non-IP Shipment Documentation-10 Jun 2025 (v1.0)")</f>
        <v>77242113UCO2001-CZE-Z92-CZ10008-Non-IP Shipment Documentation-10 Jun 2025 (v1.0)</v>
      </c>
      <c r="B631" s="3" t="inlineStr">
        <is>
          <t>Jitka Kone</t>
        </is>
      </c>
      <c r="C631" s="3" t="inlineStr">
        <is>
          <t>IP and Trial Supplies</t>
        </is>
      </c>
      <c r="D631" s="3" t="inlineStr">
        <is>
          <t>Non-IP Documentation</t>
        </is>
      </c>
      <c r="E631" s="3" t="inlineStr">
        <is>
          <t>Non-IP Shipment Documentation</t>
        </is>
      </c>
      <c r="F631" s="3" t="inlineStr">
        <is>
          <t>Handover protocol_meal vouchers 100 pcs_09-JUN-2025</t>
        </is>
      </c>
      <c r="G631" s="2" t="str">
        <f>HYPERLINK("https://vtmf.veevavault.com/ui/#doc_info/29378878/1/0", "VTMF-23619524")</f>
        <v>VTMF-23619524</v>
      </c>
      <c r="H631" s="3" t="inlineStr">
        <is>
          <t/>
        </is>
      </c>
      <c r="I631" s="3" t="inlineStr">
        <is>
          <t>System</t>
        </is>
      </c>
      <c r="J631" s="3" t="inlineStr">
        <is>
          <t>Jitka Kone</t>
        </is>
      </c>
      <c r="K631" s="4" t="n">
        <v>45826.56148148148</v>
      </c>
      <c r="L631" s="5" t="n">
        <v>45826.0</v>
      </c>
      <c r="M631" s="3" t="inlineStr">
        <is>
          <t>Approved</t>
        </is>
      </c>
      <c r="N631" s="3" t="inlineStr">
        <is>
          <t>CLIX Filing, Country Start, Site Start</t>
        </is>
      </c>
      <c r="O631" s="3" t="inlineStr">
        <is>
          <t>Czech Republic</t>
        </is>
      </c>
      <c r="P631" s="3" t="inlineStr">
        <is>
          <t>Z92-CZ10008</t>
        </is>
      </c>
      <c r="Q631" s="3" t="inlineStr">
        <is>
          <t>77242113UCO2001</t>
        </is>
      </c>
    </row>
    <row r="632">
      <c r="A632" s="2" t="str">
        <f>HYPERLINK("https://vtmf.veevavault.com/ui/#doc_info/27098518/1/0", "77242113UCO2001-CZE-Z92-CZ10008-Non-IP Shipment Documentation-10 Sep 2024 (v1.0)")</f>
        <v>77242113UCO2001-CZE-Z92-CZ10008-Non-IP Shipment Documentation-10 Sep 2024 (v1.0)</v>
      </c>
      <c r="B632" s="3" t="inlineStr">
        <is>
          <t>Jitka Kone</t>
        </is>
      </c>
      <c r="C632" s="3" t="inlineStr">
        <is>
          <t>IP and Trial Supplies</t>
        </is>
      </c>
      <c r="D632" s="3" t="inlineStr">
        <is>
          <t>Non-IP Documentation</t>
        </is>
      </c>
      <c r="E632" s="3" t="inlineStr">
        <is>
          <t>Non-IP Shipment Documentation</t>
        </is>
      </c>
      <c r="F632" s="3" t="inlineStr">
        <is>
          <t>Handover protocol_meal vouchers 50 pcs_10-SEP-2024</t>
        </is>
      </c>
      <c r="G632" s="2" t="str">
        <f>HYPERLINK("https://vtmf.veevavault.com/ui/#doc_info/27098518/1/0", "VTMF-21723516")</f>
        <v>VTMF-21723516</v>
      </c>
      <c r="H632" s="3" t="inlineStr">
        <is>
          <t/>
        </is>
      </c>
      <c r="I632" s="3" t="inlineStr">
        <is>
          <t>Anthony Suarez (veeva.com)</t>
        </is>
      </c>
      <c r="J632" s="3" t="inlineStr">
        <is>
          <t>Jitka Kone</t>
        </is>
      </c>
      <c r="K632" s="4" t="n">
        <v>45553.6453125</v>
      </c>
      <c r="L632" s="5" t="n">
        <v>45553.0</v>
      </c>
      <c r="M632" s="3" t="inlineStr">
        <is>
          <t>Approved</t>
        </is>
      </c>
      <c r="N632" s="3" t="inlineStr">
        <is>
          <t>Available for Distribution, CLIX Filing, Site Close</t>
        </is>
      </c>
      <c r="O632" s="3" t="inlineStr">
        <is>
          <t>Czech Republic</t>
        </is>
      </c>
      <c r="P632" s="3" t="inlineStr">
        <is>
          <t>Z92-CZ10008</t>
        </is>
      </c>
      <c r="Q632" s="3" t="inlineStr">
        <is>
          <t>77242113UCO2001</t>
        </is>
      </c>
    </row>
    <row r="633">
      <c r="A633" s="2" t="str">
        <f>HYPERLINK("https://vtmf.veevavault.com/ui/#doc_info/29411848/1/0", "77242113UCO2001-CZE-Z92-CZ10008-Non-IP Shipment Documentation-12 Jun 2025 (v1.0)")</f>
        <v>77242113UCO2001-CZE-Z92-CZ10008-Non-IP Shipment Documentation-12 Jun 2025 (v1.0)</v>
      </c>
      <c r="B633" s="3" t="inlineStr">
        <is>
          <t>Jitka Kone</t>
        </is>
      </c>
      <c r="C633" s="3" t="inlineStr">
        <is>
          <t>IP and Trial Supplies</t>
        </is>
      </c>
      <c r="D633" s="3" t="inlineStr">
        <is>
          <t>Non-IP Documentation</t>
        </is>
      </c>
      <c r="E633" s="3" t="inlineStr">
        <is>
          <t>Non-IP Shipment Documentation</t>
        </is>
      </c>
      <c r="F633" s="3" t="inlineStr">
        <is>
          <t>NIPSF_Thermometer 2x_10-JUN-2025</t>
        </is>
      </c>
      <c r="G633" s="2" t="str">
        <f>HYPERLINK("https://vtmf.veevavault.com/ui/#doc_info/29411848/1/0", "VTMF-23649495")</f>
        <v>VTMF-23649495</v>
      </c>
      <c r="H633" s="3" t="inlineStr">
        <is>
          <t/>
        </is>
      </c>
      <c r="I633" s="3" t="inlineStr">
        <is>
          <t>System</t>
        </is>
      </c>
      <c r="J633" s="3" t="inlineStr">
        <is>
          <t>Jitka Kone</t>
        </is>
      </c>
      <c r="K633" s="4" t="n">
        <v>45828.604409722226</v>
      </c>
      <c r="L633" s="5" t="n">
        <v>45828.0</v>
      </c>
      <c r="M633" s="3" t="inlineStr">
        <is>
          <t>Approved</t>
        </is>
      </c>
      <c r="N633" s="3" t="inlineStr">
        <is>
          <t>CLIX Filing, Country Start, Site Start</t>
        </is>
      </c>
      <c r="O633" s="3" t="inlineStr">
        <is>
          <t>Czech Republic</t>
        </is>
      </c>
      <c r="P633" s="3" t="inlineStr">
        <is>
          <t>Z92-CZ10008</t>
        </is>
      </c>
      <c r="Q633" s="3" t="inlineStr">
        <is>
          <t>77242113UCO2001</t>
        </is>
      </c>
    </row>
    <row r="634">
      <c r="A634" s="2" t="str">
        <f>HYPERLINK("https://vtmf.veevavault.com/ui/#doc_info/29820487/1/0", "77242113UCO2001-CZE-Z92-CZ10008-Non-IP Shipment Documentation-13 Aug 2025 (v1.0)")</f>
        <v>77242113UCO2001-CZE-Z92-CZ10008-Non-IP Shipment Documentation-13 Aug 2025 (v1.0)</v>
      </c>
      <c r="B634" s="3" t="inlineStr">
        <is>
          <t>Jitka Kone</t>
        </is>
      </c>
      <c r="C634" s="3" t="inlineStr">
        <is>
          <t>IP and Trial Supplies</t>
        </is>
      </c>
      <c r="D634" s="3" t="inlineStr">
        <is>
          <t>Non-IP Documentation</t>
        </is>
      </c>
      <c r="E634" s="3" t="inlineStr">
        <is>
          <t>Non-IP Shipment Documentation</t>
        </is>
      </c>
      <c r="F634" s="3" t="inlineStr">
        <is>
          <t>NIPSF pharmacy_Acceptance of Add. 1 to IB Ed. 6_07-AUG-2025</t>
        </is>
      </c>
      <c r="G634" s="2" t="str">
        <f>HYPERLINK("https://vtmf.veevavault.com/ui/#doc_info/29820487/1/0", "VTMF-23999500")</f>
        <v>VTMF-23999500</v>
      </c>
      <c r="H634" s="3" t="inlineStr">
        <is>
          <t/>
        </is>
      </c>
      <c r="I634" s="3" t="inlineStr">
        <is>
          <t>System</t>
        </is>
      </c>
      <c r="J634" s="3" t="inlineStr">
        <is>
          <t>Jitka Kone</t>
        </is>
      </c>
      <c r="K634" s="4" t="n">
        <v>45894.505057870374</v>
      </c>
      <c r="L634" s="5" t="n">
        <v>45894.0</v>
      </c>
      <c r="M634" s="3" t="inlineStr">
        <is>
          <t>Approved</t>
        </is>
      </c>
      <c r="N634" s="3" t="inlineStr">
        <is>
          <t>CLIX Filing, Country Start, Site Start</t>
        </is>
      </c>
      <c r="O634" s="3" t="inlineStr">
        <is>
          <t>Czech Republic</t>
        </is>
      </c>
      <c r="P634" s="3" t="inlineStr">
        <is>
          <t>Z92-CZ10008</t>
        </is>
      </c>
      <c r="Q634" s="3" t="inlineStr">
        <is>
          <t>77242113UCO2001</t>
        </is>
      </c>
    </row>
    <row r="635">
      <c r="A635" s="2" t="str">
        <f>HYPERLINK("https://vtmf.veevavault.com/ui/#doc_info/24158271/1/0", "77242113UCO2001-CZE-Z92-CZ10008-Non-IP Shipment Documentation-15 May 2023 (v1.0)")</f>
        <v>77242113UCO2001-CZE-Z92-CZ10008-Non-IP Shipment Documentation-15 May 2023 (v1.0)</v>
      </c>
      <c r="B635" s="3" t="inlineStr">
        <is>
          <t>Lucie Duskova</t>
        </is>
      </c>
      <c r="C635" s="3" t="inlineStr">
        <is>
          <t>IP and Trial Supplies</t>
        </is>
      </c>
      <c r="D635" s="3" t="inlineStr">
        <is>
          <t>Non-IP Documentation</t>
        </is>
      </c>
      <c r="E635" s="3" t="inlineStr">
        <is>
          <t>Non-IP Shipment Documentation</t>
        </is>
      </c>
      <c r="F635" s="3" t="inlineStr">
        <is>
          <t>NIPSF_Protocol Original_15MAY2023</t>
        </is>
      </c>
      <c r="G635" s="2" t="str">
        <f>HYPERLINK("https://vtmf.veevavault.com/ui/#doc_info/24158271/1/0", "VTMF-19168916")</f>
        <v>VTMF-19168916</v>
      </c>
      <c r="H635" s="3" t="inlineStr">
        <is>
          <t/>
        </is>
      </c>
      <c r="I635" s="3" t="inlineStr">
        <is>
          <t>Anthony Suarez (veeva.com)</t>
        </is>
      </c>
      <c r="J635" s="3" t="inlineStr">
        <is>
          <t>Lucie Duskova</t>
        </is>
      </c>
      <c r="K635" s="4" t="n">
        <v>45075.6606712963</v>
      </c>
      <c r="L635" s="5" t="n">
        <v>45075.0</v>
      </c>
      <c r="M635" s="3" t="inlineStr">
        <is>
          <t>Approved</t>
        </is>
      </c>
      <c r="N635" s="3" t="inlineStr">
        <is>
          <t>Available for Distribution, CLIX Filing, Site Close</t>
        </is>
      </c>
      <c r="O635" s="3" t="inlineStr">
        <is>
          <t>Czech Republic</t>
        </is>
      </c>
      <c r="P635" s="3" t="inlineStr">
        <is>
          <t>Z92-CZ10008</t>
        </is>
      </c>
      <c r="Q635" s="3" t="inlineStr">
        <is>
          <t>77242113UCO2001</t>
        </is>
      </c>
    </row>
    <row r="636">
      <c r="A636" s="2" t="str">
        <f>HYPERLINK("https://vtmf.veevavault.com/ui/#doc_info/27155206/1/0", "77242113UCO2001-CZE-Z92-CZ10008-Non-IP Shipment Documentation-16 Sep 2024 (v1.0)")</f>
        <v>77242113UCO2001-CZE-Z92-CZ10008-Non-IP Shipment Documentation-16 Sep 2024 (v1.0)</v>
      </c>
      <c r="B636" s="3" t="inlineStr">
        <is>
          <t>Jitka Kone</t>
        </is>
      </c>
      <c r="C636" s="3" t="inlineStr">
        <is>
          <t>IP and Trial Supplies</t>
        </is>
      </c>
      <c r="D636" s="3" t="inlineStr">
        <is>
          <t>Non-IP Documentation</t>
        </is>
      </c>
      <c r="E636" s="3" t="inlineStr">
        <is>
          <t>Non-IP Shipment Documentation</t>
        </is>
      </c>
      <c r="F636" s="3" t="inlineStr">
        <is>
          <t>Handover protocol_thermometer KLT-KLT-24K-5429_10-SEP-2024</t>
        </is>
      </c>
      <c r="G636" s="2" t="str">
        <f>HYPERLINK("https://vtmf.veevavault.com/ui/#doc_info/27155206/1/0", "VTMF-21771178")</f>
        <v>VTMF-21771178</v>
      </c>
      <c r="H636" s="3" t="inlineStr">
        <is>
          <t/>
        </is>
      </c>
      <c r="I636" s="3" t="inlineStr">
        <is>
          <t>Anthony Suarez (veeva.com)</t>
        </is>
      </c>
      <c r="J636" s="3" t="inlineStr">
        <is>
          <t>Jitka Kone</t>
        </is>
      </c>
      <c r="K636" s="4" t="n">
        <v>45562.45379629629</v>
      </c>
      <c r="L636" s="5" t="n">
        <v>45562.0</v>
      </c>
      <c r="M636" s="3" t="inlineStr">
        <is>
          <t>Approved</t>
        </is>
      </c>
      <c r="N636" s="3" t="inlineStr">
        <is>
          <t>Available for Distribution, CLIX Filing, Site Close</t>
        </is>
      </c>
      <c r="O636" s="3" t="inlineStr">
        <is>
          <t>Czech Republic</t>
        </is>
      </c>
      <c r="P636" s="3" t="inlineStr">
        <is>
          <t>Z92-CZ10008</t>
        </is>
      </c>
      <c r="Q636" s="3" t="inlineStr">
        <is>
          <t>77242113UCO2001</t>
        </is>
      </c>
    </row>
    <row r="637">
      <c r="A637" s="2" t="str">
        <f>HYPERLINK("https://vtmf.veevavault.com/ui/#doc_info/25613194/1/0", "77242113UCO2001-CZE-Z92-CZ10008-Non-IP Shipment Documentation-19 Jan 2024 (v1.0)")</f>
        <v>77242113UCO2001-CZE-Z92-CZ10008-Non-IP Shipment Documentation-19 Jan 2024 (v1.0)</v>
      </c>
      <c r="B637" s="3" t="inlineStr">
        <is>
          <t>Lenka Placha</t>
        </is>
      </c>
      <c r="C637" s="3" t="inlineStr">
        <is>
          <t>IP and Trial Supplies</t>
        </is>
      </c>
      <c r="D637" s="3" t="inlineStr">
        <is>
          <t>Non-IP Documentation</t>
        </is>
      </c>
      <c r="E637" s="3" t="inlineStr">
        <is>
          <t>Non-IP Shipment Documentation</t>
        </is>
      </c>
      <c r="F637" s="3" t="inlineStr">
        <is>
          <t>protocol- deep-freezing freezer takeover site Z92-CZ10008 from Metroservis_19Jan24</t>
        </is>
      </c>
      <c r="G637" s="2" t="str">
        <f>HYPERLINK("https://vtmf.veevavault.com/ui/#doc_info/25613194/1/0", "VTMF-20438240")</f>
        <v>VTMF-20438240</v>
      </c>
      <c r="H637" s="3" t="inlineStr">
        <is>
          <t/>
        </is>
      </c>
      <c r="I637" s="3" t="inlineStr">
        <is>
          <t>Anthony Suarez (veeva.com)</t>
        </is>
      </c>
      <c r="J637" s="3" t="inlineStr">
        <is>
          <t>Lenka Placha</t>
        </is>
      </c>
      <c r="K637" s="4" t="n">
        <v>45322.465046296296</v>
      </c>
      <c r="L637" s="5" t="n">
        <v>45322.0</v>
      </c>
      <c r="M637" s="3" t="inlineStr">
        <is>
          <t>Approved</t>
        </is>
      </c>
      <c r="N637" s="3" t="inlineStr">
        <is>
          <t>Available for Distribution, CLIX Filing, Site Close</t>
        </is>
      </c>
      <c r="O637" s="3" t="inlineStr">
        <is>
          <t>Czech Republic</t>
        </is>
      </c>
      <c r="P637" s="3" t="inlineStr">
        <is>
          <t>Z92-CZ10008</t>
        </is>
      </c>
      <c r="Q637" s="3" t="inlineStr">
        <is>
          <t>77242113UCO2001</t>
        </is>
      </c>
    </row>
    <row r="638">
      <c r="A638" s="2" t="str">
        <f>HYPERLINK("https://vtmf.veevavault.com/ui/#doc_info/27734686/1/0", "77242113UCO2001-CZE-Z92-CZ10008-Non-IP Shipment Documentation-19 Nov 2024 (v1.0)")</f>
        <v>77242113UCO2001-CZE-Z92-CZ10008-Non-IP Shipment Documentation-19 Nov 2024 (v1.0)</v>
      </c>
      <c r="B638" s="3" t="inlineStr">
        <is>
          <t>Jitka Kone</t>
        </is>
      </c>
      <c r="C638" s="3" t="inlineStr">
        <is>
          <t>IP and Trial Supplies</t>
        </is>
      </c>
      <c r="D638" s="3" t="inlineStr">
        <is>
          <t>Non-IP Documentation</t>
        </is>
      </c>
      <c r="E638" s="3" t="inlineStr">
        <is>
          <t>Non-IP Shipment Documentation</t>
        </is>
      </c>
      <c r="F638" s="3" t="inlineStr">
        <is>
          <t>NIPSF_Pr. Am 3 synopsis_17-OCT-2024</t>
        </is>
      </c>
      <c r="G638" s="2" t="str">
        <f>HYPERLINK("https://vtmf.veevavault.com/ui/#doc_info/27734686/1/0", "VTMF-22240180")</f>
        <v>VTMF-22240180</v>
      </c>
      <c r="H638" s="3" t="inlineStr">
        <is>
          <t/>
        </is>
      </c>
      <c r="I638" s="3" t="inlineStr">
        <is>
          <t>System</t>
        </is>
      </c>
      <c r="J638" s="3" t="inlineStr">
        <is>
          <t>Jitka Kone</t>
        </is>
      </c>
      <c r="K638" s="4" t="n">
        <v>45621.436793981484</v>
      </c>
      <c r="L638" s="5" t="n">
        <v>45621.0</v>
      </c>
      <c r="M638" s="3" t="inlineStr">
        <is>
          <t>Approved</t>
        </is>
      </c>
      <c r="N638" s="3" t="inlineStr">
        <is>
          <t>CLIX Filing, Country Start, Site Start</t>
        </is>
      </c>
      <c r="O638" s="3" t="inlineStr">
        <is>
          <t>Czech Republic</t>
        </is>
      </c>
      <c r="P638" s="3" t="inlineStr">
        <is>
          <t>Z92-CZ10008</t>
        </is>
      </c>
      <c r="Q638" s="3" t="inlineStr">
        <is>
          <t>77242113UCO2001</t>
        </is>
      </c>
    </row>
    <row r="639">
      <c r="A639" s="2" t="str">
        <f>HYPERLINK("https://vtmf.veevavault.com/ui/#doc_info/27745152/1/0", "77242113UCO2001-CZE-Z92-CZ10008-Non-IP Shipment Documentation-19 Nov 2024 (v1.0)")</f>
        <v>77242113UCO2001-CZE-Z92-CZ10008-Non-IP Shipment Documentation-19 Nov 2024 (v1.0)</v>
      </c>
      <c r="B639" s="3" t="inlineStr">
        <is>
          <t>Jitka Kone</t>
        </is>
      </c>
      <c r="C639" s="3" t="inlineStr">
        <is>
          <t>IP and Trial Supplies</t>
        </is>
      </c>
      <c r="D639" s="3" t="inlineStr">
        <is>
          <t>Non-IP Documentation</t>
        </is>
      </c>
      <c r="E639" s="3" t="inlineStr">
        <is>
          <t>Non-IP Shipment Documentation</t>
        </is>
      </c>
      <c r="F639" s="3" t="inlineStr">
        <is>
          <t>Handover protocol_meal vouchers 2025 50 pcs_31-OCT-2024</t>
        </is>
      </c>
      <c r="G639" s="2" t="str">
        <f>HYPERLINK("https://vtmf.veevavault.com/ui/#doc_info/27745152/1/0", "VTMF-22247570")</f>
        <v>VTMF-22247570</v>
      </c>
      <c r="H639" s="3" t="inlineStr">
        <is>
          <t/>
        </is>
      </c>
      <c r="I639" s="3" t="inlineStr">
        <is>
          <t>System</t>
        </is>
      </c>
      <c r="J639" s="3" t="inlineStr">
        <is>
          <t>Jitka Kone</t>
        </is>
      </c>
      <c r="K639" s="4" t="n">
        <v>45622.43755787037</v>
      </c>
      <c r="L639" s="5" t="n">
        <v>45622.0</v>
      </c>
      <c r="M639" s="3" t="inlineStr">
        <is>
          <t>Approved</t>
        </is>
      </c>
      <c r="N639" s="3" t="inlineStr">
        <is>
          <t>CLIX Filing, Country Start, Site Start</t>
        </is>
      </c>
      <c r="O639" s="3" t="inlineStr">
        <is>
          <t>Czech Republic</t>
        </is>
      </c>
      <c r="P639" s="3" t="inlineStr">
        <is>
          <t>Z92-CZ10008</t>
        </is>
      </c>
      <c r="Q639" s="3" t="inlineStr">
        <is>
          <t>77242113UCO2001</t>
        </is>
      </c>
    </row>
    <row r="640">
      <c r="A640" s="2" t="str">
        <f>HYPERLINK("https://vtmf.veevavault.com/ui/#doc_info/25613152/1/0", "77242113UCO2001-CZE-Z92-CZ10008-Non-IP Shipment Documentation-23 Jan 2024 (v1.0)")</f>
        <v>77242113UCO2001-CZE-Z92-CZ10008-Non-IP Shipment Documentation-23 Jan 2024 (v1.0)</v>
      </c>
      <c r="B640" s="3" t="inlineStr">
        <is>
          <t>Lenka Placha</t>
        </is>
      </c>
      <c r="C640" s="3" t="inlineStr">
        <is>
          <t>IP and Trial Supplies</t>
        </is>
      </c>
      <c r="D640" s="3" t="inlineStr">
        <is>
          <t>Non-IP Documentation</t>
        </is>
      </c>
      <c r="E640" s="3" t="inlineStr">
        <is>
          <t>Non-IP Shipment Documentation</t>
        </is>
      </c>
      <c r="F640" s="3" t="inlineStr">
        <is>
          <t>loan protocol- deep-freezing freezer takeover PI Doc.Bortlik Martin from Janssen 23Jan24</t>
        </is>
      </c>
      <c r="G640" s="2" t="str">
        <f>HYPERLINK("https://vtmf.veevavault.com/ui/#doc_info/25613152/1/0", "VTMF-20438202")</f>
        <v>VTMF-20438202</v>
      </c>
      <c r="H640" s="3" t="inlineStr">
        <is>
          <t/>
        </is>
      </c>
      <c r="I640" s="3" t="inlineStr">
        <is>
          <t>Anthony Suarez (veeva.com)</t>
        </is>
      </c>
      <c r="J640" s="3" t="inlineStr">
        <is>
          <t>Lenka Placha</t>
        </is>
      </c>
      <c r="K640" s="4" t="n">
        <v>45322.46158564815</v>
      </c>
      <c r="L640" s="5" t="n">
        <v>45322.0</v>
      </c>
      <c r="M640" s="3" t="inlineStr">
        <is>
          <t>Approved</t>
        </is>
      </c>
      <c r="N640" s="3" t="inlineStr">
        <is>
          <t>Available for Distribution, CLIX Filing, Site Close</t>
        </is>
      </c>
      <c r="O640" s="3" t="inlineStr">
        <is>
          <t>Czech Republic</t>
        </is>
      </c>
      <c r="P640" s="3" t="inlineStr">
        <is>
          <t>Z92-CZ10008</t>
        </is>
      </c>
      <c r="Q640" s="3" t="inlineStr">
        <is>
          <t>77242113UCO2001</t>
        </is>
      </c>
    </row>
    <row r="641">
      <c r="A641" s="2" t="str">
        <f>HYPERLINK("https://vtmf.veevavault.com/ui/#doc_info/26063459/1/0", "77242113UCO2001-CZE-Z92-CZ10008-Non-IP Shipment Documentation-23 Jan 2024 (v1.0)")</f>
        <v>77242113UCO2001-CZE-Z92-CZ10008-Non-IP Shipment Documentation-23 Jan 2024 (v1.0)</v>
      </c>
      <c r="B641" s="3" t="inlineStr">
        <is>
          <t>Jitka Kone</t>
        </is>
      </c>
      <c r="C641" s="3" t="inlineStr">
        <is>
          <t>IP and Trial Supplies</t>
        </is>
      </c>
      <c r="D641" s="3" t="inlineStr">
        <is>
          <t>Non-IP Documentation</t>
        </is>
      </c>
      <c r="E641" s="3" t="inlineStr">
        <is>
          <t>Non-IP Shipment Documentation</t>
        </is>
      </c>
      <c r="F641" s="3" t="inlineStr">
        <is>
          <t>Handover Protocol_Meal vouchers 50 pcs_22-JAN-2024</t>
        </is>
      </c>
      <c r="G641" s="2" t="str">
        <f>HYPERLINK("https://vtmf.veevavault.com/ui/#doc_info/26063459/1/0", "VTMF-20835878")</f>
        <v>VTMF-20835878</v>
      </c>
      <c r="H641" s="3" t="inlineStr">
        <is>
          <t/>
        </is>
      </c>
      <c r="I641" s="3" t="inlineStr">
        <is>
          <t>Anthony Suarez (veeva.com)</t>
        </is>
      </c>
      <c r="J641" s="3" t="inlineStr">
        <is>
          <t>Jitka Kone</t>
        </is>
      </c>
      <c r="K641" s="4" t="n">
        <v>45386.45990740741</v>
      </c>
      <c r="L641" s="5" t="n">
        <v>45386.0</v>
      </c>
      <c r="M641" s="3" t="inlineStr">
        <is>
          <t>Approved</t>
        </is>
      </c>
      <c r="N641" s="3" t="inlineStr">
        <is>
          <t>Available for Distribution, CLIX Filing, Site Close</t>
        </is>
      </c>
      <c r="O641" s="3" t="inlineStr">
        <is>
          <t>Czech Republic</t>
        </is>
      </c>
      <c r="P641" s="3" t="inlineStr">
        <is>
          <t>Z92-CZ10008</t>
        </is>
      </c>
      <c r="Q641" s="3" t="inlineStr">
        <is>
          <t>77242113UCO2001</t>
        </is>
      </c>
    </row>
    <row r="642">
      <c r="A642" s="2" t="str">
        <f>HYPERLINK("https://vtmf.veevavault.com/ui/#doc_info/30054174/1/0", "77242113UCO2001-CZE-Z92-CZ10008-Non-IP Shipment Documentation-23 Sep 2025 (v1.0)")</f>
        <v>77242113UCO2001-CZE-Z92-CZ10008-Non-IP Shipment Documentation-23 Sep 2025 (v1.0)</v>
      </c>
      <c r="B642" s="3" t="inlineStr">
        <is>
          <t>Jitka Kone</t>
        </is>
      </c>
      <c r="C642" s="3" t="inlineStr">
        <is>
          <t>IP and Trial Supplies</t>
        </is>
      </c>
      <c r="D642" s="3" t="inlineStr">
        <is>
          <t>Non-IP Documentation</t>
        </is>
      </c>
      <c r="E642" s="3" t="inlineStr">
        <is>
          <t>Non-IP Shipment Documentation</t>
        </is>
      </c>
      <c r="F642" s="3" t="inlineStr">
        <is>
          <t>Handover protocol_meal vouchers 50 pcs 2025_17-SEP-2025</t>
        </is>
      </c>
      <c r="G642" s="2" t="str">
        <f>HYPERLINK("https://vtmf.veevavault.com/ui/#doc_info/30054174/1/0", "VTMF-24190420")</f>
        <v>VTMF-24190420</v>
      </c>
      <c r="H642" s="3" t="inlineStr">
        <is>
          <t/>
        </is>
      </c>
      <c r="I642" s="3" t="inlineStr">
        <is>
          <t>System</t>
        </is>
      </c>
      <c r="J642" s="3" t="inlineStr">
        <is>
          <t>Jitka Kone</t>
        </is>
      </c>
      <c r="K642" s="4" t="n">
        <v>45929.44900462963</v>
      </c>
      <c r="L642" s="5" t="n">
        <v>45929.0</v>
      </c>
      <c r="M642" s="3" t="inlineStr">
        <is>
          <t>Approved</t>
        </is>
      </c>
      <c r="N642" s="3" t="inlineStr">
        <is>
          <t>CLIX Filing, Country Start, Site Start</t>
        </is>
      </c>
      <c r="O642" s="3" t="inlineStr">
        <is>
          <t>Czech Republic</t>
        </is>
      </c>
      <c r="P642" s="3" t="inlineStr">
        <is>
          <t>Z92-CZ10008</t>
        </is>
      </c>
      <c r="Q642" s="3" t="inlineStr">
        <is>
          <t>77242113UCO2001</t>
        </is>
      </c>
    </row>
    <row r="643">
      <c r="A643" s="2" t="str">
        <f>HYPERLINK("https://vtmf.veevavault.com/ui/#doc_info/26055676/1/0", "77242113UCO2001-CZE-Z92-CZ10008-Non-IP Shipment Documentation-24 Jan 2024 (v1.0)")</f>
        <v>77242113UCO2001-CZE-Z92-CZ10008-Non-IP Shipment Documentation-24 Jan 2024 (v1.0)</v>
      </c>
      <c r="B643" s="3" t="inlineStr">
        <is>
          <t>Jitka Kone</t>
        </is>
      </c>
      <c r="C643" s="3" t="inlineStr">
        <is>
          <t>IP and Trial Supplies</t>
        </is>
      </c>
      <c r="D643" s="3" t="inlineStr">
        <is>
          <t>Non-IP Documentation</t>
        </is>
      </c>
      <c r="E643" s="3" t="inlineStr">
        <is>
          <t>Non-IP Shipment Documentation</t>
        </is>
      </c>
      <c r="F643" s="3" t="inlineStr">
        <is>
          <t>NIPSF pharmacy_Initial_22-JAN-2024</t>
        </is>
      </c>
      <c r="G643" s="2" t="str">
        <f>HYPERLINK("https://vtmf.veevavault.com/ui/#doc_info/26055676/1/0", "VTMF-20829036")</f>
        <v>VTMF-20829036</v>
      </c>
      <c r="H643" s="3" t="inlineStr">
        <is>
          <t/>
        </is>
      </c>
      <c r="I643" s="3" t="inlineStr">
        <is>
          <t>Anthony Suarez (veeva.com)</t>
        </is>
      </c>
      <c r="J643" s="3" t="inlineStr">
        <is>
          <t>Jitka Kone</t>
        </is>
      </c>
      <c r="K643" s="4" t="n">
        <v>45385.56444444445</v>
      </c>
      <c r="L643" s="5" t="n">
        <v>45385.0</v>
      </c>
      <c r="M643" s="3" t="inlineStr">
        <is>
          <t>Approved</t>
        </is>
      </c>
      <c r="N643" s="3" t="inlineStr">
        <is>
          <t>Available for Distribution, CLIX Filing, Site Close</t>
        </is>
      </c>
      <c r="O643" s="3" t="inlineStr">
        <is>
          <t>Czech Republic</t>
        </is>
      </c>
      <c r="P643" s="3" t="inlineStr">
        <is>
          <t>Z92-CZ10008</t>
        </is>
      </c>
      <c r="Q643" s="3" t="inlineStr">
        <is>
          <t>77242113UCO2001</t>
        </is>
      </c>
    </row>
    <row r="644">
      <c r="A644" s="2" t="str">
        <f>HYPERLINK("https://vtmf.veevavault.com/ui/#doc_info/26614975/1/0", "77242113UCO2001-CZE-Z92-CZ10008-Non-IP Shipment Documentation-25 Jun 2024 (v1.0)")</f>
        <v>77242113UCO2001-CZE-Z92-CZ10008-Non-IP Shipment Documentation-25 Jun 2024 (v1.0)</v>
      </c>
      <c r="B644" s="3" t="inlineStr">
        <is>
          <t>Jitka Kone</t>
        </is>
      </c>
      <c r="C644" s="3" t="inlineStr">
        <is>
          <t>IP and Trial Supplies</t>
        </is>
      </c>
      <c r="D644" s="3" t="inlineStr">
        <is>
          <t>Non-IP Documentation</t>
        </is>
      </c>
      <c r="E644" s="3" t="inlineStr">
        <is>
          <t>Non-IP Shipment Documentation</t>
        </is>
      </c>
      <c r="F644" s="3" t="inlineStr">
        <is>
          <t>NIPSF_Pr. Am. 3 +3x PCI_20-JUN-2024</t>
        </is>
      </c>
      <c r="G644" s="2" t="str">
        <f>HYPERLINK("https://vtmf.veevavault.com/ui/#doc_info/26614975/1/0", "VTMF-21318442")</f>
        <v>VTMF-21318442</v>
      </c>
      <c r="H644" s="3" t="inlineStr">
        <is>
          <t/>
        </is>
      </c>
      <c r="I644" s="3" t="inlineStr">
        <is>
          <t>Anthony Suarez (veeva.com)</t>
        </is>
      </c>
      <c r="J644" s="3" t="inlineStr">
        <is>
          <t>Jitka Kone</t>
        </is>
      </c>
      <c r="K644" s="4" t="n">
        <v>45471.50491898148</v>
      </c>
      <c r="L644" s="5" t="n">
        <v>45471.0</v>
      </c>
      <c r="M644" s="3" t="inlineStr">
        <is>
          <t>Approved</t>
        </is>
      </c>
      <c r="N644" s="3" t="inlineStr">
        <is>
          <t>Available for Distribution, CLIX Filing, Site Close</t>
        </is>
      </c>
      <c r="O644" s="3" t="inlineStr">
        <is>
          <t>Czech Republic</t>
        </is>
      </c>
      <c r="P644" s="3" t="inlineStr">
        <is>
          <t>Z92-CZ10008</t>
        </is>
      </c>
      <c r="Q644" s="3" t="inlineStr">
        <is>
          <t>77242113UCO2001</t>
        </is>
      </c>
    </row>
    <row r="645">
      <c r="A645" s="2" t="str">
        <f>HYPERLINK("https://vtmf.veevavault.com/ui/#doc_info/26624304/1/0", "77242113UCO2001-CZE-Z92-CZ10008-Non-IP Shipment Documentation-25 Jun 2024 (v1.0)")</f>
        <v>77242113UCO2001-CZE-Z92-CZ10008-Non-IP Shipment Documentation-25 Jun 2024 (v1.0)</v>
      </c>
      <c r="B645" s="3" t="inlineStr">
        <is>
          <t>Jitka Kone</t>
        </is>
      </c>
      <c r="C645" s="3" t="inlineStr">
        <is>
          <t>IP and Trial Supplies</t>
        </is>
      </c>
      <c r="D645" s="3" t="inlineStr">
        <is>
          <t>Non-IP Documentation</t>
        </is>
      </c>
      <c r="E645" s="3" t="inlineStr">
        <is>
          <t>Non-IP Shipment Documentation</t>
        </is>
      </c>
      <c r="F645" s="3" t="inlineStr">
        <is>
          <t>NIPSF_Meal vouchers 70 pcs_20-.JUN-2024</t>
        </is>
      </c>
      <c r="G645" s="2" t="str">
        <f>HYPERLINK("https://vtmf.veevavault.com/ui/#doc_info/26624304/1/0", "VTMF-21326441")</f>
        <v>VTMF-21326441</v>
      </c>
      <c r="H645" s="3" t="inlineStr">
        <is>
          <t/>
        </is>
      </c>
      <c r="I645" s="3" t="inlineStr">
        <is>
          <t>Anthony Suarez (veeva.com)</t>
        </is>
      </c>
      <c r="J645" s="3" t="inlineStr">
        <is>
          <t>Jitka Kone</t>
        </is>
      </c>
      <c r="K645" s="4" t="n">
        <v>45474.53016203704</v>
      </c>
      <c r="L645" s="5" t="n">
        <v>45474.0</v>
      </c>
      <c r="M645" s="3" t="inlineStr">
        <is>
          <t>Approved</t>
        </is>
      </c>
      <c r="N645" s="3" t="inlineStr">
        <is>
          <t>Available for Distribution, CLIX Filing, Site Close</t>
        </is>
      </c>
      <c r="O645" s="3" t="inlineStr">
        <is>
          <t>Czech Republic</t>
        </is>
      </c>
      <c r="P645" s="3" t="inlineStr">
        <is>
          <t>Z92-CZ10008</t>
        </is>
      </c>
      <c r="Q645" s="3" t="inlineStr">
        <is>
          <t>77242113UCO2001</t>
        </is>
      </c>
    </row>
    <row r="646">
      <c r="A646" s="2" t="str">
        <f>HYPERLINK("https://vtmf.veevavault.com/ui/#doc_info/26641574/1/0", "77242113UCO2001-CZE-Z92-CZ10008-Non-IP Shipment Documentation-25 Jun 2024 (v1.0)")</f>
        <v>77242113UCO2001-CZE-Z92-CZ10008-Non-IP Shipment Documentation-25 Jun 2024 (v1.0)</v>
      </c>
      <c r="B646" s="3" t="inlineStr">
        <is>
          <t>Jitka Kone</t>
        </is>
      </c>
      <c r="C646" s="3" t="inlineStr">
        <is>
          <t>IP and Trial Supplies</t>
        </is>
      </c>
      <c r="D646" s="3" t="inlineStr">
        <is>
          <t>Non-IP Documentation</t>
        </is>
      </c>
      <c r="E646" s="3" t="inlineStr">
        <is>
          <t>Non-IP Shipment Documentation</t>
        </is>
      </c>
      <c r="F646" s="3" t="inlineStr">
        <is>
          <t>NIPSF_Pr.Am.3 + Site Oper. Guide + PCI 3.1, 4.1, 5.1_20-JUN-2024</t>
        </is>
      </c>
      <c r="G646" s="2" t="str">
        <f>HYPERLINK("https://vtmf.veevavault.com/ui/#doc_info/26641574/1/0", "VTMF-21341673")</f>
        <v>VTMF-21341673</v>
      </c>
      <c r="H646" s="3" t="inlineStr">
        <is>
          <t/>
        </is>
      </c>
      <c r="I646" s="3" t="inlineStr">
        <is>
          <t>Anthony Suarez (veeva.com)</t>
        </is>
      </c>
      <c r="J646" s="3" t="inlineStr">
        <is>
          <t>Jitka Kone</t>
        </is>
      </c>
      <c r="K646" s="4" t="n">
        <v>45476.518854166665</v>
      </c>
      <c r="L646" s="5" t="n">
        <v>45476.0</v>
      </c>
      <c r="M646" s="3" t="inlineStr">
        <is>
          <t>Approved</t>
        </is>
      </c>
      <c r="N646" s="3" t="inlineStr">
        <is>
          <t>Available for Distribution, CLIX Filing, Site Close</t>
        </is>
      </c>
      <c r="O646" s="3" t="inlineStr">
        <is>
          <t>Czech Republic</t>
        </is>
      </c>
      <c r="P646" s="3" t="inlineStr">
        <is>
          <t>Z92-CZ10008</t>
        </is>
      </c>
      <c r="Q646" s="3" t="inlineStr">
        <is>
          <t>77242113UCO2001</t>
        </is>
      </c>
    </row>
    <row r="647">
      <c r="A647" s="2" t="str">
        <f>HYPERLINK("https://vtmf.veevavault.com/ui/#doc_info/26522809/1/0", "77242113UCO2001-CZE-Z92-CZ10008-Non-IP Shipment Documentation-29 May 2024 (v1.0)")</f>
        <v>77242113UCO2001-CZE-Z92-CZ10008-Non-IP Shipment Documentation-29 May 2024 (v1.0)</v>
      </c>
      <c r="B647" s="3" t="inlineStr">
        <is>
          <t>Jitka Kone</t>
        </is>
      </c>
      <c r="C647" s="3" t="inlineStr">
        <is>
          <t>IP and Trial Supplies</t>
        </is>
      </c>
      <c r="D647" s="3" t="inlineStr">
        <is>
          <t>Non-IP Documentation</t>
        </is>
      </c>
      <c r="E647" s="3" t="inlineStr">
        <is>
          <t>Non-IP Shipment Documentation</t>
        </is>
      </c>
      <c r="F647" s="3" t="inlineStr">
        <is>
          <t>NIPSF_ICFs + Appoint. cards + synopsis + insurance_27-MAY-2024</t>
        </is>
      </c>
      <c r="G647" s="2" t="str">
        <f>HYPERLINK("https://vtmf.veevavault.com/ui/#doc_info/26522809/1/0", "VTMF-21237734")</f>
        <v>VTMF-21237734</v>
      </c>
      <c r="H647" s="3" t="inlineStr">
        <is>
          <t/>
        </is>
      </c>
      <c r="I647" s="3" t="inlineStr">
        <is>
          <t>Anthony Suarez (veeva.com)</t>
        </is>
      </c>
      <c r="J647" s="3" t="inlineStr">
        <is>
          <t>Jitka Kone</t>
        </is>
      </c>
      <c r="K647" s="4" t="n">
        <v>45457.49166666667</v>
      </c>
      <c r="L647" s="5" t="n">
        <v>45457.0</v>
      </c>
      <c r="M647" s="3" t="inlineStr">
        <is>
          <t>Approved</t>
        </is>
      </c>
      <c r="N647" s="3" t="inlineStr">
        <is>
          <t>Available for Distribution, CLIX Filing, Site Close</t>
        </is>
      </c>
      <c r="O647" s="3" t="inlineStr">
        <is>
          <t>Czech Republic</t>
        </is>
      </c>
      <c r="P647" s="3" t="inlineStr">
        <is>
          <t>Z92-CZ10008</t>
        </is>
      </c>
      <c r="Q647" s="3" t="inlineStr">
        <is>
          <t>77242113UCO2001</t>
        </is>
      </c>
    </row>
    <row r="648">
      <c r="A648" s="2" t="str">
        <f>HYPERLINK("https://vtmf.veevavault.com/ui/#doc_info/31251250/1/0", "77242113UCO2001-CZE-Z92-CZ10008-On-site Drug Inventory and Reconciliation Form-10 Mar 2026 (v1.0)")</f>
        <v>77242113UCO2001-CZE-Z92-CZ10008-On-site Drug Inventory and Reconciliation Form-10 Mar 2026 (v1.0)</v>
      </c>
      <c r="B648" s="3" t="inlineStr">
        <is>
          <t>Bela Lukavcová</t>
        </is>
      </c>
      <c r="C648" s="3" t="inlineStr">
        <is>
          <t>IP and Trial Supplies</t>
        </is>
      </c>
      <c r="D648" s="3" t="inlineStr">
        <is>
          <t>IP Documentation</t>
        </is>
      </c>
      <c r="E648" s="3" t="inlineStr">
        <is>
          <t>On-site Drug Inventory and Reconciliation Form</t>
        </is>
      </c>
      <c r="F648" s="3" t="inlineStr">
        <is>
          <t>On-Site Drug Inventory Form</t>
        </is>
      </c>
      <c r="G648" s="2" t="str">
        <f>HYPERLINK("https://vtmf.veevavault.com/ui/#doc_info/31251250/1/0", "VTMF-25204394")</f>
        <v>VTMF-25204394</v>
      </c>
      <c r="H648" s="3" t="inlineStr">
        <is>
          <t/>
        </is>
      </c>
      <c r="I648" s="3" t="inlineStr">
        <is>
          <t>System</t>
        </is>
      </c>
      <c r="J648" s="3" t="inlineStr">
        <is>
          <t>Bela Lukavcová</t>
        </is>
      </c>
      <c r="K648" s="4" t="n">
        <v>46104.46030092592</v>
      </c>
      <c r="L648" s="5" t="n">
        <v>46104.0</v>
      </c>
      <c r="M648" s="3" t="inlineStr">
        <is>
          <t>Approved</t>
        </is>
      </c>
      <c r="N648" s="3" t="inlineStr">
        <is>
          <t>Available for Distribution, CLIX Filing, Not associated to a milestone</t>
        </is>
      </c>
      <c r="O648" s="3" t="inlineStr">
        <is>
          <t>Czech Republic</t>
        </is>
      </c>
      <c r="P648" s="3" t="inlineStr">
        <is>
          <t>Z92-CZ10008</t>
        </is>
      </c>
      <c r="Q648" s="3" t="inlineStr">
        <is>
          <t>77242113UCO2001</t>
        </is>
      </c>
    </row>
    <row r="649">
      <c r="A649" s="2" t="str">
        <f>HYPERLINK("https://vtmf.veevavault.com/ui/#doc_info/31251255/1/0", "77242113UCO2001-CZE-Z92-CZ10008-On-site Drug Inventory and Reconciliation Form-10 Mar 2026 (v1.0)")</f>
        <v>77242113UCO2001-CZE-Z92-CZ10008-On-site Drug Inventory and Reconciliation Form-10 Mar 2026 (v1.0)</v>
      </c>
      <c r="B649" s="3" t="inlineStr">
        <is>
          <t>Bela Lukavcová</t>
        </is>
      </c>
      <c r="C649" s="3" t="inlineStr">
        <is>
          <t>IP and Trial Supplies</t>
        </is>
      </c>
      <c r="D649" s="3" t="inlineStr">
        <is>
          <t>IP Documentation</t>
        </is>
      </c>
      <c r="E649" s="3" t="inlineStr">
        <is>
          <t>On-site Drug Inventory and Reconciliation Form</t>
        </is>
      </c>
      <c r="F649" s="3" t="inlineStr">
        <is>
          <t>Inventory Details</t>
        </is>
      </c>
      <c r="G649" s="2" t="str">
        <f>HYPERLINK("https://vtmf.veevavault.com/ui/#doc_info/31251255/1/0", "VTMF-25204412")</f>
        <v>VTMF-25204412</v>
      </c>
      <c r="H649" s="3" t="inlineStr">
        <is>
          <t/>
        </is>
      </c>
      <c r="I649" s="3" t="inlineStr">
        <is>
          <t>System</t>
        </is>
      </c>
      <c r="J649" s="3" t="inlineStr">
        <is>
          <t>Bela Lukavcová</t>
        </is>
      </c>
      <c r="K649" s="4" t="n">
        <v>46104.46166666667</v>
      </c>
      <c r="L649" s="5" t="n">
        <v>46104.0</v>
      </c>
      <c r="M649" s="3" t="inlineStr">
        <is>
          <t>Approved</t>
        </is>
      </c>
      <c r="N649" s="3" t="inlineStr">
        <is>
          <t>Available for Distribution, CLIX Filing, Not associated to a milestone</t>
        </is>
      </c>
      <c r="O649" s="3" t="inlineStr">
        <is>
          <t>Czech Republic</t>
        </is>
      </c>
      <c r="P649" s="3" t="inlineStr">
        <is>
          <t>Z92-CZ10008</t>
        </is>
      </c>
      <c r="Q649" s="3" t="inlineStr">
        <is>
          <t>77242113UCO2001</t>
        </is>
      </c>
    </row>
    <row r="650">
      <c r="A650" s="2" t="str">
        <f>HYPERLINK("https://vtmf.veevavault.com/ui/#doc_info/31250675/1/0", "77242113UCO2001-CZE-Z92-CZ10008-Other Curriculum Vitae-10 Mar 2026 (v1.0)")</f>
        <v>77242113UCO2001-CZE-Z92-CZ10008-Other Curriculum Vitae-10 Mar 2026 (v1.0)</v>
      </c>
      <c r="B650" s="3" t="inlineStr">
        <is>
          <t>Bela Lukavcová</t>
        </is>
      </c>
      <c r="C650" s="3" t="inlineStr">
        <is>
          <t>Site Management</t>
        </is>
      </c>
      <c r="D650" s="3" t="inlineStr">
        <is>
          <t>Site Set-up Documentation</t>
        </is>
      </c>
      <c r="E650" s="3" t="inlineStr">
        <is>
          <t>Other Curriculum Vitae</t>
        </is>
      </c>
      <c r="F650" s="3" t="inlineStr">
        <is>
          <t>CV_EN_Varejkova, B_Pharmacist_Revised</t>
        </is>
      </c>
      <c r="G650" s="2" t="str">
        <f>HYPERLINK("https://vtmf.veevavault.com/ui/#doc_info/31250675/1/0", "VTMF-25204061")</f>
        <v>VTMF-25204061</v>
      </c>
      <c r="H650" s="3" t="inlineStr">
        <is>
          <t/>
        </is>
      </c>
      <c r="I650" s="3" t="inlineStr">
        <is>
          <t>System</t>
        </is>
      </c>
      <c r="J650" s="3" t="inlineStr">
        <is>
          <t>Bela Lukavcová</t>
        </is>
      </c>
      <c r="K650" s="4" t="n">
        <v>46104.419652777775</v>
      </c>
      <c r="L650" s="5" t="n">
        <v>46104.0</v>
      </c>
      <c r="M650" s="3" t="inlineStr">
        <is>
          <t>Approved</t>
        </is>
      </c>
      <c r="N650" s="3" t="inlineStr">
        <is>
          <t>Available for Distribution, CLIX Filing, Site Start</t>
        </is>
      </c>
      <c r="O650" s="3" t="inlineStr">
        <is>
          <t>Czech Republic</t>
        </is>
      </c>
      <c r="P650" s="3" t="inlineStr">
        <is>
          <t>Z92-CZ10008</t>
        </is>
      </c>
      <c r="Q650" s="3" t="inlineStr">
        <is>
          <t>77242113UCO2001</t>
        </is>
      </c>
    </row>
    <row r="651">
      <c r="A651" s="2" t="str">
        <f>HYPERLINK("https://vtmf.veevavault.com/ui/#doc_info/31250699/1/0", "77242113UCO2001-CZE-Z92-CZ10008-Other Curriculum Vitae-10 Mar 2026 (v1.0)")</f>
        <v>77242113UCO2001-CZE-Z92-CZ10008-Other Curriculum Vitae-10 Mar 2026 (v1.0)</v>
      </c>
      <c r="B651" s="3" t="inlineStr">
        <is>
          <t>Bela Lukavcová</t>
        </is>
      </c>
      <c r="C651" s="3" t="inlineStr">
        <is>
          <t>Site Management</t>
        </is>
      </c>
      <c r="D651" s="3" t="inlineStr">
        <is>
          <t>Site Set-up Documentation</t>
        </is>
      </c>
      <c r="E651" s="3" t="inlineStr">
        <is>
          <t>Other Curriculum Vitae</t>
        </is>
      </c>
      <c r="F651" s="3" t="inlineStr">
        <is>
          <t>CV_CZ_Druskova, K_Pharmacist_Revised</t>
        </is>
      </c>
      <c r="G651" s="2" t="str">
        <f>HYPERLINK("https://vtmf.veevavault.com/ui/#doc_info/31250699/1/0", "VTMF-25204094")</f>
        <v>VTMF-25204094</v>
      </c>
      <c r="H651" s="3" t="inlineStr">
        <is>
          <t/>
        </is>
      </c>
      <c r="I651" s="3" t="inlineStr">
        <is>
          <t>System</t>
        </is>
      </c>
      <c r="J651" s="3" t="inlineStr">
        <is>
          <t>Bela Lukavcová</t>
        </is>
      </c>
      <c r="K651" s="4" t="n">
        <v>46104.42407407407</v>
      </c>
      <c r="L651" s="5" t="n">
        <v>46104.0</v>
      </c>
      <c r="M651" s="3" t="inlineStr">
        <is>
          <t>Approved</t>
        </is>
      </c>
      <c r="N651" s="3" t="inlineStr">
        <is>
          <t>Available for Distribution, CLIX Filing, Site Start</t>
        </is>
      </c>
      <c r="O651" s="3" t="inlineStr">
        <is>
          <t>Czech Republic</t>
        </is>
      </c>
      <c r="P651" s="3" t="inlineStr">
        <is>
          <t>Z92-CZ10008</t>
        </is>
      </c>
      <c r="Q651" s="3" t="inlineStr">
        <is>
          <t>77242113UCO2001</t>
        </is>
      </c>
    </row>
    <row r="652">
      <c r="A652" s="2" t="str">
        <f>HYPERLINK("https://vtmf.veevavault.com/ui/#doc_info/31251006/1/0", "77242113UCO2001-CZE-Z92-CZ10008-Other Curriculum Vitae-10 Mar 2026 (v1.0)")</f>
        <v>77242113UCO2001-CZE-Z92-CZ10008-Other Curriculum Vitae-10 Mar 2026 (v1.0)</v>
      </c>
      <c r="B652" s="3" t="inlineStr">
        <is>
          <t>Bela Lukavcová</t>
        </is>
      </c>
      <c r="C652" s="3" t="inlineStr">
        <is>
          <t>Site Management</t>
        </is>
      </c>
      <c r="D652" s="3" t="inlineStr">
        <is>
          <t>Site Set-up Documentation</t>
        </is>
      </c>
      <c r="E652" s="3" t="inlineStr">
        <is>
          <t>Other Curriculum Vitae</t>
        </is>
      </c>
      <c r="F652" s="3" t="inlineStr">
        <is>
          <t>CV_EN_Bunesova, E_Pharmacist_Revised</t>
        </is>
      </c>
      <c r="G652" s="2" t="str">
        <f>HYPERLINK("https://vtmf.veevavault.com/ui/#doc_info/31251006/1/0", "VTMF-25204109")</f>
        <v>VTMF-25204109</v>
      </c>
      <c r="H652" s="3" t="inlineStr">
        <is>
          <t/>
        </is>
      </c>
      <c r="I652" s="3" t="inlineStr">
        <is>
          <t>System</t>
        </is>
      </c>
      <c r="J652" s="3" t="inlineStr">
        <is>
          <t>Bela Lukavcová</t>
        </is>
      </c>
      <c r="K652" s="4" t="n">
        <v>46104.426145833335</v>
      </c>
      <c r="L652" s="5" t="n">
        <v>46104.0</v>
      </c>
      <c r="M652" s="3" t="inlineStr">
        <is>
          <t>Approved</t>
        </is>
      </c>
      <c r="N652" s="3" t="inlineStr">
        <is>
          <t>Available for Distribution, CLIX Filing, Site Start</t>
        </is>
      </c>
      <c r="O652" s="3" t="inlineStr">
        <is>
          <t>Czech Republic</t>
        </is>
      </c>
      <c r="P652" s="3" t="inlineStr">
        <is>
          <t>Z92-CZ10008</t>
        </is>
      </c>
      <c r="Q652" s="3" t="inlineStr">
        <is>
          <t>77242113UCO2001</t>
        </is>
      </c>
    </row>
    <row r="653">
      <c r="A653" s="2" t="str">
        <f>HYPERLINK("https://vtmf.veevavault.com/ui/#doc_info/27059123/1/0", "77242113UCO2001-CZE-Z92-CZ10008-Other Curriculum Vitae-15 Jan 2024 (v1.0)")</f>
        <v>77242113UCO2001-CZE-Z92-CZ10008-Other Curriculum Vitae-15 Jan 2024 (v1.0)</v>
      </c>
      <c r="B653" s="3" t="inlineStr">
        <is>
          <t>Lenka Placha</t>
        </is>
      </c>
      <c r="C653" s="3" t="inlineStr">
        <is>
          <t>Site Management</t>
        </is>
      </c>
      <c r="D653" s="3" t="inlineStr">
        <is>
          <t>Site Set-up Documentation</t>
        </is>
      </c>
      <c r="E653" s="3" t="inlineStr">
        <is>
          <t>Other Curriculum Vitae</t>
        </is>
      </c>
      <c r="F653" s="3" t="inlineStr">
        <is>
          <t>CV SN EN _Schackova Eliska_Initial_15Jan24</t>
        </is>
      </c>
      <c r="G653" s="2" t="str">
        <f>HYPERLINK("https://vtmf.veevavault.com/ui/#doc_info/27059123/1/0", "VTMF-21689726")</f>
        <v>VTMF-21689726</v>
      </c>
      <c r="H653" s="3" t="inlineStr">
        <is>
          <t/>
        </is>
      </c>
      <c r="I653" s="3" t="inlineStr">
        <is>
          <t>Anthony Suarez (veeva.com)</t>
        </is>
      </c>
      <c r="J653" s="3" t="inlineStr">
        <is>
          <t>Lenka Placha</t>
        </is>
      </c>
      <c r="K653" s="4" t="n">
        <v>45546.77943287037</v>
      </c>
      <c r="L653" s="5" t="n">
        <v>45546.0</v>
      </c>
      <c r="M653" s="3" t="inlineStr">
        <is>
          <t>Approved</t>
        </is>
      </c>
      <c r="N653" s="3" t="inlineStr">
        <is>
          <t>Available for Distribution, CLIX Filing, Site Close</t>
        </is>
      </c>
      <c r="O653" s="3" t="inlineStr">
        <is>
          <t>Czech Republic</t>
        </is>
      </c>
      <c r="P653" s="3" t="inlineStr">
        <is>
          <t>Z92-CZ10008</t>
        </is>
      </c>
      <c r="Q653" s="3" t="inlineStr">
        <is>
          <t>77242113UCO2001</t>
        </is>
      </c>
    </row>
    <row r="654">
      <c r="A654" s="2" t="str">
        <f>HYPERLINK("https://vtmf.veevavault.com/ui/#doc_info/27059124/1/0", "77242113UCO2001-CZE-Z92-CZ10008-Other Curriculum Vitae-15 Jan 2024 (v1.0)")</f>
        <v>77242113UCO2001-CZE-Z92-CZ10008-Other Curriculum Vitae-15 Jan 2024 (v1.0)</v>
      </c>
      <c r="B654" s="3" t="inlineStr">
        <is>
          <t>Lenka Placha</t>
        </is>
      </c>
      <c r="C654" s="3" t="inlineStr">
        <is>
          <t>Site Management</t>
        </is>
      </c>
      <c r="D654" s="3" t="inlineStr">
        <is>
          <t>Site Set-up Documentation</t>
        </is>
      </c>
      <c r="E654" s="3" t="inlineStr">
        <is>
          <t>Other Curriculum Vitae</t>
        </is>
      </c>
      <c r="F654" s="3" t="inlineStr">
        <is>
          <t>CV SN EN Kadlecova Martina_Initial_15Jan24</t>
        </is>
      </c>
      <c r="G654" s="2" t="str">
        <f>HYPERLINK("https://vtmf.veevavault.com/ui/#doc_info/27059124/1/0", "VTMF-21689728")</f>
        <v>VTMF-21689728</v>
      </c>
      <c r="H654" s="3" t="inlineStr">
        <is>
          <t/>
        </is>
      </c>
      <c r="I654" s="3" t="inlineStr">
        <is>
          <t>Anthony Suarez (veeva.com)</t>
        </is>
      </c>
      <c r="J654" s="3" t="inlineStr">
        <is>
          <t>Lenka Placha</t>
        </is>
      </c>
      <c r="K654" s="4" t="n">
        <v>45546.77943287037</v>
      </c>
      <c r="L654" s="5" t="n">
        <v>45546.0</v>
      </c>
      <c r="M654" s="3" t="inlineStr">
        <is>
          <t>Approved</t>
        </is>
      </c>
      <c r="N654" s="3" t="inlineStr">
        <is>
          <t>Available for Distribution, CLIX Filing, Site Close</t>
        </is>
      </c>
      <c r="O654" s="3" t="inlineStr">
        <is>
          <t>Czech Republic</t>
        </is>
      </c>
      <c r="P654" s="3" t="inlineStr">
        <is>
          <t>Z92-CZ10008</t>
        </is>
      </c>
      <c r="Q654" s="3" t="inlineStr">
        <is>
          <t>77242113UCO2001</t>
        </is>
      </c>
    </row>
    <row r="655">
      <c r="A655" s="2" t="str">
        <f>HYPERLINK("https://vtmf.veevavault.com/ui/#doc_info/27738752/1/0", "77242113UCO2001-CZE-Z92-CZ10008-Other Curriculum Vitae-15 Jan 2024 (v1.0)")</f>
        <v>77242113UCO2001-CZE-Z92-CZ10008-Other Curriculum Vitae-15 Jan 2024 (v1.0)</v>
      </c>
      <c r="B655" s="3" t="inlineStr">
        <is>
          <t>Lenka Placha</t>
        </is>
      </c>
      <c r="C655" s="3" t="inlineStr">
        <is>
          <t>Site Management</t>
        </is>
      </c>
      <c r="D655" s="3" t="inlineStr">
        <is>
          <t>Site Set-up Documentation</t>
        </is>
      </c>
      <c r="E655" s="3" t="inlineStr">
        <is>
          <t>Other Curriculum Vitae</t>
        </is>
      </c>
      <c r="F655" s="3" t="inlineStr">
        <is>
          <t>CV SN EN _Krystufkova Alzbeta_Initial_15Jan24</t>
        </is>
      </c>
      <c r="G655" s="2" t="str">
        <f>HYPERLINK("https://vtmf.veevavault.com/ui/#doc_info/27738752/1/0", "VTMF-22242791")</f>
        <v>VTMF-22242791</v>
      </c>
      <c r="H655" s="3" t="inlineStr">
        <is>
          <t/>
        </is>
      </c>
      <c r="I655" s="3" t="inlineStr">
        <is>
          <t>Anthony Suarez (veeva.com)</t>
        </is>
      </c>
      <c r="J655" s="3" t="inlineStr">
        <is>
          <t>Lenka Placha</t>
        </is>
      </c>
      <c r="K655" s="4" t="n">
        <v>45621.755428240744</v>
      </c>
      <c r="L655" s="5" t="n">
        <v>45621.0</v>
      </c>
      <c r="M655" s="3" t="inlineStr">
        <is>
          <t>Approved</t>
        </is>
      </c>
      <c r="N655" s="3" t="inlineStr">
        <is>
          <t>Available for Distribution, CLIX Filing, Site Start</t>
        </is>
      </c>
      <c r="O655" s="3" t="inlineStr">
        <is>
          <t>Czech Republic</t>
        </is>
      </c>
      <c r="P655" s="3" t="inlineStr">
        <is>
          <t>Z92-CZ10008</t>
        </is>
      </c>
      <c r="Q655" s="3" t="inlineStr">
        <is>
          <t>77242113UCO2001</t>
        </is>
      </c>
    </row>
    <row r="656">
      <c r="A656" s="2" t="str">
        <f>HYPERLINK("https://vtmf.veevavault.com/ui/#doc_info/27058495/1/0", "77242113UCO2001-CZE-Z92-CZ10008-Other Curriculum Vitae-18 Jan 2024 (v1.0)")</f>
        <v>77242113UCO2001-CZE-Z92-CZ10008-Other Curriculum Vitae-18 Jan 2024 (v1.0)</v>
      </c>
      <c r="B656" s="3" t="inlineStr">
        <is>
          <t>Lenka Placha</t>
        </is>
      </c>
      <c r="C656" s="3" t="inlineStr">
        <is>
          <t>Site Management</t>
        </is>
      </c>
      <c r="D656" s="3" t="inlineStr">
        <is>
          <t>Site Set-up Documentation</t>
        </is>
      </c>
      <c r="E656" s="3" t="inlineStr">
        <is>
          <t>Other Curriculum Vitae</t>
        </is>
      </c>
      <c r="F656" s="3" t="inlineStr">
        <is>
          <t>CV_SN_EN_ Kollarova Lenka_initial_18Jan24</t>
        </is>
      </c>
      <c r="G656" s="2" t="str">
        <f>HYPERLINK("https://vtmf.veevavault.com/ui/#doc_info/27058495/1/0", "VTMF-21689180")</f>
        <v>VTMF-21689180</v>
      </c>
      <c r="H656" s="3" t="inlineStr">
        <is>
          <t/>
        </is>
      </c>
      <c r="I656" s="3" t="inlineStr">
        <is>
          <t>Anthony Suarez (veeva.com)</t>
        </is>
      </c>
      <c r="J656" s="3" t="inlineStr">
        <is>
          <t>Lenka Placha</t>
        </is>
      </c>
      <c r="K656" s="4" t="n">
        <v>45546.71864583333</v>
      </c>
      <c r="L656" s="5" t="n">
        <v>45546.0</v>
      </c>
      <c r="M656" s="3" t="inlineStr">
        <is>
          <t>Approved</t>
        </is>
      </c>
      <c r="N656" s="3" t="inlineStr">
        <is>
          <t>Available for Distribution, CLIX Filing, Site Close</t>
        </is>
      </c>
      <c r="O656" s="3" t="inlineStr">
        <is>
          <t>Czech Republic</t>
        </is>
      </c>
      <c r="P656" s="3" t="inlineStr">
        <is>
          <t>Z92-CZ10008</t>
        </is>
      </c>
      <c r="Q656" s="3" t="inlineStr">
        <is>
          <t>77242113UCO2001</t>
        </is>
      </c>
    </row>
    <row r="657">
      <c r="A657" s="2" t="str">
        <f>HYPERLINK("https://vtmf.veevavault.com/ui/#doc_info/27058496/1/0", "77242113UCO2001-CZE-Z92-CZ10008-Other Curriculum Vitae-18 Jan 2024 (v1.0)")</f>
        <v>77242113UCO2001-CZE-Z92-CZ10008-Other Curriculum Vitae-18 Jan 2024 (v1.0)</v>
      </c>
      <c r="B657" s="3" t="inlineStr">
        <is>
          <t>Lenka Placha</t>
        </is>
      </c>
      <c r="C657" s="3" t="inlineStr">
        <is>
          <t>Site Management</t>
        </is>
      </c>
      <c r="D657" s="3" t="inlineStr">
        <is>
          <t>Site Set-up Documentation</t>
        </is>
      </c>
      <c r="E657" s="3" t="inlineStr">
        <is>
          <t>Other Curriculum Vitae</t>
        </is>
      </c>
      <c r="F657" s="3" t="inlineStr">
        <is>
          <t>CV_SN_EN_ Rezlerova Andrea_initial_18Jan24</t>
        </is>
      </c>
      <c r="G657" s="2" t="str">
        <f>HYPERLINK("https://vtmf.veevavault.com/ui/#doc_info/27058496/1/0", "VTMF-21689181")</f>
        <v>VTMF-21689181</v>
      </c>
      <c r="H657" s="3" t="inlineStr">
        <is>
          <t/>
        </is>
      </c>
      <c r="I657" s="3" t="inlineStr">
        <is>
          <t>Anthony Suarez (veeva.com)</t>
        </is>
      </c>
      <c r="J657" s="3" t="inlineStr">
        <is>
          <t>Lenka Placha</t>
        </is>
      </c>
      <c r="K657" s="4" t="n">
        <v>45546.71864583333</v>
      </c>
      <c r="L657" s="5" t="n">
        <v>45546.0</v>
      </c>
      <c r="M657" s="3" t="inlineStr">
        <is>
          <t>Approved</t>
        </is>
      </c>
      <c r="N657" s="3" t="inlineStr">
        <is>
          <t>Available for Distribution, CLIX Filing, Site Close</t>
        </is>
      </c>
      <c r="O657" s="3" t="inlineStr">
        <is>
          <t>Czech Republic</t>
        </is>
      </c>
      <c r="P657" s="3" t="inlineStr">
        <is>
          <t>Z92-CZ10008</t>
        </is>
      </c>
      <c r="Q657" s="3" t="inlineStr">
        <is>
          <t>77242113UCO2001</t>
        </is>
      </c>
    </row>
    <row r="658">
      <c r="A658" s="2" t="str">
        <f>HYPERLINK("https://vtmf.veevavault.com/ui/#doc_info/26267954/1/0", "77242113UCO2001-CZE-Z92-CZ10008-Other Curriculum Vitae-21 Feb 2024 (v1.0)")</f>
        <v>77242113UCO2001-CZE-Z92-CZ10008-Other Curriculum Vitae-21 Feb 2024 (v1.0)</v>
      </c>
      <c r="B658" s="3" t="inlineStr">
        <is>
          <t>Lenka Placha</t>
        </is>
      </c>
      <c r="C658" s="3" t="inlineStr">
        <is>
          <t>Site Management</t>
        </is>
      </c>
      <c r="D658" s="3" t="inlineStr">
        <is>
          <t>Site Set-up Documentation</t>
        </is>
      </c>
      <c r="E658" s="3" t="inlineStr">
        <is>
          <t>Other Curriculum Vitae</t>
        </is>
      </c>
      <c r="F658" s="3" t="inlineStr">
        <is>
          <t>cv pharmacist EN Prokesova Kristyna_ initial_21Feb24</t>
        </is>
      </c>
      <c r="G658" s="2" t="str">
        <f>HYPERLINK("https://vtmf.veevavault.com/ui/#doc_info/26267954/1/0", "VTMF-21013709")</f>
        <v>VTMF-21013709</v>
      </c>
      <c r="H658" s="3" t="inlineStr">
        <is>
          <t/>
        </is>
      </c>
      <c r="I658" s="3" t="inlineStr">
        <is>
          <t>Agnesa Ruiz Kajtarova</t>
        </is>
      </c>
      <c r="J658" s="3" t="inlineStr">
        <is>
          <t>Lenka Placha</t>
        </is>
      </c>
      <c r="K658" s="4" t="n">
        <v>45418.969375</v>
      </c>
      <c r="L658" s="5" t="n">
        <v>45418.0</v>
      </c>
      <c r="M658" s="3" t="inlineStr">
        <is>
          <t>Approved</t>
        </is>
      </c>
      <c r="N658" s="3" t="inlineStr">
        <is>
          <t>Available for Distribution, CLIX Filing, Site Close</t>
        </is>
      </c>
      <c r="O658" s="3" t="inlineStr">
        <is>
          <t>Czech Republic</t>
        </is>
      </c>
      <c r="P658" s="3" t="inlineStr">
        <is>
          <t>Z92-CZ10008</t>
        </is>
      </c>
      <c r="Q658" s="3" t="inlineStr">
        <is>
          <t>77242113UCO2001</t>
        </is>
      </c>
    </row>
    <row r="659">
      <c r="A659" s="2" t="str">
        <f>HYPERLINK("https://vtmf.veevavault.com/ui/#doc_info/27059122/1/0", "77242113UCO2001-CZE-Z92-CZ10008-Other Curriculum Vitae-23 Jan 2024 (v1.0)")</f>
        <v>77242113UCO2001-CZE-Z92-CZ10008-Other Curriculum Vitae-23 Jan 2024 (v1.0)</v>
      </c>
      <c r="B659" s="3" t="inlineStr">
        <is>
          <t>Lenka Placha</t>
        </is>
      </c>
      <c r="C659" s="3" t="inlineStr">
        <is>
          <t>Site Management</t>
        </is>
      </c>
      <c r="D659" s="3" t="inlineStr">
        <is>
          <t>Site Set-up Documentation</t>
        </is>
      </c>
      <c r="E659" s="3" t="inlineStr">
        <is>
          <t>Other Curriculum Vitae</t>
        </is>
      </c>
      <c r="F659" s="3" t="inlineStr">
        <is>
          <t>CV lab technician CZ Sandova Petra_Initial_23Jan24</t>
        </is>
      </c>
      <c r="G659" s="2" t="str">
        <f>HYPERLINK("https://vtmf.veevavault.com/ui/#doc_info/27059122/1/0", "VTMF-21689724")</f>
        <v>VTMF-21689724</v>
      </c>
      <c r="H659" s="3" t="inlineStr">
        <is>
          <t/>
        </is>
      </c>
      <c r="I659" s="3" t="inlineStr">
        <is>
          <t>Anthony Suarez (veeva.com)</t>
        </is>
      </c>
      <c r="J659" s="3" t="inlineStr">
        <is>
          <t>Lenka Placha</t>
        </is>
      </c>
      <c r="K659" s="4" t="n">
        <v>45546.77943287037</v>
      </c>
      <c r="L659" s="5" t="n">
        <v>45546.0</v>
      </c>
      <c r="M659" s="3" t="inlineStr">
        <is>
          <t>Approved</t>
        </is>
      </c>
      <c r="N659" s="3" t="inlineStr">
        <is>
          <t>Available for Distribution, CLIX Filing, Site Close</t>
        </is>
      </c>
      <c r="O659" s="3" t="inlineStr">
        <is>
          <t>Czech Republic</t>
        </is>
      </c>
      <c r="P659" s="3" t="inlineStr">
        <is>
          <t>Z92-CZ10008</t>
        </is>
      </c>
      <c r="Q659" s="3" t="inlineStr">
        <is>
          <t>77242113UCO2001</t>
        </is>
      </c>
    </row>
    <row r="660">
      <c r="A660" s="2" t="str">
        <f>HYPERLINK("https://vtmf.veevavault.com/ui/#doc_info/26672283/2/0", "77242113UCO2001-CZE-Z92-CZ10008-Other Curriculum Vitae-23 Sep 2024 (v2.0)")</f>
        <v>77242113UCO2001-CZE-Z92-CZ10008-Other Curriculum Vitae-23 Sep 2024 (v2.0)</v>
      </c>
      <c r="B660" s="3" t="inlineStr">
        <is>
          <t>Lenka Placha</t>
        </is>
      </c>
      <c r="C660" s="3" t="inlineStr">
        <is>
          <t>Site Management</t>
        </is>
      </c>
      <c r="D660" s="3" t="inlineStr">
        <is>
          <t>Site Set-up Documentation</t>
        </is>
      </c>
      <c r="E660" s="3" t="inlineStr">
        <is>
          <t>Other Curriculum Vitae</t>
        </is>
      </c>
      <c r="F660" s="3" t="inlineStr">
        <is>
          <t>CV pharmacist EN Bunesova Ema_ revised_23SEP2024</t>
        </is>
      </c>
      <c r="G660" s="2" t="str">
        <f>HYPERLINK("https://vtmf.veevavault.com/ui/#doc_info/26672283/2/0", "VTMF-21368536")</f>
        <v>VTMF-21368536</v>
      </c>
      <c r="H660" s="3" t="inlineStr">
        <is>
          <t/>
        </is>
      </c>
      <c r="I660" s="3" t="inlineStr">
        <is>
          <t>System</t>
        </is>
      </c>
      <c r="J660" s="3" t="inlineStr">
        <is>
          <t>Agnesa Ruiz Kajtarova</t>
        </is>
      </c>
      <c r="K660" s="4" t="n">
        <v>45930.673738425925</v>
      </c>
      <c r="L660" s="5" t="n">
        <v>45930.0</v>
      </c>
      <c r="M660" s="3" t="inlineStr">
        <is>
          <t>Approved</t>
        </is>
      </c>
      <c r="N660" s="3" t="inlineStr">
        <is>
          <t>Available for Distribution, CLIX Filing, Site Close</t>
        </is>
      </c>
      <c r="O660" s="3" t="inlineStr">
        <is>
          <t>Czech Republic</t>
        </is>
      </c>
      <c r="P660" s="3" t="inlineStr">
        <is>
          <t>Z92-CZ10008</t>
        </is>
      </c>
      <c r="Q660" s="3" t="inlineStr">
        <is>
          <t>77242113UCO2001</t>
        </is>
      </c>
    </row>
    <row r="661">
      <c r="A661" s="2" t="str">
        <f>HYPERLINK("https://vtmf.veevavault.com/ui/#doc_info/26267955/2/0", "77242113UCO2001-CZE-Z92-CZ10008-Other Curriculum Vitae-23 Sep 2025 (v2.0)")</f>
        <v>77242113UCO2001-CZE-Z92-CZ10008-Other Curriculum Vitae-23 Sep 2025 (v2.0)</v>
      </c>
      <c r="B661" s="3" t="inlineStr">
        <is>
          <t>Lenka Placha</t>
        </is>
      </c>
      <c r="C661" s="3" t="inlineStr">
        <is>
          <t>Site Management</t>
        </is>
      </c>
      <c r="D661" s="3" t="inlineStr">
        <is>
          <t>Site Set-up Documentation</t>
        </is>
      </c>
      <c r="E661" s="3" t="inlineStr">
        <is>
          <t>Other Curriculum Vitae</t>
        </is>
      </c>
      <c r="F661" s="3" t="inlineStr">
        <is>
          <t>cv pharmacist EN Varejkova Barbora_ revised_23SEP2025</t>
        </is>
      </c>
      <c r="G661" s="2" t="str">
        <f>HYPERLINK("https://vtmf.veevavault.com/ui/#doc_info/26267955/2/0", "VTMF-21013710")</f>
        <v>VTMF-21013710</v>
      </c>
      <c r="H661" s="3" t="inlineStr">
        <is>
          <t/>
        </is>
      </c>
      <c r="I661" s="3" t="inlineStr">
        <is>
          <t>System</t>
        </is>
      </c>
      <c r="J661" s="3" t="inlineStr">
        <is>
          <t>Agnesa Ruiz Kajtarova</t>
        </is>
      </c>
      <c r="K661" s="4" t="n">
        <v>45930.67686342593</v>
      </c>
      <c r="L661" s="5" t="n">
        <v>45930.0</v>
      </c>
      <c r="M661" s="3" t="inlineStr">
        <is>
          <t>Approved</t>
        </is>
      </c>
      <c r="N661" s="3" t="inlineStr">
        <is>
          <t>Available for Distribution, CLIX Filing, Site Close</t>
        </is>
      </c>
      <c r="O661" s="3" t="inlineStr">
        <is>
          <t>Czech Republic</t>
        </is>
      </c>
      <c r="P661" s="3" t="inlineStr">
        <is>
          <t>Z92-CZ10008</t>
        </is>
      </c>
      <c r="Q661" s="3" t="inlineStr">
        <is>
          <t>77242113UCO2001</t>
        </is>
      </c>
    </row>
    <row r="662">
      <c r="A662" s="2" t="str">
        <f>HYPERLINK("https://vtmf.veevavault.com/ui/#doc_info/26267956/1/0", "77242113UCO2001-CZE-Z92-CZ10008-Other Curriculum Vitae-24 Jan 2024 (v1.0)")</f>
        <v>77242113UCO2001-CZE-Z92-CZ10008-Other Curriculum Vitae-24 Jan 2024 (v1.0)</v>
      </c>
      <c r="B662" s="3" t="inlineStr">
        <is>
          <t>Lenka Placha</t>
        </is>
      </c>
      <c r="C662" s="3" t="inlineStr">
        <is>
          <t>Site Management</t>
        </is>
      </c>
      <c r="D662" s="3" t="inlineStr">
        <is>
          <t>Site Set-up Documentation</t>
        </is>
      </c>
      <c r="E662" s="3" t="inlineStr">
        <is>
          <t>Other Curriculum Vitae</t>
        </is>
      </c>
      <c r="F662" s="3" t="inlineStr">
        <is>
          <t>cv pharmacist EN Pokorova Jana_ initial_24Jan24</t>
        </is>
      </c>
      <c r="G662" s="2" t="str">
        <f>HYPERLINK("https://vtmf.veevavault.com/ui/#doc_info/26267956/1/0", "VTMF-21013711")</f>
        <v>VTMF-21013711</v>
      </c>
      <c r="H662" s="3" t="inlineStr">
        <is>
          <t/>
        </is>
      </c>
      <c r="I662" s="3" t="inlineStr">
        <is>
          <t>Anthony Suarez (veeva.com)</t>
        </is>
      </c>
      <c r="J662" s="3" t="inlineStr">
        <is>
          <t>Lenka Placha</t>
        </is>
      </c>
      <c r="K662" s="4" t="n">
        <v>45418.969375</v>
      </c>
      <c r="L662" s="5" t="n">
        <v>45418.0</v>
      </c>
      <c r="M662" s="3" t="inlineStr">
        <is>
          <t>Approved</t>
        </is>
      </c>
      <c r="N662" s="3" t="inlineStr">
        <is>
          <t>Available for Distribution, CLIX Filing, Site Close</t>
        </is>
      </c>
      <c r="O662" s="3" t="inlineStr">
        <is>
          <t>Czech Republic</t>
        </is>
      </c>
      <c r="P662" s="3" t="inlineStr">
        <is>
          <t>Z92-CZ10008</t>
        </is>
      </c>
      <c r="Q662" s="3" t="inlineStr">
        <is>
          <t>77242113UCO2001</t>
        </is>
      </c>
    </row>
    <row r="663">
      <c r="A663" s="2" t="str">
        <f>HYPERLINK("https://vtmf.veevavault.com/ui/#doc_info/27059121/1/0", "77242113UCO2001-CZE-Z92-CZ10008-Other Curriculum Vitae-24 Jan 2024 (v1.0)")</f>
        <v>77242113UCO2001-CZE-Z92-CZ10008-Other Curriculum Vitae-24 Jan 2024 (v1.0)</v>
      </c>
      <c r="B663" s="3" t="inlineStr">
        <is>
          <t>Lenka Placha</t>
        </is>
      </c>
      <c r="C663" s="3" t="inlineStr">
        <is>
          <t>Site Management</t>
        </is>
      </c>
      <c r="D663" s="3" t="inlineStr">
        <is>
          <t>Site Set-up Documentation</t>
        </is>
      </c>
      <c r="E663" s="3" t="inlineStr">
        <is>
          <t>Other Curriculum Vitae</t>
        </is>
      </c>
      <c r="F663" s="3" t="inlineStr">
        <is>
          <t>CV lab technician CZ Kasparova Marie_Initial_24Jan24</t>
        </is>
      </c>
      <c r="G663" s="2" t="str">
        <f>HYPERLINK("https://vtmf.veevavault.com/ui/#doc_info/27059121/1/0", "VTMF-21689722")</f>
        <v>VTMF-21689722</v>
      </c>
      <c r="H663" s="3" t="inlineStr">
        <is>
          <t/>
        </is>
      </c>
      <c r="I663" s="3" t="inlineStr">
        <is>
          <t>Anthony Suarez (veeva.com)</t>
        </is>
      </c>
      <c r="J663" s="3" t="inlineStr">
        <is>
          <t>Lenka Placha</t>
        </is>
      </c>
      <c r="K663" s="4" t="n">
        <v>45546.77943287037</v>
      </c>
      <c r="L663" s="5" t="n">
        <v>45546.0</v>
      </c>
      <c r="M663" s="3" t="inlineStr">
        <is>
          <t>Approved</t>
        </is>
      </c>
      <c r="N663" s="3" t="inlineStr">
        <is>
          <t>Available for Distribution, CLIX Filing, Site Close</t>
        </is>
      </c>
      <c r="O663" s="3" t="inlineStr">
        <is>
          <t>Czech Republic</t>
        </is>
      </c>
      <c r="P663" s="3" t="inlineStr">
        <is>
          <t>Z92-CZ10008</t>
        </is>
      </c>
      <c r="Q663" s="3" t="inlineStr">
        <is>
          <t>77242113UCO2001</t>
        </is>
      </c>
    </row>
    <row r="664">
      <c r="A664" s="2" t="str">
        <f>HYPERLINK("https://vtmf.veevavault.com/ui/#doc_info/27058494/1/0", "77242113UCO2001-CZE-Z92-CZ10008-Other Curriculum Vitae-25 Jan 2024 (v1.0)")</f>
        <v>77242113UCO2001-CZE-Z92-CZ10008-Other Curriculum Vitae-25 Jan 2024 (v1.0)</v>
      </c>
      <c r="B664" s="3" t="inlineStr">
        <is>
          <t>Lenka Placha</t>
        </is>
      </c>
      <c r="C664" s="3" t="inlineStr">
        <is>
          <t>Site Management</t>
        </is>
      </c>
      <c r="D664" s="3" t="inlineStr">
        <is>
          <t>Site Set-up Documentation</t>
        </is>
      </c>
      <c r="E664" s="3" t="inlineStr">
        <is>
          <t>Other Curriculum Vitae</t>
        </is>
      </c>
      <c r="F664" s="3" t="inlineStr">
        <is>
          <t>CV_SN_EN_ Halmichova Andrea_initial_25Jan24</t>
        </is>
      </c>
      <c r="G664" s="2" t="str">
        <f>HYPERLINK("https://vtmf.veevavault.com/ui/#doc_info/27058494/1/0", "VTMF-21689179")</f>
        <v>VTMF-21689179</v>
      </c>
      <c r="H664" s="3" t="inlineStr">
        <is>
          <t/>
        </is>
      </c>
      <c r="I664" s="3" t="inlineStr">
        <is>
          <t>Anthony Suarez (veeva.com)</t>
        </is>
      </c>
      <c r="J664" s="3" t="inlineStr">
        <is>
          <t>Lenka Placha</t>
        </is>
      </c>
      <c r="K664" s="4" t="n">
        <v>45546.71864583333</v>
      </c>
      <c r="L664" s="5" t="n">
        <v>45546.0</v>
      </c>
      <c r="M664" s="3" t="inlineStr">
        <is>
          <t>Approved</t>
        </is>
      </c>
      <c r="N664" s="3" t="inlineStr">
        <is>
          <t>Available for Distribution, CLIX Filing, Site Close</t>
        </is>
      </c>
      <c r="O664" s="3" t="inlineStr">
        <is>
          <t>Czech Republic</t>
        </is>
      </c>
      <c r="P664" s="3" t="inlineStr">
        <is>
          <t>Z92-CZ10008</t>
        </is>
      </c>
      <c r="Q664" s="3" t="inlineStr">
        <is>
          <t>77242113UCO2001</t>
        </is>
      </c>
    </row>
    <row r="665">
      <c r="A665" s="2" t="str">
        <f>HYPERLINK("https://vtmf.veevavault.com/ui/#doc_info/24086565/1/0", "77242113UCO2001-CZE-Z92-CZ10008-Pre Trial Monitoring Report-15 May 2023 (v1.0)")</f>
        <v>77242113UCO2001-CZE-Z92-CZ10008-Pre Trial Monitoring Report-15 May 2023 (v1.0)</v>
      </c>
      <c r="B665" s="3" t="inlineStr">
        <is>
          <t>Admin User Medidata</t>
        </is>
      </c>
      <c r="C665" s="3" t="inlineStr">
        <is>
          <t>Site Management</t>
        </is>
      </c>
      <c r="D665" s="3" t="inlineStr">
        <is>
          <t>Site Selection</t>
        </is>
      </c>
      <c r="E665" s="3" t="inlineStr">
        <is>
          <t>Pre Trial Monitoring Report</t>
        </is>
      </c>
      <c r="F665" s="3" t="inlineStr">
        <is>
          <t/>
        </is>
      </c>
      <c r="G665" s="2" t="str">
        <f>HYPERLINK("https://vtmf.veevavault.com/ui/#doc_info/24086565/1/0", "VTMF-19102553")</f>
        <v>VTMF-19102553</v>
      </c>
      <c r="H665" s="3" t="inlineStr">
        <is>
          <t/>
        </is>
      </c>
      <c r="I665" s="3" t="inlineStr">
        <is>
          <t>System</t>
        </is>
      </c>
      <c r="J665" s="3" t="inlineStr">
        <is>
          <t>Admin User Medidata</t>
        </is>
      </c>
      <c r="K665" s="4" t="n">
        <v>45068.352743055555</v>
      </c>
      <c r="L665" s="5" t="n">
        <v>45068.0</v>
      </c>
      <c r="M665" s="3" t="inlineStr">
        <is>
          <t>Approved</t>
        </is>
      </c>
      <c r="N665" s="3" t="inlineStr">
        <is>
          <t>Available for Distribution, Site Start</t>
        </is>
      </c>
      <c r="O665" s="3" t="inlineStr">
        <is>
          <t>Czech Republic</t>
        </is>
      </c>
      <c r="P665" s="3" t="inlineStr">
        <is>
          <t>Z92-CZ10008</t>
        </is>
      </c>
      <c r="Q665" s="3" t="inlineStr">
        <is>
          <t>77242113UCO2001</t>
        </is>
      </c>
    </row>
    <row r="666">
      <c r="A666" s="2" t="str">
        <f>HYPERLINK("https://vtmf.veevavault.com/ui/#doc_info/31250691/1/0", "77242113UCO2001-CZE-Z92-CZ10008-Principal Investigator Curriculum Vitae-10 Mar 2026 (v1.0)")</f>
        <v>77242113UCO2001-CZE-Z92-CZ10008-Principal Investigator Curriculum Vitae-10 Mar 2026 (v1.0)</v>
      </c>
      <c r="B666" s="3" t="inlineStr">
        <is>
          <t>Bela Lukavcová</t>
        </is>
      </c>
      <c r="C666" s="3" t="inlineStr">
        <is>
          <t>Site Management</t>
        </is>
      </c>
      <c r="D666" s="3" t="inlineStr">
        <is>
          <t>Site Set-up Documentation</t>
        </is>
      </c>
      <c r="E666" s="3" t="inlineStr">
        <is>
          <t>Principal Investigator Curriculum Vitae</t>
        </is>
      </c>
      <c r="F666" s="3" t="inlineStr">
        <is>
          <t>CV_CZ_Bortlik, M_Revised</t>
        </is>
      </c>
      <c r="G666" s="2" t="str">
        <f>HYPERLINK("https://vtmf.veevavault.com/ui/#doc_info/31250691/1/0", "VTMF-25204081")</f>
        <v>VTMF-25204081</v>
      </c>
      <c r="H666" s="3" t="inlineStr">
        <is>
          <t/>
        </is>
      </c>
      <c r="I666" s="3" t="inlineStr">
        <is>
          <t>System</t>
        </is>
      </c>
      <c r="J666" s="3" t="inlineStr">
        <is>
          <t>Bela Lukavcová</t>
        </is>
      </c>
      <c r="K666" s="4" t="n">
        <v>46104.42246527778</v>
      </c>
      <c r="L666" s="5" t="n">
        <v>46104.0</v>
      </c>
      <c r="M666" s="3" t="inlineStr">
        <is>
          <t>Approved</t>
        </is>
      </c>
      <c r="N666" s="3" t="inlineStr">
        <is>
          <t>Available for Distribution, CLIX Filing, IP Release, Site Start</t>
        </is>
      </c>
      <c r="O666" s="3" t="inlineStr">
        <is>
          <t>Czech Republic</t>
        </is>
      </c>
      <c r="P666" s="3" t="inlineStr">
        <is>
          <t>Z92-CZ10008</t>
        </is>
      </c>
      <c r="Q666" s="3" t="inlineStr">
        <is>
          <t>77242113UCO2001</t>
        </is>
      </c>
    </row>
    <row r="667">
      <c r="A667" s="2" t="str">
        <f>HYPERLINK("https://vtmf.veevavault.com/ui/#doc_info/24382781/1/0", "77242113UCO2001-CZE-Z92-CZ10008-Principal Investigator Curriculum Vitae-20 Jun 2023 (v1.0)")</f>
        <v>77242113UCO2001-CZE-Z92-CZ10008-Principal Investigator Curriculum Vitae-20 Jun 2023 (v1.0)</v>
      </c>
      <c r="B667" s="3" t="inlineStr">
        <is>
          <t>Marketa Zachova</t>
        </is>
      </c>
      <c r="C667" s="3" t="inlineStr">
        <is>
          <t>Site Management</t>
        </is>
      </c>
      <c r="D667" s="3" t="inlineStr">
        <is>
          <t>Site Set-up Documentation</t>
        </is>
      </c>
      <c r="E667" s="3" t="inlineStr">
        <is>
          <t>Principal Investigator Curriculum Vitae</t>
        </is>
      </c>
      <c r="F667" s="3" t="inlineStr">
        <is>
          <t>M1_CV Bortlik M_Nemocnice C Budejovice_CZ_CZE_77242113UCO2001_20Jun2023</t>
        </is>
      </c>
      <c r="G667" s="2" t="str">
        <f>HYPERLINK("https://vtmf.veevavault.com/ui/#doc_info/24382781/1/0", "VTMF-19364249")</f>
        <v>VTMF-19364249</v>
      </c>
      <c r="H667" s="3" t="inlineStr">
        <is>
          <t/>
        </is>
      </c>
      <c r="I667" s="3" t="inlineStr">
        <is>
          <t>Anthony Suarez (veeva.com)</t>
        </is>
      </c>
      <c r="J667" s="3" t="inlineStr">
        <is>
          <t>Marketa Zachova</t>
        </is>
      </c>
      <c r="K667" s="4" t="n">
        <v>45111.500810185185</v>
      </c>
      <c r="L667" s="5" t="n">
        <v>45111.0</v>
      </c>
      <c r="M667" s="3" t="inlineStr">
        <is>
          <t>Approved</t>
        </is>
      </c>
      <c r="N667" s="3" t="inlineStr">
        <is>
          <t>Available for Distribution, CLIX Filing, Site Close</t>
        </is>
      </c>
      <c r="O667" s="3" t="inlineStr">
        <is>
          <t>Czech Republic</t>
        </is>
      </c>
      <c r="P667" s="3" t="inlineStr">
        <is>
          <t>Z92-CZ10008</t>
        </is>
      </c>
      <c r="Q667" s="3" t="inlineStr">
        <is>
          <t>77242113UCO2001</t>
        </is>
      </c>
    </row>
    <row r="668">
      <c r="A668" s="2" t="str">
        <f>HYPERLINK("https://vtmf.veevavault.com/ui/#doc_info/24384613/1/0", "77242113UCO2001-CZE-Z92-CZ10008-Principal Investigator Curriculum Vitae-20 Jun 2023 (v1.0)")</f>
        <v>77242113UCO2001-CZE-Z92-CZ10008-Principal Investigator Curriculum Vitae-20 Jun 2023 (v1.0)</v>
      </c>
      <c r="B668" s="3" t="inlineStr">
        <is>
          <t>Jitka Kone</t>
        </is>
      </c>
      <c r="C668" s="3" t="inlineStr">
        <is>
          <t>Site Management</t>
        </is>
      </c>
      <c r="D668" s="3" t="inlineStr">
        <is>
          <t>Site Set-up Documentation</t>
        </is>
      </c>
      <c r="E668" s="3" t="inlineStr">
        <is>
          <t>Principal Investigator Curriculum Vitae</t>
        </is>
      </c>
      <c r="F668" s="3" t="inlineStr">
        <is>
          <t>REDACTED_M1_CV Bortlik M_Nemocnice C Budejovice_CZ_CZE_77242113UCO2001_20Jun2023</t>
        </is>
      </c>
      <c r="G668" s="2" t="str">
        <f>HYPERLINK("https://vtmf.veevavault.com/ui/#doc_info/24384613/1/0", "VTMF-19365791")</f>
        <v>VTMF-19365791</v>
      </c>
      <c r="H668" s="3" t="inlineStr">
        <is>
          <t/>
        </is>
      </c>
      <c r="I668" s="3" t="inlineStr">
        <is>
          <t>Anthony Suarez (veeva.com)</t>
        </is>
      </c>
      <c r="J668" s="3" t="inlineStr">
        <is>
          <t>Jitka Kone</t>
        </is>
      </c>
      <c r="K668" s="4" t="n">
        <v>45111.68336805556</v>
      </c>
      <c r="L668" s="5" t="n">
        <v>45111.0</v>
      </c>
      <c r="M668" s="3" t="inlineStr">
        <is>
          <t>Approved</t>
        </is>
      </c>
      <c r="N668" s="3" t="inlineStr">
        <is>
          <t>Available for Distribution, CLIX Filing, Site Close</t>
        </is>
      </c>
      <c r="O668" s="3" t="inlineStr">
        <is>
          <t>Czech Republic</t>
        </is>
      </c>
      <c r="P668" s="3" t="inlineStr">
        <is>
          <t>Z92-CZ10008</t>
        </is>
      </c>
      <c r="Q668" s="3" t="inlineStr">
        <is>
          <t>77242113UCO2001</t>
        </is>
      </c>
    </row>
    <row r="669">
      <c r="A669" s="2" t="str">
        <f>HYPERLINK("https://vtmf.veevavault.com/ui/#doc_info/24104025/1/0", "77242113UCO2001-CZE-Z92-CZ10008-Principal Investigator Curriculum Vitae-23 Jan 2024 (v1.0)")</f>
        <v>77242113UCO2001-CZE-Z92-CZ10008-Principal Investigator Curriculum Vitae-23 Jan 2024 (v1.0)</v>
      </c>
      <c r="B669" s="3" t="inlineStr">
        <is>
          <t>EDL Admin</t>
        </is>
      </c>
      <c r="C669" s="3" t="inlineStr">
        <is>
          <t>Site Management</t>
        </is>
      </c>
      <c r="D669" s="3" t="inlineStr">
        <is>
          <t>Site Set-up Documentation</t>
        </is>
      </c>
      <c r="E669" s="3" t="inlineStr">
        <is>
          <t>Principal Investigator Curriculum Vitae</t>
        </is>
      </c>
      <c r="F669" s="3" t="inlineStr">
        <is>
          <t>cv_EN_ Bortlik Martin_initial_23Jan24</t>
        </is>
      </c>
      <c r="G669" s="2" t="str">
        <f>HYPERLINK("https://vtmf.veevavault.com/ui/#doc_info/24104025/1/0", "VTMF-19118649")</f>
        <v>VTMF-19118649</v>
      </c>
      <c r="H669" s="3" t="inlineStr">
        <is>
          <t/>
        </is>
      </c>
      <c r="I669" s="3" t="inlineStr">
        <is>
          <t>Anthony Suarez (veeva.com)</t>
        </is>
      </c>
      <c r="J669" s="3" t="inlineStr">
        <is>
          <t>Lenka Placha</t>
        </is>
      </c>
      <c r="K669" s="4" t="n">
        <v>45322.470358796294</v>
      </c>
      <c r="L669" s="5" t="n">
        <v>45322.0</v>
      </c>
      <c r="M669" s="3" t="inlineStr">
        <is>
          <t>Approved</t>
        </is>
      </c>
      <c r="N669" s="3" t="inlineStr">
        <is>
          <t>Available for Distribution, CLIX Filing, Site Close</t>
        </is>
      </c>
      <c r="O669" s="3" t="inlineStr">
        <is>
          <t>Czech Republic</t>
        </is>
      </c>
      <c r="P669" s="3" t="inlineStr">
        <is>
          <t>Z92-CZ10008</t>
        </is>
      </c>
      <c r="Q669" s="3" t="inlineStr">
        <is>
          <t>77242113UCO2001</t>
        </is>
      </c>
    </row>
    <row r="670">
      <c r="A670" s="2" t="str">
        <f>HYPERLINK("https://vtmf.veevavault.com/ui/#doc_info/24333378/1/0", "77242113UCO2001-CZE-Z92-CZ10008-Principal Investigator Financial Disclosure Form-19 Jun 2023 (v1.0)")</f>
        <v>77242113UCO2001-CZE-Z92-CZ10008-Principal Investigator Financial Disclosure Form-19 Jun 2023 (v1.0)</v>
      </c>
      <c r="B670" s="3" t="inlineStr">
        <is>
          <t>Marketa Zachova</t>
        </is>
      </c>
      <c r="C670" s="3" t="inlineStr">
        <is>
          <t>Site Management</t>
        </is>
      </c>
      <c r="D670" s="3" t="inlineStr">
        <is>
          <t>Site Set-up Documentation</t>
        </is>
      </c>
      <c r="E670" s="3" t="inlineStr">
        <is>
          <t>Principal Investigator Financial Disclosure Form</t>
        </is>
      </c>
      <c r="F670" s="3" t="inlineStr">
        <is>
          <t>M2_DoI Bortlik M_Nemocnice C Budejovice_CZ_CZE_77242113UCO2001_v1_19Jun2023</t>
        </is>
      </c>
      <c r="G670" s="2" t="str">
        <f>HYPERLINK("https://vtmf.veevavault.com/ui/#doc_info/24333378/1/0", "VTMF-19321127")</f>
        <v>VTMF-19321127</v>
      </c>
      <c r="H670" s="3" t="inlineStr">
        <is>
          <t/>
        </is>
      </c>
      <c r="I670" s="3" t="inlineStr">
        <is>
          <t>System</t>
        </is>
      </c>
      <c r="J670" s="3" t="inlineStr">
        <is>
          <t>Marketa Zachova</t>
        </is>
      </c>
      <c r="K670" s="4" t="n">
        <v>45103.676354166666</v>
      </c>
      <c r="L670" s="5" t="n">
        <v>45103.0</v>
      </c>
      <c r="M670" s="3" t="inlineStr">
        <is>
          <t>Approved</t>
        </is>
      </c>
      <c r="N670" s="3" t="inlineStr">
        <is>
          <t>Available for Distribution</t>
        </is>
      </c>
      <c r="O670" s="3" t="inlineStr">
        <is>
          <t>Czech Republic</t>
        </is>
      </c>
      <c r="P670" s="3" t="inlineStr">
        <is>
          <t>Z92-CZ10008</t>
        </is>
      </c>
      <c r="Q670" s="3" t="inlineStr">
        <is>
          <t>77242113UCO2001</t>
        </is>
      </c>
    </row>
    <row r="671">
      <c r="A671" s="2" t="str">
        <f>HYPERLINK("https://vtmf.veevavault.com/ui/#doc_info/24351286/1/0", "77242113UCO2001-CZE-Z92-CZ10008-Principal Investigator Financial Disclosure Form-19 Jun 2023 (v1.0)")</f>
        <v>77242113UCO2001-CZE-Z92-CZ10008-Principal Investigator Financial Disclosure Form-19 Jun 2023 (v1.0)</v>
      </c>
      <c r="B671" s="3" t="inlineStr">
        <is>
          <t>Jitka Kone</t>
        </is>
      </c>
      <c r="C671" s="3" t="inlineStr">
        <is>
          <t>Site Management</t>
        </is>
      </c>
      <c r="D671" s="3" t="inlineStr">
        <is>
          <t>Site Set-up Documentation</t>
        </is>
      </c>
      <c r="E671" s="3" t="inlineStr">
        <is>
          <t>Principal Investigator Financial Disclosure Form</t>
        </is>
      </c>
      <c r="F671" s="3" t="inlineStr">
        <is>
          <t>REDACTED_M2_DoI Bortlik M_Nemocnice C Budejovice_CZ_CZE_77242113UCO2001_v1_19Jun2023</t>
        </is>
      </c>
      <c r="G671" s="2" t="str">
        <f>HYPERLINK("https://vtmf.veevavault.com/ui/#doc_info/24351286/1/0", "VTMF-19336634")</f>
        <v>VTMF-19336634</v>
      </c>
      <c r="H671" s="3" t="inlineStr">
        <is>
          <t/>
        </is>
      </c>
      <c r="I671" s="3" t="inlineStr">
        <is>
          <t>System</t>
        </is>
      </c>
      <c r="J671" s="3" t="inlineStr">
        <is>
          <t>Jitka Kone</t>
        </is>
      </c>
      <c r="K671" s="4" t="n">
        <v>45105.705104166664</v>
      </c>
      <c r="L671" s="5" t="n">
        <v>45105.0</v>
      </c>
      <c r="M671" s="3" t="inlineStr">
        <is>
          <t>Approved</t>
        </is>
      </c>
      <c r="N671" s="3" t="inlineStr">
        <is>
          <t>Available for Distribution</t>
        </is>
      </c>
      <c r="O671" s="3" t="inlineStr">
        <is>
          <t>Czech Republic</t>
        </is>
      </c>
      <c r="P671" s="3" t="inlineStr">
        <is>
          <t>Z92-CZ10008</t>
        </is>
      </c>
      <c r="Q671" s="3" t="inlineStr">
        <is>
          <t>77242113UCO2001</t>
        </is>
      </c>
    </row>
    <row r="672">
      <c r="A672" s="2" t="str">
        <f>HYPERLINK("https://vtmf.veevavault.com/ui/#doc_info/25611810/1/0", "77242113UCO2001-CZE-Z92-CZ10008-Principal Investigator Financial Disclosure Form-23 Jan 2024 (v1.0)")</f>
        <v>77242113UCO2001-CZE-Z92-CZ10008-Principal Investigator Financial Disclosure Form-23 Jan 2024 (v1.0)</v>
      </c>
      <c r="B672" s="3" t="inlineStr">
        <is>
          <t>Lenka Placha</t>
        </is>
      </c>
      <c r="C672" s="3" t="inlineStr">
        <is>
          <t>Site Management</t>
        </is>
      </c>
      <c r="D672" s="3" t="inlineStr">
        <is>
          <t>Site Set-up Documentation</t>
        </is>
      </c>
      <c r="E672" s="3" t="inlineStr">
        <is>
          <t>Principal Investigator Financial Disclosure Form</t>
        </is>
      </c>
      <c r="F672" s="3" t="inlineStr">
        <is>
          <t>IFDF PI Bortlik Martin_initial_23Jan24</t>
        </is>
      </c>
      <c r="G672" s="2" t="str">
        <f>HYPERLINK("https://vtmf.veevavault.com/ui/#doc_info/25611810/1/0", "VTMF-20437087")</f>
        <v>VTMF-20437087</v>
      </c>
      <c r="H672" s="3" t="inlineStr">
        <is>
          <t/>
        </is>
      </c>
      <c r="I672" s="3" t="inlineStr">
        <is>
          <t>Anthony Suarez (veeva.com)</t>
        </is>
      </c>
      <c r="J672" s="3" t="inlineStr">
        <is>
          <t>Lenka Placha</t>
        </is>
      </c>
      <c r="K672" s="4" t="n">
        <v>45322.356770833336</v>
      </c>
      <c r="L672" s="5" t="n">
        <v>45322.0</v>
      </c>
      <c r="M672" s="3" t="inlineStr">
        <is>
          <t>Approved</t>
        </is>
      </c>
      <c r="N672" s="3" t="inlineStr">
        <is>
          <t>Available for Distribution</t>
        </is>
      </c>
      <c r="O672" s="3" t="inlineStr">
        <is>
          <t>Czech Republic</t>
        </is>
      </c>
      <c r="P672" s="3" t="inlineStr">
        <is>
          <t>Z92-CZ10008</t>
        </is>
      </c>
      <c r="Q672" s="3" t="inlineStr">
        <is>
          <t>77242113UCO2001</t>
        </is>
      </c>
    </row>
    <row r="673">
      <c r="A673" s="2" t="str">
        <f>HYPERLINK("https://vtmf.veevavault.com/ui/#doc_info/24104026/1/0", "77242113UCO2001-CZE-Z92-CZ10008-Protocol Signature Page-23 Jan 2024 (v1.0)")</f>
        <v>77242113UCO2001-CZE-Z92-CZ10008-Protocol Signature Page-23 Jan 2024 (v1.0)</v>
      </c>
      <c r="B673" s="3" t="inlineStr">
        <is>
          <t>EDL Admin</t>
        </is>
      </c>
      <c r="C673" s="3" t="inlineStr">
        <is>
          <t>Site Management</t>
        </is>
      </c>
      <c r="D673" s="3" t="inlineStr">
        <is>
          <t>Site Set-up Documentation</t>
        </is>
      </c>
      <c r="E673" s="3" t="inlineStr">
        <is>
          <t>Protocol Signature Page</t>
        </is>
      </c>
      <c r="F673" s="3" t="inlineStr">
        <is>
          <t>PSP_Bortlik Martin_Protocol Am #2,31Oct23_site Z92-CZ10008_23Jan24</t>
        </is>
      </c>
      <c r="G673" s="2" t="str">
        <f>HYPERLINK("https://vtmf.veevavault.com/ui/#doc_info/24104026/1/0", "VTMF-19118650")</f>
        <v>VTMF-19118650</v>
      </c>
      <c r="H673" s="3" t="inlineStr">
        <is>
          <t/>
        </is>
      </c>
      <c r="I673" s="3" t="inlineStr">
        <is>
          <t>Anthony Suarez (veeva.com)</t>
        </is>
      </c>
      <c r="J673" s="3" t="inlineStr">
        <is>
          <t>Lenka Placha</t>
        </is>
      </c>
      <c r="K673" s="4" t="n">
        <v>45322.40975694444</v>
      </c>
      <c r="L673" s="5" t="n">
        <v>45322.0</v>
      </c>
      <c r="M673" s="3" t="inlineStr">
        <is>
          <t>Approved</t>
        </is>
      </c>
      <c r="N673" s="3" t="inlineStr">
        <is>
          <t>Available for Distribution, CLIX Filing, Site Close</t>
        </is>
      </c>
      <c r="O673" s="3" t="inlineStr">
        <is>
          <t>Czech Republic</t>
        </is>
      </c>
      <c r="P673" s="3" t="inlineStr">
        <is>
          <t>Z92-CZ10008</t>
        </is>
      </c>
      <c r="Q673" s="3" t="inlineStr">
        <is>
          <t>77242113UCO2001</t>
        </is>
      </c>
    </row>
    <row r="674">
      <c r="A674" s="2" t="str">
        <f>HYPERLINK("https://vtmf.veevavault.com/ui/#doc_info/26768590/1/0", "77242113UCO2001-CZE-Z92-CZ10008-Protocol Signature Page-25 Jun 2024 (v1.0)")</f>
        <v>77242113UCO2001-CZE-Z92-CZ10008-Protocol Signature Page-25 Jun 2024 (v1.0)</v>
      </c>
      <c r="B674" s="3" t="inlineStr">
        <is>
          <t>Lenka Placha</t>
        </is>
      </c>
      <c r="C674" s="3" t="inlineStr">
        <is>
          <t>Site Management</t>
        </is>
      </c>
      <c r="D674" s="3" t="inlineStr">
        <is>
          <t>Site Set-up Documentation</t>
        </is>
      </c>
      <c r="E674" s="3" t="inlineStr">
        <is>
          <t>Protocol Signature Page</t>
        </is>
      </c>
      <c r="F674" s="3" t="inlineStr">
        <is>
          <t>PSP_Bortlik Martin_Protocol Amendment #3 , dated 02Apr2024_ 25Jun24</t>
        </is>
      </c>
      <c r="G674" s="2" t="str">
        <f>HYPERLINK("https://vtmf.veevavault.com/ui/#doc_info/26768590/1/0", "VTMF-21452134")</f>
        <v>VTMF-21452134</v>
      </c>
      <c r="H674" s="3" t="inlineStr">
        <is>
          <t/>
        </is>
      </c>
      <c r="I674" s="3" t="inlineStr">
        <is>
          <t>Anthony Suarez (veeva.com)</t>
        </is>
      </c>
      <c r="J674" s="3" t="inlineStr">
        <is>
          <t>Lenka Placha</t>
        </is>
      </c>
      <c r="K674" s="4" t="n">
        <v>45498.455879629626</v>
      </c>
      <c r="L674" s="5" t="n">
        <v>45498.0</v>
      </c>
      <c r="M674" s="3" t="inlineStr">
        <is>
          <t>Approved</t>
        </is>
      </c>
      <c r="N674" s="3" t="inlineStr">
        <is>
          <t>Available for Distribution, CLIX Filing, Site Close</t>
        </is>
      </c>
      <c r="O674" s="3" t="inlineStr">
        <is>
          <t>Czech Republic</t>
        </is>
      </c>
      <c r="P674" s="3" t="inlineStr">
        <is>
          <t>Z92-CZ10008</t>
        </is>
      </c>
      <c r="Q674" s="3" t="inlineStr">
        <is>
          <t>77242113UCO2001</t>
        </is>
      </c>
    </row>
    <row r="675">
      <c r="A675" s="2" t="str">
        <f>HYPERLINK("https://vtmf.veevavault.com/ui/#doc_info/27059376/2/0", "77242113UCO2001-CZE-Z92-CZ10008-Quality Review Documentation-10 Sep 2025 (v2.0)")</f>
        <v>77242113UCO2001-CZE-Z92-CZ10008-Quality Review Documentation-10 Sep 2025 (v2.0)</v>
      </c>
      <c r="B675" s="3" t="inlineStr">
        <is>
          <t>Lenka Placha</t>
        </is>
      </c>
      <c r="C675" s="3" t="inlineStr">
        <is>
          <t>Trial Management</t>
        </is>
      </c>
      <c r="D675" s="3" t="inlineStr">
        <is>
          <t>Trial Oversight</t>
        </is>
      </c>
      <c r="E675" s="3" t="inlineStr">
        <is>
          <t>Quality Review Documentation</t>
        </is>
      </c>
      <c r="F675" s="3" t="inlineStr">
        <is>
          <t>AQR_Evidence Report_Site level_Z92-CZ10008_10Sep25</t>
        </is>
      </c>
      <c r="G675" s="2" t="str">
        <f>HYPERLINK("https://vtmf.veevavault.com/ui/#doc_info/27059376/2/0", "VTMF-21689970")</f>
        <v>VTMF-21689970</v>
      </c>
      <c r="H675" s="3" t="inlineStr">
        <is>
          <t/>
        </is>
      </c>
      <c r="I675" s="3" t="inlineStr">
        <is>
          <t>System</t>
        </is>
      </c>
      <c r="J675" s="3" t="inlineStr">
        <is>
          <t>Lenka Placha</t>
        </is>
      </c>
      <c r="K675" s="4" t="n">
        <v>45910.47752314815</v>
      </c>
      <c r="L675" s="5" t="n">
        <v>45910.0</v>
      </c>
      <c r="M675" s="3" t="inlineStr">
        <is>
          <t>Approved</t>
        </is>
      </c>
      <c r="N675" s="3" t="inlineStr">
        <is>
          <t>Country Close, Site Close, Study Close</t>
        </is>
      </c>
      <c r="O675" s="3" t="inlineStr">
        <is>
          <t>Czech Republic</t>
        </is>
      </c>
      <c r="P675" s="3" t="inlineStr">
        <is>
          <t>Z92-CZ10008</t>
        </is>
      </c>
      <c r="Q675" s="3" t="inlineStr">
        <is>
          <t>77242113UCO2001</t>
        </is>
      </c>
    </row>
    <row r="676">
      <c r="A676" s="2" t="str">
        <f>HYPERLINK("https://vtmf.veevavault.com/ui/#doc_info/29925275/1/0", "77242113UCO2001-CZE-Z92-CZ10008-Quality Review Documentation-10 Sep 2025 (v1.0)")</f>
        <v>77242113UCO2001-CZE-Z92-CZ10008-Quality Review Documentation-10 Sep 2025 (v1.0)</v>
      </c>
      <c r="B676" s="3" t="inlineStr">
        <is>
          <t>Lenka Placha</t>
        </is>
      </c>
      <c r="C676" s="3" t="inlineStr">
        <is>
          <t>Trial Management</t>
        </is>
      </c>
      <c r="D676" s="3" t="inlineStr">
        <is>
          <t>Trial Oversight</t>
        </is>
      </c>
      <c r="E676" s="3" t="inlineStr">
        <is>
          <t>Quality Review Documentation</t>
        </is>
      </c>
      <c r="F676" s="3" t="inlineStr">
        <is>
          <t>RC Form_Site level_Site Z92-CZ10008_10Sep2025</t>
        </is>
      </c>
      <c r="G676" s="2" t="str">
        <f>HYPERLINK("https://vtmf.veevavault.com/ui/#doc_info/29925275/1/0", "VTMF-24089374")</f>
        <v>VTMF-24089374</v>
      </c>
      <c r="H676" s="3" t="inlineStr">
        <is>
          <t/>
        </is>
      </c>
      <c r="I676" s="3" t="inlineStr">
        <is>
          <t>System</t>
        </is>
      </c>
      <c r="J676" s="3" t="inlineStr">
        <is>
          <t>Lenka Placha</t>
        </is>
      </c>
      <c r="K676" s="4" t="n">
        <v>45910.5490162037</v>
      </c>
      <c r="L676" s="5" t="n">
        <v>45910.0</v>
      </c>
      <c r="M676" s="3" t="inlineStr">
        <is>
          <t>Approved</t>
        </is>
      </c>
      <c r="N676" s="3" t="inlineStr">
        <is>
          <t>Country Close, Site Close, Study Close</t>
        </is>
      </c>
      <c r="O676" s="3" t="inlineStr">
        <is>
          <t>Czech Republic</t>
        </is>
      </c>
      <c r="P676" s="3" t="inlineStr">
        <is>
          <t>Z92-CZ10008</t>
        </is>
      </c>
      <c r="Q676" s="3" t="inlineStr">
        <is>
          <t>77242113UCO2001</t>
        </is>
      </c>
    </row>
    <row r="677">
      <c r="A677" s="2" t="str">
        <f>HYPERLINK("https://vtmf.veevavault.com/ui/#doc_info/27059375/1/0", "77242113UCO2001-CZE-Z92-CZ10008-Quality Review Documentation-11 Sep 2024 (v1.0)")</f>
        <v>77242113UCO2001-CZE-Z92-CZ10008-Quality Review Documentation-11 Sep 2024 (v1.0)</v>
      </c>
      <c r="B677" s="3" t="inlineStr">
        <is>
          <t>Lenka Placha</t>
        </is>
      </c>
      <c r="C677" s="3" t="inlineStr">
        <is>
          <t>Trial Management</t>
        </is>
      </c>
      <c r="D677" s="3" t="inlineStr">
        <is>
          <t>Trial Oversight</t>
        </is>
      </c>
      <c r="E677" s="3" t="inlineStr">
        <is>
          <t>Quality Review Documentation</t>
        </is>
      </c>
      <c r="F677" s="3" t="inlineStr">
        <is>
          <t>QRC Form_Site level_Site Z92-CZ10008_11Sep2024</t>
        </is>
      </c>
      <c r="G677" s="2" t="str">
        <f>HYPERLINK("https://vtmf.veevavault.com/ui/#doc_info/27059375/1/0", "VTMF-21689969")</f>
        <v>VTMF-21689969</v>
      </c>
      <c r="H677" s="3" t="inlineStr">
        <is>
          <t/>
        </is>
      </c>
      <c r="I677" s="3" t="inlineStr">
        <is>
          <t>System</t>
        </is>
      </c>
      <c r="J677" s="3" t="inlineStr">
        <is>
          <t>Lenka Placha</t>
        </is>
      </c>
      <c r="K677" s="4" t="n">
        <v>45546.8149537037</v>
      </c>
      <c r="L677" s="5" t="n">
        <v>45546.0</v>
      </c>
      <c r="M677" s="3" t="inlineStr">
        <is>
          <t>Approved</t>
        </is>
      </c>
      <c r="N677" s="3" t="inlineStr">
        <is>
          <t>Country Close, Site Close, Study Close</t>
        </is>
      </c>
      <c r="O677" s="3" t="inlineStr">
        <is>
          <t>Czech Republic</t>
        </is>
      </c>
      <c r="P677" s="3" t="inlineStr">
        <is>
          <t>Z92-CZ10008</t>
        </is>
      </c>
      <c r="Q677" s="3" t="inlineStr">
        <is>
          <t>77242113UCO2001</t>
        </is>
      </c>
    </row>
    <row r="678">
      <c r="A678" s="2" t="str">
        <f>HYPERLINK("https://vtmf.veevavault.com/ui/#doc_info/31886784/1/0", "77242113UCO2001-CZE-Z92-CZ10008-Quality Review Documentation-16 Jun 2026 (v1.0)")</f>
        <v>77242113UCO2001-CZE-Z92-CZ10008-Quality Review Documentation-16 Jun 2026 (v1.0)</v>
      </c>
      <c r="B678" s="3" t="inlineStr">
        <is>
          <t>Agnesa Ruiz Kajtarova</t>
        </is>
      </c>
      <c r="C678" s="3" t="inlineStr">
        <is>
          <t>Trial Management</t>
        </is>
      </c>
      <c r="D678" s="3" t="inlineStr">
        <is>
          <t>Trial Oversight</t>
        </is>
      </c>
      <c r="E678" s="3" t="inlineStr">
        <is>
          <t>Quality Review Documentation</t>
        </is>
      </c>
      <c r="F678" s="3" t="inlineStr">
        <is>
          <t>Quality Review Evidence_Final_11SEP2025-16JUN2026</t>
        </is>
      </c>
      <c r="G678" s="2" t="str">
        <f>HYPERLINK("https://vtmf.veevavault.com/ui/#doc_info/31886784/1/0", "VTMF-25742894")</f>
        <v>VTMF-25742894</v>
      </c>
      <c r="H678" s="3" t="inlineStr">
        <is>
          <t/>
        </is>
      </c>
      <c r="I678" s="3" t="inlineStr">
        <is>
          <t>System</t>
        </is>
      </c>
      <c r="J678" s="3" t="inlineStr">
        <is>
          <t>Agnesa Ruiz Kajtarova</t>
        </is>
      </c>
      <c r="K678" s="4" t="n">
        <v>46189.526979166665</v>
      </c>
      <c r="L678" s="5" t="n">
        <v>46189.0</v>
      </c>
      <c r="M678" s="3" t="inlineStr">
        <is>
          <t>Approved</t>
        </is>
      </c>
      <c r="N678" s="3" t="inlineStr">
        <is>
          <t>Country Close, Site Close, Study Close</t>
        </is>
      </c>
      <c r="O678" s="3" t="inlineStr">
        <is>
          <t>Czech Republic</t>
        </is>
      </c>
      <c r="P678" s="3" t="inlineStr">
        <is>
          <t>Z92-CZ10008</t>
        </is>
      </c>
      <c r="Q678" s="3" t="inlineStr">
        <is>
          <t>77242113UCO2001</t>
        </is>
      </c>
    </row>
    <row r="679">
      <c r="A679" s="2" t="str">
        <f>HYPERLINK("https://vtmf.veevavault.com/ui/#doc_info/31887050/1/0", "77242113UCO2001-CZE-Z92-CZ10008-Quality Review Documentation-16 Jun 2026 (v1.0)")</f>
        <v>77242113UCO2001-CZE-Z92-CZ10008-Quality Review Documentation-16 Jun 2026 (v1.0)</v>
      </c>
      <c r="B679" s="3" t="inlineStr">
        <is>
          <t>Agnesa Ruiz Kajtarova</t>
        </is>
      </c>
      <c r="C679" s="3" t="inlineStr">
        <is>
          <t>Trial Management</t>
        </is>
      </c>
      <c r="D679" s="3" t="inlineStr">
        <is>
          <t>Trial Oversight</t>
        </is>
      </c>
      <c r="E679" s="3" t="inlineStr">
        <is>
          <t>Quality Review Documentation</t>
        </is>
      </c>
      <c r="F679" s="3" t="inlineStr">
        <is>
          <t>Quality Review Check Form_Final_16JUN2026</t>
        </is>
      </c>
      <c r="G679" s="2" t="str">
        <f>HYPERLINK("https://vtmf.veevavault.com/ui/#doc_info/31887050/1/0", "VTMF-25743190")</f>
        <v>VTMF-25743190</v>
      </c>
      <c r="H679" s="3" t="inlineStr">
        <is>
          <t/>
        </is>
      </c>
      <c r="I679" s="3" t="inlineStr">
        <is>
          <t>System</t>
        </is>
      </c>
      <c r="J679" s="3" t="inlineStr">
        <is>
          <t>Agnesa Ruiz Kajtarova</t>
        </is>
      </c>
      <c r="K679" s="4" t="n">
        <v>46189.566099537034</v>
      </c>
      <c r="L679" s="5" t="n">
        <v>46189.0</v>
      </c>
      <c r="M679" s="3" t="inlineStr">
        <is>
          <t>Approved</t>
        </is>
      </c>
      <c r="N679" s="3" t="inlineStr">
        <is>
          <t>Country Close, Site Close, Study Close</t>
        </is>
      </c>
      <c r="O679" s="3" t="inlineStr">
        <is>
          <t>Czech Republic</t>
        </is>
      </c>
      <c r="P679" s="3" t="inlineStr">
        <is>
          <t>Z92-CZ10008</t>
        </is>
      </c>
      <c r="Q679" s="3" t="inlineStr">
        <is>
          <t>77242113UCO2001</t>
        </is>
      </c>
    </row>
    <row r="680">
      <c r="A680" s="2" t="str">
        <f>HYPERLINK("https://vtmf.veevavault.com/ui/#doc_info/25699764/1/0", "77242113UCO2001-CZE-Z92-CZ10008-Recruitment Plan-24 Jan 2024 (v1.0)")</f>
        <v>77242113UCO2001-CZE-Z92-CZ10008-Recruitment Plan-24 Jan 2024 (v1.0)</v>
      </c>
      <c r="B680" s="3" t="inlineStr">
        <is>
          <t>Lenka Placha</t>
        </is>
      </c>
      <c r="C680" s="3" t="inlineStr">
        <is>
          <t>Trial Management</t>
        </is>
      </c>
      <c r="D680" s="3" t="inlineStr">
        <is>
          <t>Trial Oversight</t>
        </is>
      </c>
      <c r="E680" s="3" t="inlineStr">
        <is>
          <t>Recruitment Plan</t>
        </is>
      </c>
      <c r="F680" s="3" t="inlineStr">
        <is>
          <t>Recruitment and Retention Plan_site Z92-CZ10008-24Jan24</t>
        </is>
      </c>
      <c r="G680" s="2" t="str">
        <f>HYPERLINK("https://vtmf.veevavault.com/ui/#doc_info/25699764/1/0", "VTMF-20515034")</f>
        <v>VTMF-20515034</v>
      </c>
      <c r="H680" s="3" t="inlineStr">
        <is>
          <t/>
        </is>
      </c>
      <c r="I680" s="3" t="inlineStr">
        <is>
          <t>Anthony Suarez (veeva.com)</t>
        </is>
      </c>
      <c r="J680" s="3" t="inlineStr">
        <is>
          <t>Lenka Placha</t>
        </is>
      </c>
      <c r="K680" s="4" t="n">
        <v>45334.674791666665</v>
      </c>
      <c r="L680" s="5" t="n">
        <v>45334.0</v>
      </c>
      <c r="M680" s="3" t="inlineStr">
        <is>
          <t>Approved</t>
        </is>
      </c>
      <c r="N680" s="3" t="inlineStr">
        <is>
          <t>Study Start</t>
        </is>
      </c>
      <c r="O680" s="3" t="inlineStr">
        <is>
          <t>Czech Republic</t>
        </is>
      </c>
      <c r="P680" s="3" t="inlineStr">
        <is>
          <t>Z92-CZ10008</t>
        </is>
      </c>
      <c r="Q680" s="3" t="inlineStr">
        <is>
          <t>77242113UCO2001</t>
        </is>
      </c>
    </row>
    <row r="681">
      <c r="A681" s="2" t="str">
        <f>HYPERLINK("https://vtmf.veevavault.com/ui/#doc_info/26903103/1/0", "77242113UCO2001-CZE-Z92-CZ10008-Relevant Communications-01 Aug 2024 (v1.0)")</f>
        <v>77242113UCO2001-CZE-Z92-CZ10008-Relevant Communications-01 Aug 2024 (v1.0)</v>
      </c>
      <c r="B681" s="3" t="inlineStr">
        <is>
          <t>Lenka Placha</t>
        </is>
      </c>
      <c r="C681" s="3" t="inlineStr">
        <is>
          <t>IP and Trial Supplies</t>
        </is>
      </c>
      <c r="D681" s="3" t="inlineStr">
        <is>
          <t>General</t>
        </is>
      </c>
      <c r="E681" s="3" t="inlineStr">
        <is>
          <t>Relevant Communications</t>
        </is>
      </c>
      <c r="F681" s="3" t="inlineStr">
        <is>
          <t>email 01Aug24- pharmacy change temperature monitoring system since 01Jul24- site Z92-CZ10008</t>
        </is>
      </c>
      <c r="G681" s="2" t="str">
        <f>HYPERLINK("https://vtmf.veevavault.com/ui/#doc_info/26903103/1/0", "VTMF-21565502")</f>
        <v>VTMF-21565502</v>
      </c>
      <c r="H681" s="3" t="inlineStr">
        <is>
          <t/>
        </is>
      </c>
      <c r="I681" s="3" t="inlineStr">
        <is>
          <t>System</t>
        </is>
      </c>
      <c r="J681" s="3" t="inlineStr">
        <is>
          <t>Lenka Placha</t>
        </is>
      </c>
      <c r="K681" s="4" t="n">
        <v>45520.45594907407</v>
      </c>
      <c r="L681" s="5" t="n">
        <v>45520.0</v>
      </c>
      <c r="M681" s="3" t="inlineStr">
        <is>
          <t>Approved</t>
        </is>
      </c>
      <c r="N681" s="3" t="inlineStr">
        <is>
          <t>Country Close, Site Close, Study Close</t>
        </is>
      </c>
      <c r="O681" s="3" t="inlineStr">
        <is>
          <t>Czech Republic</t>
        </is>
      </c>
      <c r="P681" s="3" t="inlineStr">
        <is>
          <t>Z92-CZ10008</t>
        </is>
      </c>
      <c r="Q681" s="3" t="inlineStr">
        <is>
          <t>77242113UCO2001</t>
        </is>
      </c>
    </row>
    <row r="682">
      <c r="A682" s="2" t="str">
        <f>HYPERLINK("https://vtmf.veevavault.com/ui/#doc_info/28222093/1/0", "77242113UCO2001-CZE-Z92-CZ10008-Relevant Communications-03 Feb 2025 (v1.0)")</f>
        <v>77242113UCO2001-CZE-Z92-CZ10008-Relevant Communications-03 Feb 2025 (v1.0)</v>
      </c>
      <c r="B682" s="3" t="inlineStr">
        <is>
          <t>Jitka Kone</t>
        </is>
      </c>
      <c r="C682" s="3" t="inlineStr">
        <is>
          <t>Site Management</t>
        </is>
      </c>
      <c r="D682" s="3" t="inlineStr">
        <is>
          <t>General</t>
        </is>
      </c>
      <c r="E682" s="3" t="inlineStr">
        <is>
          <t>Relevant Communications</t>
        </is>
      </c>
      <c r="F682" s="3" t="inlineStr">
        <is>
          <t>Cover letter_PCI 7.1 + EU CTR documentation</t>
        </is>
      </c>
      <c r="G682" s="2" t="str">
        <f>HYPERLINK("https://vtmf.veevavault.com/ui/#doc_info/28222093/1/0", "VTMF-22635484")</f>
        <v>VTMF-22635484</v>
      </c>
      <c r="H682" s="3" t="inlineStr">
        <is>
          <t/>
        </is>
      </c>
      <c r="I682" s="3" t="inlineStr">
        <is>
          <t>System</t>
        </is>
      </c>
      <c r="J682" s="3" t="inlineStr">
        <is>
          <t>Jitka Kone</t>
        </is>
      </c>
      <c r="K682" s="4" t="n">
        <v>45692.47353009259</v>
      </c>
      <c r="L682" s="5" t="n">
        <v>45692.0</v>
      </c>
      <c r="M682" s="3" t="inlineStr">
        <is>
          <t>Approved</t>
        </is>
      </c>
      <c r="N682" s="3" t="inlineStr">
        <is>
          <t>Available for Distribution, Country Close, Site Close, Study Close</t>
        </is>
      </c>
      <c r="O682" s="3" t="inlineStr">
        <is>
          <t>Czech Republic</t>
        </is>
      </c>
      <c r="P682" s="3" t="inlineStr">
        <is>
          <t>Z92-CZ10008</t>
        </is>
      </c>
      <c r="Q682" s="3" t="inlineStr">
        <is>
          <t>77242113UCO2001</t>
        </is>
      </c>
    </row>
    <row r="683">
      <c r="A683" s="2" t="str">
        <f>HYPERLINK("https://vtmf.veevavault.com/ui/#doc_info/28621925/1/0", "77242113UCO2001-CZE-Z92-CZ10008-Relevant Communications-04 Mar 2025 (v1.0)")</f>
        <v>77242113UCO2001-CZE-Z92-CZ10008-Relevant Communications-04 Mar 2025 (v1.0)</v>
      </c>
      <c r="B683" s="3" t="inlineStr">
        <is>
          <t>Lenka Placha</t>
        </is>
      </c>
      <c r="C683" s="3" t="inlineStr">
        <is>
          <t>Site Management</t>
        </is>
      </c>
      <c r="D683" s="3" t="inlineStr">
        <is>
          <t>General</t>
        </is>
      </c>
      <c r="E683" s="3" t="inlineStr">
        <is>
          <t>Relevant Communications</t>
        </is>
      </c>
      <c r="F683" s="3" t="inlineStr">
        <is>
          <t>email 04Mar25-site Z92-CZ10008-SC confirmation Alimentiv laptop needed</t>
        </is>
      </c>
      <c r="G683" s="2" t="str">
        <f>HYPERLINK("https://vtmf.veevavault.com/ui/#doc_info/28621925/1/0", "VTMF-22989074")</f>
        <v>VTMF-22989074</v>
      </c>
      <c r="H683" s="3" t="inlineStr">
        <is>
          <t/>
        </is>
      </c>
      <c r="I683" s="3" t="inlineStr">
        <is>
          <t>System</t>
        </is>
      </c>
      <c r="J683" s="3" t="inlineStr">
        <is>
          <t>Lenka Placha</t>
        </is>
      </c>
      <c r="K683" s="4" t="n">
        <v>45723.60103009259</v>
      </c>
      <c r="L683" s="5" t="n">
        <v>45723.0</v>
      </c>
      <c r="M683" s="3" t="inlineStr">
        <is>
          <t>Approved</t>
        </is>
      </c>
      <c r="N683" s="3" t="inlineStr">
        <is>
          <t>Available for Distribution, Country Close, Site Close, Study Close</t>
        </is>
      </c>
      <c r="O683" s="3" t="inlineStr">
        <is>
          <t>Czech Republic</t>
        </is>
      </c>
      <c r="P683" s="3" t="inlineStr">
        <is>
          <t>Z92-CZ10008</t>
        </is>
      </c>
      <c r="Q683" s="3" t="inlineStr">
        <is>
          <t>77242113UCO2001</t>
        </is>
      </c>
    </row>
    <row r="684">
      <c r="A684" s="2" t="str">
        <f>HYPERLINK("https://vtmf.veevavault.com/ui/#doc_info/26856709/1/0", "77242113UCO2001-CZE-Z92-CZ10008-Relevant Communications-06 Aug 2024 (v1.0)")</f>
        <v>77242113UCO2001-CZE-Z92-CZ10008-Relevant Communications-06 Aug 2024 (v1.0)</v>
      </c>
      <c r="B684" s="3" t="inlineStr">
        <is>
          <t>Jitka Kone</t>
        </is>
      </c>
      <c r="C684" s="3" t="inlineStr">
        <is>
          <t>Site Management</t>
        </is>
      </c>
      <c r="D684" s="3" t="inlineStr">
        <is>
          <t>General</t>
        </is>
      </c>
      <c r="E684" s="3" t="inlineStr">
        <is>
          <t>Relevant Communications</t>
        </is>
      </c>
      <c r="F684" s="3" t="inlineStr">
        <is>
          <t>Letter to site_Pr. Am.3 + implementation</t>
        </is>
      </c>
      <c r="G684" s="2" t="str">
        <f>HYPERLINK("https://vtmf.veevavault.com/ui/#doc_info/26856709/1/0", "VTMF-21526124")</f>
        <v>VTMF-21526124</v>
      </c>
      <c r="H684" s="3" t="inlineStr">
        <is>
          <t/>
        </is>
      </c>
      <c r="I684" s="3" t="inlineStr">
        <is>
          <t>System</t>
        </is>
      </c>
      <c r="J684" s="3" t="inlineStr">
        <is>
          <t>Jitka Kone</t>
        </is>
      </c>
      <c r="K684" s="4" t="n">
        <v>45512.685277777775</v>
      </c>
      <c r="L684" s="5" t="n">
        <v>45512.0</v>
      </c>
      <c r="M684" s="3" t="inlineStr">
        <is>
          <t>Approved</t>
        </is>
      </c>
      <c r="N684" s="3" t="inlineStr">
        <is>
          <t>Available for Distribution, Country Close, Site Close, Study Close</t>
        </is>
      </c>
      <c r="O684" s="3" t="inlineStr">
        <is>
          <t>Czech Republic</t>
        </is>
      </c>
      <c r="P684" s="3" t="inlineStr">
        <is>
          <t>Z92-CZ10008</t>
        </is>
      </c>
      <c r="Q684" s="3" t="inlineStr">
        <is>
          <t>77242113UCO2001</t>
        </is>
      </c>
    </row>
    <row r="685">
      <c r="A685" s="2" t="str">
        <f>HYPERLINK("https://vtmf.veevavault.com/ui/#doc_info/28019732/1/0", "77242113UCO2001-CZE-Z92-CZ10008-Relevant Communications-06 Jan 2025 (v1.0)")</f>
        <v>77242113UCO2001-CZE-Z92-CZ10008-Relevant Communications-06 Jan 2025 (v1.0)</v>
      </c>
      <c r="B685" s="3" t="inlineStr">
        <is>
          <t>Lenka Placha</t>
        </is>
      </c>
      <c r="C685" s="3" t="inlineStr">
        <is>
          <t>Site Management</t>
        </is>
      </c>
      <c r="D685" s="3" t="inlineStr">
        <is>
          <t>General</t>
        </is>
      </c>
      <c r="E685" s="3" t="inlineStr">
        <is>
          <t>Relevant Communications</t>
        </is>
      </c>
      <c r="F685" s="3" t="inlineStr">
        <is>
          <t>email 06Jan25- new SAE form incl.instruction sent to site Z92-CZ10008</t>
        </is>
      </c>
      <c r="G685" s="2" t="str">
        <f>HYPERLINK("https://vtmf.veevavault.com/ui/#doc_info/28019732/1/0", "VTMF-22468790")</f>
        <v>VTMF-22468790</v>
      </c>
      <c r="H685" s="3" t="inlineStr">
        <is>
          <t/>
        </is>
      </c>
      <c r="I685" s="3" t="inlineStr">
        <is>
          <t>System</t>
        </is>
      </c>
      <c r="J685" s="3" t="inlineStr">
        <is>
          <t>Lenka Placha</t>
        </is>
      </c>
      <c r="K685" s="4" t="n">
        <v>45663.61311342593</v>
      </c>
      <c r="L685" s="5" t="n">
        <v>45663.0</v>
      </c>
      <c r="M685" s="3" t="inlineStr">
        <is>
          <t>Approved</t>
        </is>
      </c>
      <c r="N685" s="3" t="inlineStr">
        <is>
          <t>Available for Distribution, Country Close, Site Close, Study Close</t>
        </is>
      </c>
      <c r="O685" s="3" t="inlineStr">
        <is>
          <t>Czech Republic</t>
        </is>
      </c>
      <c r="P685" s="3" t="inlineStr">
        <is>
          <t>Z92-CZ10008</t>
        </is>
      </c>
      <c r="Q685" s="3" t="inlineStr">
        <is>
          <t>77242113UCO2001</t>
        </is>
      </c>
    </row>
    <row r="686">
      <c r="A686" s="2" t="str">
        <f>HYPERLINK("https://vtmf.veevavault.com/ui/#doc_info/26875954/1/0", "77242113UCO2001-CZE-Z92-CZ10008-Relevant Communications-07 Aug 2024 (v1.0)")</f>
        <v>77242113UCO2001-CZE-Z92-CZ10008-Relevant Communications-07 Aug 2024 (v1.0)</v>
      </c>
      <c r="B686" s="3" t="inlineStr">
        <is>
          <t>Lenka Placha</t>
        </is>
      </c>
      <c r="C686" s="3" t="inlineStr">
        <is>
          <t>IP and Trial Supplies</t>
        </is>
      </c>
      <c r="D686" s="3" t="inlineStr">
        <is>
          <t>General</t>
        </is>
      </c>
      <c r="E686" s="3" t="inlineStr">
        <is>
          <t>Relevant Communications</t>
        </is>
      </c>
      <c r="F686" s="3" t="inlineStr">
        <is>
          <t>email _07Aug24_site_Z92-CZ10008_notification to site- near expired IP kits should be stored separately -will be destroyed by SM</t>
        </is>
      </c>
      <c r="G686" s="2" t="str">
        <f>HYPERLINK("https://vtmf.veevavault.com/ui/#doc_info/26875954/1/0", "VTMF-21542957")</f>
        <v>VTMF-21542957</v>
      </c>
      <c r="H686" s="3" t="inlineStr">
        <is>
          <t/>
        </is>
      </c>
      <c r="I686" s="3" t="inlineStr">
        <is>
          <t>System</t>
        </is>
      </c>
      <c r="J686" s="3" t="inlineStr">
        <is>
          <t>Lenka Placha</t>
        </is>
      </c>
      <c r="K686" s="4" t="n">
        <v>45516.735</v>
      </c>
      <c r="L686" s="5" t="n">
        <v>45516.0</v>
      </c>
      <c r="M686" s="3" t="inlineStr">
        <is>
          <t>Approved</t>
        </is>
      </c>
      <c r="N686" s="3" t="inlineStr">
        <is>
          <t>Country Close, Site Close, Study Close</t>
        </is>
      </c>
      <c r="O686" s="3" t="inlineStr">
        <is>
          <t>Czech Republic</t>
        </is>
      </c>
      <c r="P686" s="3" t="inlineStr">
        <is>
          <t>Z92-CZ10008</t>
        </is>
      </c>
      <c r="Q686" s="3" t="inlineStr">
        <is>
          <t>77242113UCO2001</t>
        </is>
      </c>
    </row>
    <row r="687">
      <c r="A687" s="2" t="str">
        <f>HYPERLINK("https://vtmf.veevavault.com/ui/#doc_info/29934729/1/0", "77242113UCO2001-CZE-Z92-CZ10008-Relevant Communications-10 Sep 2025 (v1.0)")</f>
        <v>77242113UCO2001-CZE-Z92-CZ10008-Relevant Communications-10 Sep 2025 (v1.0)</v>
      </c>
      <c r="B687" s="3" t="inlineStr">
        <is>
          <t>Agnesa Ruiz Kajtarova</t>
        </is>
      </c>
      <c r="C687" s="3" t="inlineStr">
        <is>
          <t>Site Management</t>
        </is>
      </c>
      <c r="D687" s="3" t="inlineStr">
        <is>
          <t>General</t>
        </is>
      </c>
      <c r="E687" s="3" t="inlineStr">
        <is>
          <t>Relevant Communications</t>
        </is>
      </c>
      <c r="F687" s="3" t="inlineStr">
        <is>
          <t>Relevant Communication_New Site Manager from 10SEP2025_10SEP2025</t>
        </is>
      </c>
      <c r="G687" s="2" t="str">
        <f>HYPERLINK("https://vtmf.veevavault.com/ui/#doc_info/29934729/1/0", "VTMF-24097359")</f>
        <v>VTMF-24097359</v>
      </c>
      <c r="H687" s="3" t="inlineStr">
        <is>
          <t/>
        </is>
      </c>
      <c r="I687" s="3" t="inlineStr">
        <is>
          <t>System</t>
        </is>
      </c>
      <c r="J687" s="3" t="inlineStr">
        <is>
          <t>Agnesa Ruiz Kajtarova</t>
        </is>
      </c>
      <c r="K687" s="4" t="n">
        <v>45911.57774305555</v>
      </c>
      <c r="L687" s="5" t="n">
        <v>45911.0</v>
      </c>
      <c r="M687" s="3" t="inlineStr">
        <is>
          <t>Approved</t>
        </is>
      </c>
      <c r="N687" s="3" t="inlineStr">
        <is>
          <t>Available for Distribution, Country Close, Site Close, Study Close</t>
        </is>
      </c>
      <c r="O687" s="3" t="inlineStr">
        <is>
          <t>Czech Republic</t>
        </is>
      </c>
      <c r="P687" s="3" t="inlineStr">
        <is>
          <t>Z92-CZ10008</t>
        </is>
      </c>
      <c r="Q687" s="3" t="inlineStr">
        <is>
          <t>77242113UCO2001</t>
        </is>
      </c>
    </row>
    <row r="688">
      <c r="A688" s="2" t="str">
        <f>HYPERLINK("https://vtmf.veevavault.com/ui/#doc_info/31252529/1/0", "77242113UCO2001-CZE-Z92-CZ10008-Relevant Communications-11 Mar 2026 (v1.0)")</f>
        <v>77242113UCO2001-CZE-Z92-CZ10008-Relevant Communications-11 Mar 2026 (v1.0)</v>
      </c>
      <c r="B688" s="3" t="inlineStr">
        <is>
          <t>Bela Lukavcová</t>
        </is>
      </c>
      <c r="C688" s="3" t="inlineStr">
        <is>
          <t>Site Management</t>
        </is>
      </c>
      <c r="D688" s="3" t="inlineStr">
        <is>
          <t>General</t>
        </is>
      </c>
      <c r="E688" s="3" t="inlineStr">
        <is>
          <t>Relevant Communications</t>
        </is>
      </c>
      <c r="F688" s="3" t="inlineStr">
        <is>
          <t>Email_GCP Machytka</t>
        </is>
      </c>
      <c r="G688" s="2" t="str">
        <f>HYPERLINK("https://vtmf.veevavault.com/ui/#doc_info/31252529/1/0", "VTMF-25205458")</f>
        <v>VTMF-25205458</v>
      </c>
      <c r="H688" s="3" t="inlineStr">
        <is>
          <t/>
        </is>
      </c>
      <c r="I688" s="3" t="inlineStr">
        <is>
          <t>System</t>
        </is>
      </c>
      <c r="J688" s="3" t="inlineStr">
        <is>
          <t>Bela Lukavcová</t>
        </is>
      </c>
      <c r="K688" s="4" t="n">
        <v>46104.59380787037</v>
      </c>
      <c r="L688" s="5" t="n">
        <v>46104.0</v>
      </c>
      <c r="M688" s="3" t="inlineStr">
        <is>
          <t>Approved</t>
        </is>
      </c>
      <c r="N688" s="3" t="inlineStr">
        <is>
          <t>Available for Distribution, Country Close, Site Close, Study Close</t>
        </is>
      </c>
      <c r="O688" s="3" t="inlineStr">
        <is>
          <t>Czech Republic</t>
        </is>
      </c>
      <c r="P688" s="3" t="inlineStr">
        <is>
          <t>Z92-CZ10008</t>
        </is>
      </c>
      <c r="Q688" s="3" t="inlineStr">
        <is>
          <t>77242113UCO2001</t>
        </is>
      </c>
    </row>
    <row r="689">
      <c r="A689" s="2" t="str">
        <f>HYPERLINK("https://vtmf.veevavault.com/ui/#doc_info/25699930/1/0", "77242113UCO2001-CZE-Z92-CZ10008-Relevant Communications-12 Feb 2024 (v1.0)")</f>
        <v>77242113UCO2001-CZE-Z92-CZ10008-Relevant Communications-12 Feb 2024 (v1.0)</v>
      </c>
      <c r="B689" s="3" t="inlineStr">
        <is>
          <t>Lenka Placha</t>
        </is>
      </c>
      <c r="C689" s="3" t="inlineStr">
        <is>
          <t>Site Management</t>
        </is>
      </c>
      <c r="D689" s="3" t="inlineStr">
        <is>
          <t>General</t>
        </is>
      </c>
      <c r="E689" s="3" t="inlineStr">
        <is>
          <t>Relevant Communications</t>
        </is>
      </c>
      <c r="F689" s="3" t="inlineStr">
        <is>
          <t>email 12Feb24- completed recruitment retention plan sent to PI</t>
        </is>
      </c>
      <c r="G689" s="2" t="str">
        <f>HYPERLINK("https://vtmf.veevavault.com/ui/#doc_info/25699930/1/0", "VTMF-20515197")</f>
        <v>VTMF-20515197</v>
      </c>
      <c r="H689" s="3" t="inlineStr">
        <is>
          <t/>
        </is>
      </c>
      <c r="I689" s="3" t="inlineStr">
        <is>
          <t>System</t>
        </is>
      </c>
      <c r="J689" s="3" t="inlineStr">
        <is>
          <t>Lenka Placha</t>
        </is>
      </c>
      <c r="K689" s="4" t="n">
        <v>45334.68612268518</v>
      </c>
      <c r="L689" s="5" t="n">
        <v>45334.0</v>
      </c>
      <c r="M689" s="3" t="inlineStr">
        <is>
          <t>Approved</t>
        </is>
      </c>
      <c r="N689" s="3" t="inlineStr">
        <is>
          <t>Available for Distribution, Country Close, Site Close, Study Close</t>
        </is>
      </c>
      <c r="O689" s="3" t="inlineStr">
        <is>
          <t>Czech Republic</t>
        </is>
      </c>
      <c r="P689" s="3" t="inlineStr">
        <is>
          <t>Z92-CZ10008</t>
        </is>
      </c>
      <c r="Q689" s="3" t="inlineStr">
        <is>
          <t>77242113UCO2001</t>
        </is>
      </c>
    </row>
    <row r="690">
      <c r="A690" s="2" t="str">
        <f>HYPERLINK("https://vtmf.veevavault.com/ui/#doc_info/31741355/2/0", "77242113UCO2001-CZE-Z92-CZ10008-Relevant Communications-12 May 2026 (v2.0)")</f>
        <v>77242113UCO2001-CZE-Z92-CZ10008-Relevant Communications-12 May 2026 (v2.0)</v>
      </c>
      <c r="B690" s="3" t="inlineStr">
        <is>
          <t>Jitka Kone</t>
        </is>
      </c>
      <c r="C690" s="3" t="inlineStr">
        <is>
          <t>Site Management</t>
        </is>
      </c>
      <c r="D690" s="3" t="inlineStr">
        <is>
          <t>General</t>
        </is>
      </c>
      <c r="E690" s="3" t="inlineStr">
        <is>
          <t>Relevant Communications</t>
        </is>
      </c>
      <c r="F690" s="3" t="inlineStr">
        <is>
          <t>Archive Readibility Email Confirmation Receipt_V. 12-MAY-2026</t>
        </is>
      </c>
      <c r="G690" s="2" t="str">
        <f>HYPERLINK("https://vtmf.veevavault.com/ui/#doc_info/31741355/2/0", "VTMF-25618490")</f>
        <v>VTMF-25618490</v>
      </c>
      <c r="H690" s="3" t="inlineStr">
        <is>
          <t/>
        </is>
      </c>
      <c r="I690" s="3" t="inlineStr">
        <is>
          <t>System</t>
        </is>
      </c>
      <c r="J690" s="3" t="inlineStr">
        <is>
          <t>Jitka Kone</t>
        </is>
      </c>
      <c r="K690" s="4" t="n">
        <v>46189.68920138889</v>
      </c>
      <c r="L690" s="5" t="n">
        <v>46189.0</v>
      </c>
      <c r="M690" s="3" t="inlineStr">
        <is>
          <t>Approved</t>
        </is>
      </c>
      <c r="N690" s="3" t="inlineStr">
        <is>
          <t>Available for Distribution, Country Close, Site Close, Study Close</t>
        </is>
      </c>
      <c r="O690" s="3" t="inlineStr">
        <is>
          <t>Czech Republic</t>
        </is>
      </c>
      <c r="P690" s="3" t="inlineStr">
        <is>
          <t>Z92-CZ10008</t>
        </is>
      </c>
      <c r="Q690" s="3" t="inlineStr">
        <is>
          <t>77242113UCO2001</t>
        </is>
      </c>
    </row>
    <row r="691">
      <c r="A691" s="2" t="str">
        <f>HYPERLINK("https://vtmf.veevavault.com/ui/#doc_info/26523119/1/0", "77242113UCO2001-CZE-Z92-CZ10008-Relevant Communications-14 Jun 2024 (v1.0)")</f>
        <v>77242113UCO2001-CZE-Z92-CZ10008-Relevant Communications-14 Jun 2024 (v1.0)</v>
      </c>
      <c r="B691" s="3" t="inlineStr">
        <is>
          <t>Lenka Placha</t>
        </is>
      </c>
      <c r="C691" s="3" t="inlineStr">
        <is>
          <t>Site Management</t>
        </is>
      </c>
      <c r="D691" s="3" t="inlineStr">
        <is>
          <t>General</t>
        </is>
      </c>
      <c r="E691" s="3" t="inlineStr">
        <is>
          <t>Relevant Communications</t>
        </is>
      </c>
      <c r="F691" s="3" t="inlineStr">
        <is>
          <t>email site Z92-CZ10008- info to site- expired lab kits need to be ordered new one_14Jun24</t>
        </is>
      </c>
      <c r="G691" s="2" t="str">
        <f>HYPERLINK("https://vtmf.veevavault.com/ui/#doc_info/26523119/1/0", "VTMF-21237953")</f>
        <v>VTMF-21237953</v>
      </c>
      <c r="H691" s="3" t="inlineStr">
        <is>
          <t/>
        </is>
      </c>
      <c r="I691" s="3" t="inlineStr">
        <is>
          <t>System</t>
        </is>
      </c>
      <c r="J691" s="3" t="inlineStr">
        <is>
          <t>Lenka Placha</t>
        </is>
      </c>
      <c r="K691" s="4" t="n">
        <v>45457.52591435185</v>
      </c>
      <c r="L691" s="5" t="n">
        <v>45457.0</v>
      </c>
      <c r="M691" s="3" t="inlineStr">
        <is>
          <t>Approved</t>
        </is>
      </c>
      <c r="N691" s="3" t="inlineStr">
        <is>
          <t>Available for Distribution, Country Close, Site Close, Study Close</t>
        </is>
      </c>
      <c r="O691" s="3" t="inlineStr">
        <is>
          <t>Czech Republic</t>
        </is>
      </c>
      <c r="P691" s="3" t="inlineStr">
        <is>
          <t>Z92-CZ10008</t>
        </is>
      </c>
      <c r="Q691" s="3" t="inlineStr">
        <is>
          <t>77242113UCO2001</t>
        </is>
      </c>
    </row>
    <row r="692">
      <c r="A692" s="2" t="str">
        <f>HYPERLINK("https://vtmf.veevavault.com/ui/#doc_info/29558887/1/0", "77242113UCO2001-CZE-Z92-CZ10008-Relevant Communications-15 Jul 2025 (v1.0)")</f>
        <v>77242113UCO2001-CZE-Z92-CZ10008-Relevant Communications-15 Jul 2025 (v1.0)</v>
      </c>
      <c r="B692" s="3" t="inlineStr">
        <is>
          <t>Lenka Placha</t>
        </is>
      </c>
      <c r="C692" s="3" t="inlineStr">
        <is>
          <t>Site Management</t>
        </is>
      </c>
      <c r="D692" s="3" t="inlineStr">
        <is>
          <t>General</t>
        </is>
      </c>
      <c r="E692" s="3" t="inlineStr">
        <is>
          <t>Relevant Communications</t>
        </is>
      </c>
      <c r="F692" s="3" t="inlineStr">
        <is>
          <t>email 15Jul25- PI and SC repeated reminder to upload Alimentiv data and confirmed VRF form</t>
        </is>
      </c>
      <c r="G692" s="2" t="str">
        <f>HYPERLINK("https://vtmf.veevavault.com/ui/#doc_info/29558887/1/0", "VTMF-23774999")</f>
        <v>VTMF-23774999</v>
      </c>
      <c r="H692" s="3" t="inlineStr">
        <is>
          <t/>
        </is>
      </c>
      <c r="I692" s="3" t="inlineStr">
        <is>
          <t>System</t>
        </is>
      </c>
      <c r="J692" s="3" t="inlineStr">
        <is>
          <t>Lenka Placha</t>
        </is>
      </c>
      <c r="K692" s="4" t="n">
        <v>45853.54623842592</v>
      </c>
      <c r="L692" s="5" t="n">
        <v>45853.0</v>
      </c>
      <c r="M692" s="3" t="inlineStr">
        <is>
          <t>Approved</t>
        </is>
      </c>
      <c r="N692" s="3" t="inlineStr">
        <is>
          <t>Available for Distribution, Country Close, Site Close, Study Close</t>
        </is>
      </c>
      <c r="O692" s="3" t="inlineStr">
        <is>
          <t>Czech Republic</t>
        </is>
      </c>
      <c r="P692" s="3" t="inlineStr">
        <is>
          <t>Z92-CZ10008</t>
        </is>
      </c>
      <c r="Q692" s="3" t="inlineStr">
        <is>
          <t>77242113UCO2001</t>
        </is>
      </c>
    </row>
    <row r="693">
      <c r="A693" s="2" t="str">
        <f>HYPERLINK("https://vtmf.veevavault.com/ui/#doc_info/29558892/1/0", "77242113UCO2001-CZE-Z92-CZ10008-Relevant Communications-15 Jul 2025 (v1.0)")</f>
        <v>77242113UCO2001-CZE-Z92-CZ10008-Relevant Communications-15 Jul 2025 (v1.0)</v>
      </c>
      <c r="B693" s="3" t="inlineStr">
        <is>
          <t>Lenka Placha</t>
        </is>
      </c>
      <c r="C693" s="3" t="inlineStr">
        <is>
          <t>Site Management</t>
        </is>
      </c>
      <c r="D693" s="3" t="inlineStr">
        <is>
          <t>General</t>
        </is>
      </c>
      <c r="E693" s="3" t="inlineStr">
        <is>
          <t>Relevant Communications</t>
        </is>
      </c>
      <c r="F693" s="3" t="inlineStr">
        <is>
          <t>email 07Jul25 SC and Pi repeated reminder to update CRF with data from 02Jun25</t>
        </is>
      </c>
      <c r="G693" s="2" t="str">
        <f>HYPERLINK("https://vtmf.veevavault.com/ui/#doc_info/29558892/1/0", "VTMF-23775011")</f>
        <v>VTMF-23775011</v>
      </c>
      <c r="H693" s="3" t="inlineStr">
        <is>
          <t/>
        </is>
      </c>
      <c r="I693" s="3" t="inlineStr">
        <is>
          <t>System</t>
        </is>
      </c>
      <c r="J693" s="3" t="inlineStr">
        <is>
          <t>Lenka Placha</t>
        </is>
      </c>
      <c r="K693" s="4" t="n">
        <v>45853.54953703703</v>
      </c>
      <c r="L693" s="5" t="n">
        <v>45853.0</v>
      </c>
      <c r="M693" s="3" t="inlineStr">
        <is>
          <t>Approved</t>
        </is>
      </c>
      <c r="N693" s="3" t="inlineStr">
        <is>
          <t>Available for Distribution, Country Close, Site Close, Study Close</t>
        </is>
      </c>
      <c r="O693" s="3" t="inlineStr">
        <is>
          <t>Czech Republic</t>
        </is>
      </c>
      <c r="P693" s="3" t="inlineStr">
        <is>
          <t>Z92-CZ10008</t>
        </is>
      </c>
      <c r="Q693" s="3" t="inlineStr">
        <is>
          <t>77242113UCO2001</t>
        </is>
      </c>
    </row>
    <row r="694">
      <c r="A694" s="2" t="str">
        <f>HYPERLINK("https://vtmf.veevavault.com/ui/#doc_info/30066927/1/0", "77242113UCO2001-CZE-Z92-CZ10008-Relevant Communications-18 Sep 2025 (v1.0)")</f>
        <v>77242113UCO2001-CZE-Z92-CZ10008-Relevant Communications-18 Sep 2025 (v1.0)</v>
      </c>
      <c r="B694" s="3" t="inlineStr">
        <is>
          <t>Agnesa Ruiz Kajtarova</t>
        </is>
      </c>
      <c r="C694" s="3" t="inlineStr">
        <is>
          <t>Site Management</t>
        </is>
      </c>
      <c r="D694" s="3" t="inlineStr">
        <is>
          <t>General</t>
        </is>
      </c>
      <c r="E694" s="3" t="inlineStr">
        <is>
          <t>Relevant Communications</t>
        </is>
      </c>
      <c r="F694" s="3" t="inlineStr">
        <is>
          <t>Relevant Communication_New Central Lab Manual version 5.1_18SEP2025</t>
        </is>
      </c>
      <c r="G694" s="2" t="str">
        <f>HYPERLINK("https://vtmf.veevavault.com/ui/#doc_info/30066927/1/0", "VTMF-24201034")</f>
        <v>VTMF-24201034</v>
      </c>
      <c r="H694" s="3" t="inlineStr">
        <is>
          <t/>
        </is>
      </c>
      <c r="I694" s="3" t="inlineStr">
        <is>
          <t>System</t>
        </is>
      </c>
      <c r="J694" s="3" t="inlineStr">
        <is>
          <t>Agnesa Ruiz Kajtarova</t>
        </is>
      </c>
      <c r="K694" s="4" t="n">
        <v>45930.68818287037</v>
      </c>
      <c r="L694" s="5" t="n">
        <v>45930.0</v>
      </c>
      <c r="M694" s="3" t="inlineStr">
        <is>
          <t>Approved</t>
        </is>
      </c>
      <c r="N694" s="3" t="inlineStr">
        <is>
          <t>Available for Distribution, Country Close, Site Close, Study Close</t>
        </is>
      </c>
      <c r="O694" s="3" t="inlineStr">
        <is>
          <t>Czech Republic</t>
        </is>
      </c>
      <c r="P694" s="3" t="inlineStr">
        <is>
          <t>Z92-CZ10008</t>
        </is>
      </c>
      <c r="Q694" s="3" t="inlineStr">
        <is>
          <t>77242113UCO2001</t>
        </is>
      </c>
    </row>
    <row r="695">
      <c r="A695" s="2" t="str">
        <f>HYPERLINK("https://vtmf.veevavault.com/ui/#doc_info/26569629/1/0", "77242113UCO2001-CZE-Z92-CZ10008-Relevant Communications-21 Jun 2024 (v1.0)")</f>
        <v>77242113UCO2001-CZE-Z92-CZ10008-Relevant Communications-21 Jun 2024 (v1.0)</v>
      </c>
      <c r="B695" s="3" t="inlineStr">
        <is>
          <t>Lenka Placha</t>
        </is>
      </c>
      <c r="C695" s="3" t="inlineStr">
        <is>
          <t>Site Management</t>
        </is>
      </c>
      <c r="D695" s="3" t="inlineStr">
        <is>
          <t>General</t>
        </is>
      </c>
      <c r="E695" s="3" t="inlineStr">
        <is>
          <t>Relevant Communications</t>
        </is>
      </c>
      <c r="F695" s="3" t="inlineStr">
        <is>
          <t>email 21Jun24- ANTHEM- site Z92-CZ10008- Quick Reference Guide for IUS recording</t>
        </is>
      </c>
      <c r="G695" s="2" t="str">
        <f>HYPERLINK("https://vtmf.veevavault.com/ui/#doc_info/26569629/1/0", "VTMF-21278849")</f>
        <v>VTMF-21278849</v>
      </c>
      <c r="H695" s="3" t="inlineStr">
        <is>
          <t/>
        </is>
      </c>
      <c r="I695" s="3" t="inlineStr">
        <is>
          <t>System</t>
        </is>
      </c>
      <c r="J695" s="3" t="inlineStr">
        <is>
          <t>Lenka Placha</t>
        </is>
      </c>
      <c r="K695" s="4" t="n">
        <v>45464.54261574074</v>
      </c>
      <c r="L695" s="5" t="n">
        <v>45464.0</v>
      </c>
      <c r="M695" s="3" t="inlineStr">
        <is>
          <t>Approved</t>
        </is>
      </c>
      <c r="N695" s="3" t="inlineStr">
        <is>
          <t>Available for Distribution, Country Close, Site Close, Study Close</t>
        </is>
      </c>
      <c r="O695" s="3" t="inlineStr">
        <is>
          <t>Czech Republic</t>
        </is>
      </c>
      <c r="P695" s="3" t="inlineStr">
        <is>
          <t>Z92-CZ10008</t>
        </is>
      </c>
      <c r="Q695" s="3" t="inlineStr">
        <is>
          <t>77242113UCO2001</t>
        </is>
      </c>
    </row>
    <row r="696">
      <c r="A696" s="2" t="str">
        <f>HYPERLINK("https://vtmf.veevavault.com/ui/#doc_info/26373015/1/0", "77242113UCO2001-CZE-Z92-CZ10008-Relevant Communications-22 May 2024 (v1.0)")</f>
        <v>77242113UCO2001-CZE-Z92-CZ10008-Relevant Communications-22 May 2024 (v1.0)</v>
      </c>
      <c r="B696" s="3" t="inlineStr">
        <is>
          <t>Vladimir Buzalka</t>
        </is>
      </c>
      <c r="C696" s="3" t="inlineStr">
        <is>
          <t>Site Management</t>
        </is>
      </c>
      <c r="D696" s="3" t="inlineStr">
        <is>
          <t>General</t>
        </is>
      </c>
      <c r="E696" s="3" t="inlineStr">
        <is>
          <t>Relevant Communications</t>
        </is>
      </c>
      <c r="F696" s="3" t="inlineStr">
        <is>
          <t>Principal Investigator (PI) Serious Breach reporting responsibilities under EU CTR notification; 22MAY2024</t>
        </is>
      </c>
      <c r="G696" s="2" t="str">
        <f>HYPERLINK("https://vtmf.veevavault.com/ui/#doc_info/26373015/1/0", "VTMF-21105604")</f>
        <v>VTMF-21105604</v>
      </c>
      <c r="H696" s="3" t="inlineStr">
        <is>
          <t/>
        </is>
      </c>
      <c r="I696" s="3" t="inlineStr">
        <is>
          <t>System</t>
        </is>
      </c>
      <c r="J696" s="3" t="inlineStr">
        <is>
          <t>Vladimir Buzalka</t>
        </is>
      </c>
      <c r="K696" s="4" t="n">
        <v>45434.49275462963</v>
      </c>
      <c r="L696" s="5" t="n">
        <v>45434.0</v>
      </c>
      <c r="M696" s="3" t="inlineStr">
        <is>
          <t>Approved</t>
        </is>
      </c>
      <c r="N696" s="3" t="inlineStr">
        <is>
          <t>Available for Distribution, Country Close, Site Close, Study Close</t>
        </is>
      </c>
      <c r="O696" s="3" t="inlineStr">
        <is>
          <t>Czech Republic</t>
        </is>
      </c>
      <c r="P696" s="3" t="inlineStr">
        <is>
          <t>Z92-CZ10008</t>
        </is>
      </c>
      <c r="Q696" s="3" t="inlineStr">
        <is>
          <t>77242113UCO2001</t>
        </is>
      </c>
    </row>
    <row r="697">
      <c r="A697" s="2" t="str">
        <f>HYPERLINK("https://vtmf.veevavault.com/ui/#doc_info/26404972/1/0", "77242113UCO2001-CZE-Z92-CZ10008-Relevant Communications-22 May 2024 (v1.0)")</f>
        <v>77242113UCO2001-CZE-Z92-CZ10008-Relevant Communications-22 May 2024 (v1.0)</v>
      </c>
      <c r="B697" s="3" t="inlineStr">
        <is>
          <t>Vladimir Buzalka</t>
        </is>
      </c>
      <c r="C697" s="3" t="inlineStr">
        <is>
          <t>Site Management</t>
        </is>
      </c>
      <c r="D697" s="3" t="inlineStr">
        <is>
          <t>General</t>
        </is>
      </c>
      <c r="E697" s="3" t="inlineStr">
        <is>
          <t>Relevant Communications</t>
        </is>
      </c>
      <c r="F697" s="3" t="inlineStr">
        <is>
          <t>Principal Investigator (PI) Serious Breach reporting responsibilities under EU CTR_ Publish Date_ 10 May 2024; 22MAY2024</t>
        </is>
      </c>
      <c r="G697" s="2" t="str">
        <f>HYPERLINK("https://vtmf.veevavault.com/ui/#doc_info/26404972/1/0", "VTMF-21133419")</f>
        <v>VTMF-21133419</v>
      </c>
      <c r="H697" s="3" t="inlineStr">
        <is>
          <t/>
        </is>
      </c>
      <c r="I697" s="3" t="inlineStr">
        <is>
          <t>System</t>
        </is>
      </c>
      <c r="J697" s="3" t="inlineStr">
        <is>
          <t>Vladimir Buzalka</t>
        </is>
      </c>
      <c r="K697" s="4" t="n">
        <v>45440.42351851852</v>
      </c>
      <c r="L697" s="5" t="n">
        <v>45440.0</v>
      </c>
      <c r="M697" s="3" t="inlineStr">
        <is>
          <t>Approved</t>
        </is>
      </c>
      <c r="N697" s="3" t="inlineStr">
        <is>
          <t>Available for Distribution, Country Close, Site Close, Study Close</t>
        </is>
      </c>
      <c r="O697" s="3" t="inlineStr">
        <is>
          <t>Czech Republic</t>
        </is>
      </c>
      <c r="P697" s="3" t="inlineStr">
        <is>
          <t>Z92-CZ10008</t>
        </is>
      </c>
      <c r="Q697" s="3" t="inlineStr">
        <is>
          <t>77242113UCO2001</t>
        </is>
      </c>
    </row>
    <row r="698">
      <c r="A698" s="2" t="str">
        <f>HYPERLINK("https://vtmf.veevavault.com/ui/#doc_info/26188711/1/0", "77242113UCO2001-CZE-Z92-CZ10008-Relevant Communications-23 Apr 2024 (v1.0)")</f>
        <v>77242113UCO2001-CZE-Z92-CZ10008-Relevant Communications-23 Apr 2024 (v1.0)</v>
      </c>
      <c r="B698" s="3" t="inlineStr">
        <is>
          <t>Lenka Placha</t>
        </is>
      </c>
      <c r="C698" s="3" t="inlineStr">
        <is>
          <t>Site Management</t>
        </is>
      </c>
      <c r="D698" s="3" t="inlineStr">
        <is>
          <t>General</t>
        </is>
      </c>
      <c r="E698" s="3" t="inlineStr">
        <is>
          <t>Relevant Communications</t>
        </is>
      </c>
      <c r="F698" s="3" t="inlineStr">
        <is>
          <t>email 23Apr24- SC confirmation that uploaded test Ultrasound video for sub-study</t>
        </is>
      </c>
      <c r="G698" s="2" t="str">
        <f>HYPERLINK("https://vtmf.veevavault.com/ui/#doc_info/26188711/1/0", "VTMF-20945076")</f>
        <v>VTMF-20945076</v>
      </c>
      <c r="H698" s="3" t="inlineStr">
        <is>
          <t/>
        </is>
      </c>
      <c r="I698" s="3" t="inlineStr">
        <is>
          <t>System</t>
        </is>
      </c>
      <c r="J698" s="3" t="inlineStr">
        <is>
          <t>Lenka Placha</t>
        </is>
      </c>
      <c r="K698" s="4" t="n">
        <v>45405.60292824074</v>
      </c>
      <c r="L698" s="5" t="n">
        <v>45405.0</v>
      </c>
      <c r="M698" s="3" t="inlineStr">
        <is>
          <t>Approved</t>
        </is>
      </c>
      <c r="N698" s="3" t="inlineStr">
        <is>
          <t>Available for Distribution, Country Close, Site Close, Study Close</t>
        </is>
      </c>
      <c r="O698" s="3" t="inlineStr">
        <is>
          <t>Czech Republic</t>
        </is>
      </c>
      <c r="P698" s="3" t="inlineStr">
        <is>
          <t>Z92-CZ10008</t>
        </is>
      </c>
      <c r="Q698" s="3" t="inlineStr">
        <is>
          <t>77242113UCO2001</t>
        </is>
      </c>
    </row>
    <row r="699">
      <c r="A699" s="2" t="str">
        <f>HYPERLINK("https://vtmf.veevavault.com/ui/#doc_info/26379607/1/0", "77242113UCO2001-CZE-Z92-CZ10008-Relevant Communications-23 May 2024 (v1.0)")</f>
        <v>77242113UCO2001-CZE-Z92-CZ10008-Relevant Communications-23 May 2024 (v1.0)</v>
      </c>
      <c r="B699" s="3" t="inlineStr">
        <is>
          <t>Lenka Placha</t>
        </is>
      </c>
      <c r="C699" s="3" t="inlineStr">
        <is>
          <t>Site Management</t>
        </is>
      </c>
      <c r="D699" s="3" t="inlineStr">
        <is>
          <t>General</t>
        </is>
      </c>
      <c r="E699" s="3" t="inlineStr">
        <is>
          <t>Relevant Communications</t>
        </is>
      </c>
      <c r="F699" s="3" t="inlineStr">
        <is>
          <t>email 23May24- pharmacy information   that they are not able to read CDs_site Z92-CZ10008</t>
        </is>
      </c>
      <c r="G699" s="2" t="str">
        <f>HYPERLINK("https://vtmf.veevavault.com/ui/#doc_info/26379607/1/0", "VTMF-21111196")</f>
        <v>VTMF-21111196</v>
      </c>
      <c r="H699" s="3" t="inlineStr">
        <is>
          <t/>
        </is>
      </c>
      <c r="I699" s="3" t="inlineStr">
        <is>
          <t>Lenka Placha</t>
        </is>
      </c>
      <c r="J699" s="3" t="inlineStr">
        <is>
          <t>Lenka Placha</t>
        </is>
      </c>
      <c r="K699" s="4" t="n">
        <v>45435.32417824074</v>
      </c>
      <c r="L699" s="5" t="n">
        <v>45435.0</v>
      </c>
      <c r="M699" s="3" t="inlineStr">
        <is>
          <t>Approved</t>
        </is>
      </c>
      <c r="N699" s="3" t="inlineStr">
        <is>
          <t>Available for Distribution, Country Close, Site Close, Study Close</t>
        </is>
      </c>
      <c r="O699" s="3" t="inlineStr">
        <is>
          <t>Czech Republic</t>
        </is>
      </c>
      <c r="P699" s="3" t="inlineStr">
        <is>
          <t>Z92-CZ10008</t>
        </is>
      </c>
      <c r="Q699" s="3" t="inlineStr">
        <is>
          <t>77242113UCO2001</t>
        </is>
      </c>
    </row>
    <row r="700">
      <c r="A700" s="2" t="str">
        <f>HYPERLINK("https://vtmf.veevavault.com/ui/#doc_info/28736619/1/0", "77242113UCO2001-CZE-Z92-CZ10008-Relevant Communications-25 Mar 2025 (v1.0)")</f>
        <v>77242113UCO2001-CZE-Z92-CZ10008-Relevant Communications-25 Mar 2025 (v1.0)</v>
      </c>
      <c r="B700" s="3" t="inlineStr">
        <is>
          <t>Lenka Placha</t>
        </is>
      </c>
      <c r="C700" s="3" t="inlineStr">
        <is>
          <t>Site Management</t>
        </is>
      </c>
      <c r="D700" s="3" t="inlineStr">
        <is>
          <t>General</t>
        </is>
      </c>
      <c r="E700" s="3" t="inlineStr">
        <is>
          <t>Relevant Communications</t>
        </is>
      </c>
      <c r="F700" s="3" t="inlineStr">
        <is>
          <t>email 25Mar25- SM sent to site updated Safety data sheet, PQR and TOR instruction_site Z92-CZ10008</t>
        </is>
      </c>
      <c r="G700" s="2" t="str">
        <f>HYPERLINK("https://vtmf.veevavault.com/ui/#doc_info/28736619/1/0", "VTMF-23086476")</f>
        <v>VTMF-23086476</v>
      </c>
      <c r="H700" s="3" t="inlineStr">
        <is>
          <t/>
        </is>
      </c>
      <c r="I700" s="3" t="inlineStr">
        <is>
          <t>System</t>
        </is>
      </c>
      <c r="J700" s="3" t="inlineStr">
        <is>
          <t>Lenka Placha</t>
        </is>
      </c>
      <c r="K700" s="4" t="n">
        <v>45741.56909722222</v>
      </c>
      <c r="L700" s="5" t="n">
        <v>45741.0</v>
      </c>
      <c r="M700" s="3" t="inlineStr">
        <is>
          <t>Approved</t>
        </is>
      </c>
      <c r="N700" s="3" t="inlineStr">
        <is>
          <t>Available for Distribution, Country Close, Site Close, Study Close</t>
        </is>
      </c>
      <c r="O700" s="3" t="inlineStr">
        <is>
          <t>Czech Republic</t>
        </is>
      </c>
      <c r="P700" s="3" t="inlineStr">
        <is>
          <t>Z92-CZ10008</t>
        </is>
      </c>
      <c r="Q700" s="3" t="inlineStr">
        <is>
          <t>77242113UCO2001</t>
        </is>
      </c>
    </row>
    <row r="701">
      <c r="A701" s="2" t="str">
        <f>HYPERLINK("https://vtmf.veevavault.com/ui/#doc_info/27738098/1/0", "77242113UCO2001-CZE-Z92-CZ10008-Relevant Communications-25 Nov 2024 (v1.0)")</f>
        <v>77242113UCO2001-CZE-Z92-CZ10008-Relevant Communications-25 Nov 2024 (v1.0)</v>
      </c>
      <c r="B701" s="3" t="inlineStr">
        <is>
          <t>Lenka Placha</t>
        </is>
      </c>
      <c r="C701" s="3" t="inlineStr">
        <is>
          <t>Site Management</t>
        </is>
      </c>
      <c r="D701" s="3" t="inlineStr">
        <is>
          <t>General</t>
        </is>
      </c>
      <c r="E701" s="3" t="inlineStr">
        <is>
          <t>Relevant Communications</t>
        </is>
      </c>
      <c r="F701" s="3" t="inlineStr">
        <is>
          <t>email 25Nov24- information to study team- site Z92-CZ10008- pt. CZ1000800001- Wk28- Cryostore biopsy sample not stored as required</t>
        </is>
      </c>
      <c r="G701" s="2" t="str">
        <f>HYPERLINK("https://vtmf.veevavault.com/ui/#doc_info/27738098/1/0", "VTMF-22242381")</f>
        <v>VTMF-22242381</v>
      </c>
      <c r="H701" s="3" t="inlineStr">
        <is>
          <t/>
        </is>
      </c>
      <c r="I701" s="3" t="inlineStr">
        <is>
          <t>System</t>
        </is>
      </c>
      <c r="J701" s="3" t="inlineStr">
        <is>
          <t>Lenka Placha</t>
        </is>
      </c>
      <c r="K701" s="4" t="n">
        <v>45621.70358796296</v>
      </c>
      <c r="L701" s="5" t="n">
        <v>45621.0</v>
      </c>
      <c r="M701" s="3" t="inlineStr">
        <is>
          <t>Approved</t>
        </is>
      </c>
      <c r="N701" s="3" t="inlineStr">
        <is>
          <t>Available for Distribution, Country Close, Site Close, Study Close</t>
        </is>
      </c>
      <c r="O701" s="3" t="inlineStr">
        <is>
          <t>Czech Republic</t>
        </is>
      </c>
      <c r="P701" s="3" t="inlineStr">
        <is>
          <t>Z92-CZ10008</t>
        </is>
      </c>
      <c r="Q701" s="3" t="inlineStr">
        <is>
          <t>77242113UCO2001</t>
        </is>
      </c>
    </row>
    <row r="702">
      <c r="A702" s="2" t="str">
        <f>HYPERLINK("https://vtmf.veevavault.com/ui/#doc_info/27099101/1/0", "77242113UCO2001-CZE-Z92-CZ10008-Relevant Communications-27 May 2024 (v1.0)")</f>
        <v>77242113UCO2001-CZE-Z92-CZ10008-Relevant Communications-27 May 2024 (v1.0)</v>
      </c>
      <c r="B702" s="3" t="inlineStr">
        <is>
          <t>Lenka Placha</t>
        </is>
      </c>
      <c r="C702" s="3" t="inlineStr">
        <is>
          <t>Site Management</t>
        </is>
      </c>
      <c r="D702" s="3" t="inlineStr">
        <is>
          <t>General</t>
        </is>
      </c>
      <c r="E702" s="3" t="inlineStr">
        <is>
          <t>Relevant Communications</t>
        </is>
      </c>
      <c r="F702" s="3" t="inlineStr">
        <is>
          <t>email 27May24- site information that they are not able to read CDs_site Z92-CZ10008</t>
        </is>
      </c>
      <c r="G702" s="2" t="str">
        <f>HYPERLINK("https://vtmf.veevavault.com/ui/#doc_info/27099101/1/0", "VTMF-21723840")</f>
        <v>VTMF-21723840</v>
      </c>
      <c r="H702" s="3" t="inlineStr">
        <is>
          <t/>
        </is>
      </c>
      <c r="I702" s="3" t="inlineStr">
        <is>
          <t>System</t>
        </is>
      </c>
      <c r="J702" s="3" t="inlineStr">
        <is>
          <t>Lenka Placha</t>
        </is>
      </c>
      <c r="K702" s="4" t="n">
        <v>45553.67837962963</v>
      </c>
      <c r="L702" s="5" t="n">
        <v>45553.0</v>
      </c>
      <c r="M702" s="3" t="inlineStr">
        <is>
          <t>Approved</t>
        </is>
      </c>
      <c r="N702" s="3" t="inlineStr">
        <is>
          <t>Available for Distribution, Country Close, Site Close, Study Close</t>
        </is>
      </c>
      <c r="O702" s="3" t="inlineStr">
        <is>
          <t>Czech Republic</t>
        </is>
      </c>
      <c r="P702" s="3" t="inlineStr">
        <is>
          <t>Z92-CZ10008</t>
        </is>
      </c>
      <c r="Q702" s="3" t="inlineStr">
        <is>
          <t>77242113UCO2001</t>
        </is>
      </c>
    </row>
    <row r="703">
      <c r="A703" s="2" t="str">
        <f>HYPERLINK("https://vtmf.veevavault.com/ui/#doc_info/26526478/1/0", "77242113UCO2001-CZE-Z92-CZ10008-Relevant Communications-29 May 2024 (v1.0)")</f>
        <v>77242113UCO2001-CZE-Z92-CZ10008-Relevant Communications-29 May 2024 (v1.0)</v>
      </c>
      <c r="B703" s="3" t="inlineStr">
        <is>
          <t>Lenka Placha</t>
        </is>
      </c>
      <c r="C703" s="3" t="inlineStr">
        <is>
          <t>Site Management</t>
        </is>
      </c>
      <c r="D703" s="3" t="inlineStr">
        <is>
          <t>General</t>
        </is>
      </c>
      <c r="E703" s="3" t="inlineStr">
        <is>
          <t>Relevant Communications</t>
        </is>
      </c>
      <c r="F703" s="3" t="inlineStr">
        <is>
          <t>Cover letter_ICF-CZ-3 dat. 25Jan2024_site Z92-CZ10008-29May2024</t>
        </is>
      </c>
      <c r="G703" s="2" t="str">
        <f>HYPERLINK("https://vtmf.veevavault.com/ui/#doc_info/26526478/1/0", "VTMF-21240807")</f>
        <v>VTMF-21240807</v>
      </c>
      <c r="H703" s="3" t="inlineStr">
        <is>
          <t/>
        </is>
      </c>
      <c r="I703" s="3" t="inlineStr">
        <is>
          <t>System</t>
        </is>
      </c>
      <c r="J703" s="3" t="inlineStr">
        <is>
          <t>Lenka Placha</t>
        </is>
      </c>
      <c r="K703" s="4" t="n">
        <v>45457.894166666665</v>
      </c>
      <c r="L703" s="5" t="n">
        <v>45457.0</v>
      </c>
      <c r="M703" s="3" t="inlineStr">
        <is>
          <t>Approved</t>
        </is>
      </c>
      <c r="N703" s="3" t="inlineStr">
        <is>
          <t>Available for Distribution, Country Close, Site Close, Study Close</t>
        </is>
      </c>
      <c r="O703" s="3" t="inlineStr">
        <is>
          <t>Czech Republic</t>
        </is>
      </c>
      <c r="P703" s="3" t="inlineStr">
        <is>
          <t>Z92-CZ10008</t>
        </is>
      </c>
      <c r="Q703" s="3" t="inlineStr">
        <is>
          <t>77242113UCO2001</t>
        </is>
      </c>
    </row>
    <row r="704">
      <c r="A704" s="2" t="str">
        <f>HYPERLINK("https://vtmf.veevavault.com/ui/#doc_info/25699459/1/0", "77242113UCO2001-CZE-Z92-CZ10008-RTSM System Faxes or RTSM System Emails-31 Jan 2024 (v1.0)")</f>
        <v>77242113UCO2001-CZE-Z92-CZ10008-RTSM System Faxes or RTSM System Emails-31 Jan 2024 (v1.0)</v>
      </c>
      <c r="B704" s="3" t="inlineStr">
        <is>
          <t>Lenka Placha</t>
        </is>
      </c>
      <c r="C704" s="3" t="inlineStr">
        <is>
          <t>IP and Trial Supplies</t>
        </is>
      </c>
      <c r="D704" s="3" t="inlineStr">
        <is>
          <t>Interactive Response Technology</t>
        </is>
      </c>
      <c r="E704" s="3" t="inlineStr">
        <is>
          <t>RTSM System Faxes or RTSM System Emails</t>
        </is>
      </c>
      <c r="F704" s="3" t="inlineStr">
        <is>
          <t>IWRS email- site activation-31Jan24</t>
        </is>
      </c>
      <c r="G704" s="2" t="str">
        <f>HYPERLINK("https://vtmf.veevavault.com/ui/#doc_info/25699459/1/0", "VTMF-20514788")</f>
        <v>VTMF-20514788</v>
      </c>
      <c r="H704" s="3" t="inlineStr">
        <is>
          <t/>
        </is>
      </c>
      <c r="I704" s="3" t="inlineStr">
        <is>
          <t>Anthony Suarez (veeva.com)</t>
        </is>
      </c>
      <c r="J704" s="3" t="inlineStr">
        <is>
          <t>Lenka Placha</t>
        </is>
      </c>
      <c r="K704" s="4" t="n">
        <v>45334.644479166665</v>
      </c>
      <c r="L704" s="5" t="n">
        <v>45334.0</v>
      </c>
      <c r="M704" s="3" t="inlineStr">
        <is>
          <t>Approved</t>
        </is>
      </c>
      <c r="N704" s="3" t="inlineStr">
        <is>
          <t>Not associated to a milestone</t>
        </is>
      </c>
      <c r="O704" s="3" t="inlineStr">
        <is>
          <t>Czech Republic</t>
        </is>
      </c>
      <c r="P704" s="3" t="inlineStr">
        <is>
          <t>Z92-CZ10008</t>
        </is>
      </c>
      <c r="Q704" s="3" t="inlineStr">
        <is>
          <t>77242113UCO2001</t>
        </is>
      </c>
    </row>
    <row r="705">
      <c r="A705" s="2" t="str">
        <f>HYPERLINK("https://vtmf.veevavault.com/ui/#doc_info/31250989/1/0", "77242113UCO2001-CZE-Z92-CZ10008-Shipment Records-10 Mar 2026 (v1.0)")</f>
        <v>77242113UCO2001-CZE-Z92-CZ10008-Shipment Records-10 Mar 2026 (v1.0)</v>
      </c>
      <c r="B705" s="3" t="inlineStr">
        <is>
          <t>Bela Lukavcová</t>
        </is>
      </c>
      <c r="C705" s="3" t="inlineStr">
        <is>
          <t>Centralized Testing</t>
        </is>
      </c>
      <c r="D705" s="3" t="inlineStr">
        <is>
          <t>Sample Documentation</t>
        </is>
      </c>
      <c r="E705" s="3" t="inlineStr">
        <is>
          <t>Shipment Records</t>
        </is>
      </c>
      <c r="F705" s="3" t="inlineStr">
        <is>
          <t>Biological Sample Storage and Shipment Form_CZ100080001</t>
        </is>
      </c>
      <c r="G705" s="2" t="str">
        <f>HYPERLINK("https://vtmf.veevavault.com/ui/#doc_info/31250989/1/0", "VTMF-25204191")</f>
        <v>VTMF-25204191</v>
      </c>
      <c r="H705" s="3" t="inlineStr">
        <is>
          <t/>
        </is>
      </c>
      <c r="I705" s="3" t="inlineStr">
        <is>
          <t>System</t>
        </is>
      </c>
      <c r="J705" s="3" t="inlineStr">
        <is>
          <t>Bela Lukavcová</t>
        </is>
      </c>
      <c r="K705" s="4" t="n">
        <v>46104.43653935185</v>
      </c>
      <c r="L705" s="5" t="n">
        <v>46104.0</v>
      </c>
      <c r="M705" s="3" t="inlineStr">
        <is>
          <t>Approved</t>
        </is>
      </c>
      <c r="N705" s="3" t="inlineStr">
        <is>
          <t>Study Start</t>
        </is>
      </c>
      <c r="O705" s="3" t="inlineStr">
        <is>
          <t>Czech Republic</t>
        </is>
      </c>
      <c r="P705" s="3" t="inlineStr">
        <is>
          <t>Z92-CZ10008</t>
        </is>
      </c>
      <c r="Q705" s="3" t="inlineStr">
        <is>
          <t>77242113UCO2001</t>
        </is>
      </c>
    </row>
    <row r="706">
      <c r="A706" s="2" t="str">
        <f>HYPERLINK("https://vtmf.veevavault.com/ui/#doc_info/24158347/1/0", "77242113UCO2001-CZE-Z92-CZ10008-Site Confirmation Letter-- (v1.0)")</f>
        <v>77242113UCO2001-CZE-Z92-CZ10008-Site Confirmation Letter-- (v1.0)</v>
      </c>
      <c r="B706" s="3" t="inlineStr">
        <is>
          <t>Lucie Duskova</t>
        </is>
      </c>
      <c r="C706" s="3" t="inlineStr">
        <is>
          <t>Site Management</t>
        </is>
      </c>
      <c r="D706" s="3" t="inlineStr">
        <is>
          <t>Site Management</t>
        </is>
      </c>
      <c r="E706" s="3" t="inlineStr">
        <is>
          <t>Site Confirmation Letter</t>
        </is>
      </c>
      <c r="F706" s="3" t="inlineStr">
        <is>
          <t>Site Qualification visit confirmation letter_Bortlik Martin_15MAY2023</t>
        </is>
      </c>
      <c r="G706" s="2" t="str">
        <f>HYPERLINK("https://vtmf.veevavault.com/ui/#doc_info/24158347/1/0", "VTMF-19168973")</f>
        <v>VTMF-19168973</v>
      </c>
      <c r="H706" s="3" t="inlineStr">
        <is>
          <t/>
        </is>
      </c>
      <c r="I706" s="3" t="inlineStr">
        <is>
          <t>Anthony Suarez (veeva.com)</t>
        </is>
      </c>
      <c r="J706" s="3" t="inlineStr">
        <is>
          <t>Lucie Duskova</t>
        </is>
      </c>
      <c r="K706" s="4" t="n">
        <v>45075.668391203704</v>
      </c>
      <c r="L706" s="5" t="n">
        <v>45075.0</v>
      </c>
      <c r="M706" s="3" t="inlineStr">
        <is>
          <t>Approved</t>
        </is>
      </c>
      <c r="N706" s="3" t="inlineStr">
        <is>
          <t>Available for Distribution, CLIX Filing, Site Close</t>
        </is>
      </c>
      <c r="O706" s="3" t="inlineStr">
        <is>
          <t>Czech Republic</t>
        </is>
      </c>
      <c r="P706" s="3" t="inlineStr">
        <is>
          <t>Z92-CZ10008</t>
        </is>
      </c>
      <c r="Q706" s="3" t="inlineStr">
        <is>
          <t>77242113UCO2001</t>
        </is>
      </c>
    </row>
    <row r="707">
      <c r="A707" s="2" t="str">
        <f>HYPERLINK("https://vtmf.veevavault.com/ui/#doc_info/31121377/1/0", "77242113UCO2001-CZE-Z92-CZ10008-Site Confirmation Letter-SCVR_CL-10 Mar 2026 (v1.0)")</f>
        <v>77242113UCO2001-CZE-Z92-CZ10008-Site Confirmation Letter-SCVR_CL-10 Mar 2026 (v1.0)</v>
      </c>
      <c r="B707" s="3" t="inlineStr">
        <is>
          <t>Admin User Medidata</t>
        </is>
      </c>
      <c r="C707" s="3" t="inlineStr">
        <is>
          <t>Site Management</t>
        </is>
      </c>
      <c r="D707" s="3" t="inlineStr">
        <is>
          <t>Site Management</t>
        </is>
      </c>
      <c r="E707" s="3" t="inlineStr">
        <is>
          <t>Site Confirmation Letter</t>
        </is>
      </c>
      <c r="F707" s="3" t="inlineStr">
        <is>
          <t/>
        </is>
      </c>
      <c r="G707" s="2" t="str">
        <f>HYPERLINK("https://vtmf.veevavault.com/ui/#doc_info/31121377/1/0", "VTMF-25091520")</f>
        <v>VTMF-25091520</v>
      </c>
      <c r="H707" s="3" t="inlineStr">
        <is>
          <t/>
        </is>
      </c>
      <c r="I707" s="3" t="inlineStr">
        <is>
          <t>System</t>
        </is>
      </c>
      <c r="J707" s="3" t="inlineStr">
        <is>
          <t>Admin User Medidata</t>
        </is>
      </c>
      <c r="K707" s="4" t="n">
        <v>46086.643900462965</v>
      </c>
      <c r="L707" s="5" t="n">
        <v>46086.0</v>
      </c>
      <c r="M707" s="3" t="inlineStr">
        <is>
          <t>Approved</t>
        </is>
      </c>
      <c r="N707" s="3" t="inlineStr">
        <is>
          <t>Available for Distribution, CLIX Filing, Not associated to a milestone</t>
        </is>
      </c>
      <c r="O707" s="3" t="inlineStr">
        <is>
          <t>Czech Republic</t>
        </is>
      </c>
      <c r="P707" s="3" t="inlineStr">
        <is>
          <t>Z92-CZ10008</t>
        </is>
      </c>
      <c r="Q707" s="3" t="inlineStr">
        <is>
          <t>77242113UCO2001</t>
        </is>
      </c>
    </row>
    <row r="708">
      <c r="A708" s="2" t="str">
        <f>HYPERLINK("https://vtmf.veevavault.com/ui/#doc_info/25530434/1/0", "77242113UCO2001-CZE-Z92-CZ10008-Site Confirmation Letter-SIVR_CL-23 Jan 2024 (v1.0)")</f>
        <v>77242113UCO2001-CZE-Z92-CZ10008-Site Confirmation Letter-SIVR_CL-23 Jan 2024 (v1.0)</v>
      </c>
      <c r="B708" s="3" t="inlineStr">
        <is>
          <t>Admin User Medidata</t>
        </is>
      </c>
      <c r="C708" s="3" t="inlineStr">
        <is>
          <t>Site Management</t>
        </is>
      </c>
      <c r="D708" s="3" t="inlineStr">
        <is>
          <t>Site Management</t>
        </is>
      </c>
      <c r="E708" s="3" t="inlineStr">
        <is>
          <t>Site Confirmation Letter</t>
        </is>
      </c>
      <c r="F708" s="3" t="inlineStr">
        <is>
          <t/>
        </is>
      </c>
      <c r="G708" s="2" t="str">
        <f>HYPERLINK("https://vtmf.veevavault.com/ui/#doc_info/25530434/1/0", "VTMF-20365857")</f>
        <v>VTMF-20365857</v>
      </c>
      <c r="H708" s="3" t="inlineStr">
        <is>
          <t/>
        </is>
      </c>
      <c r="I708" s="3" t="inlineStr">
        <is>
          <t>System</t>
        </is>
      </c>
      <c r="J708" s="3" t="inlineStr">
        <is>
          <t>Admin User Medidata</t>
        </is>
      </c>
      <c r="K708" s="4" t="n">
        <v>45309.7677662037</v>
      </c>
      <c r="L708" s="5" t="n">
        <v>45309.0</v>
      </c>
      <c r="M708" s="3" t="inlineStr">
        <is>
          <t>Approved</t>
        </is>
      </c>
      <c r="N708" s="3" t="inlineStr">
        <is>
          <t>Available for Distribution, CLIX Filing, Site Close</t>
        </is>
      </c>
      <c r="O708" s="3" t="inlineStr">
        <is>
          <t>Czech Republic</t>
        </is>
      </c>
      <c r="P708" s="3" t="inlineStr">
        <is>
          <t>Z92-CZ10008</t>
        </is>
      </c>
      <c r="Q708" s="3" t="inlineStr">
        <is>
          <t>77242113UCO2001</t>
        </is>
      </c>
    </row>
    <row r="709">
      <c r="A709" s="2" t="str">
        <f>HYPERLINK("https://vtmf.veevavault.com/ui/#doc_info/26049496/1/0", "77242113UCO2001-CZE-Z92-CZ10008-Site Confirmation Letter-SMVR_CL-03 Apr 2024 (v1.0)")</f>
        <v>77242113UCO2001-CZE-Z92-CZ10008-Site Confirmation Letter-SMVR_CL-03 Apr 2024 (v1.0)</v>
      </c>
      <c r="B709" s="3" t="inlineStr">
        <is>
          <t>Admin User Medidata</t>
        </is>
      </c>
      <c r="C709" s="3" t="inlineStr">
        <is>
          <t>Site Management</t>
        </is>
      </c>
      <c r="D709" s="3" t="inlineStr">
        <is>
          <t>Site Management</t>
        </is>
      </c>
      <c r="E709" s="3" t="inlineStr">
        <is>
          <t>Site Confirmation Letter</t>
        </is>
      </c>
      <c r="F709" s="3" t="inlineStr">
        <is>
          <t/>
        </is>
      </c>
      <c r="G709" s="2" t="str">
        <f>HYPERLINK("https://vtmf.veevavault.com/ui/#doc_info/26049496/1/0", "VTMF-20823520")</f>
        <v>VTMF-20823520</v>
      </c>
      <c r="H709" s="3" t="inlineStr">
        <is>
          <t/>
        </is>
      </c>
      <c r="I709" s="3" t="inlineStr">
        <is>
          <t>System</t>
        </is>
      </c>
      <c r="J709" s="3" t="inlineStr">
        <is>
          <t>Admin User Medidata</t>
        </is>
      </c>
      <c r="K709" s="4" t="n">
        <v>45384.773414351854</v>
      </c>
      <c r="L709" s="5" t="n">
        <v>45384.0</v>
      </c>
      <c r="M709" s="3" t="inlineStr">
        <is>
          <t>Approved</t>
        </is>
      </c>
      <c r="N709" s="3" t="inlineStr">
        <is>
          <t>Available for Distribution, CLIX Filing, Site Close</t>
        </is>
      </c>
      <c r="O709" s="3" t="inlineStr">
        <is>
          <t>Czech Republic</t>
        </is>
      </c>
      <c r="P709" s="3" t="inlineStr">
        <is>
          <t>Z92-CZ10008</t>
        </is>
      </c>
      <c r="Q709" s="3" t="inlineStr">
        <is>
          <t>77242113UCO2001</t>
        </is>
      </c>
    </row>
    <row r="710">
      <c r="A710" s="2" t="str">
        <f>HYPERLINK("https://vtmf.veevavault.com/ui/#doc_info/30280746/1/0", "77242113UCO2001-CZE-Z92-CZ10008-Site Confirmation Letter-SMVR_CL-05 Nov 2025 (v1.0)")</f>
        <v>77242113UCO2001-CZE-Z92-CZ10008-Site Confirmation Letter-SMVR_CL-05 Nov 2025 (v1.0)</v>
      </c>
      <c r="B710" s="3" t="inlineStr">
        <is>
          <t>Admin User Medidata</t>
        </is>
      </c>
      <c r="C710" s="3" t="inlineStr">
        <is>
          <t>Site Management</t>
        </is>
      </c>
      <c r="D710" s="3" t="inlineStr">
        <is>
          <t>Site Management</t>
        </is>
      </c>
      <c r="E710" s="3" t="inlineStr">
        <is>
          <t>Site Confirmation Letter</t>
        </is>
      </c>
      <c r="F710" s="3" t="inlineStr">
        <is>
          <t/>
        </is>
      </c>
      <c r="G710" s="2" t="str">
        <f>HYPERLINK("https://vtmf.veevavault.com/ui/#doc_info/30280746/1/0", "VTMF-24383474")</f>
        <v>VTMF-24383474</v>
      </c>
      <c r="H710" s="3" t="inlineStr">
        <is>
          <t/>
        </is>
      </c>
      <c r="I710" s="3" t="inlineStr">
        <is>
          <t>System</t>
        </is>
      </c>
      <c r="J710" s="3" t="inlineStr">
        <is>
          <t>Admin User Medidata</t>
        </is>
      </c>
      <c r="K710" s="4" t="n">
        <v>45961.76636574074</v>
      </c>
      <c r="L710" s="5" t="n">
        <v>45961.0</v>
      </c>
      <c r="M710" s="3" t="inlineStr">
        <is>
          <t>Approved</t>
        </is>
      </c>
      <c r="N710" s="3" t="inlineStr">
        <is>
          <t>Available for Distribution, CLIX Filing, Not associated to a milestone</t>
        </is>
      </c>
      <c r="O710" s="3" t="inlineStr">
        <is>
          <t>Czech Republic</t>
        </is>
      </c>
      <c r="P710" s="3" t="inlineStr">
        <is>
          <t>Z92-CZ10008</t>
        </is>
      </c>
      <c r="Q710" s="3" t="inlineStr">
        <is>
          <t>77242113UCO2001</t>
        </is>
      </c>
    </row>
    <row r="711">
      <c r="A711" s="2" t="str">
        <f>HYPERLINK("https://vtmf.veevavault.com/ui/#doc_info/28016418/1/0", "77242113UCO2001-CZE-Z92-CZ10008-Site Confirmation Letter-SMVR_CL-07 Jan 2025 (v1.0)")</f>
        <v>77242113UCO2001-CZE-Z92-CZ10008-Site Confirmation Letter-SMVR_CL-07 Jan 2025 (v1.0)</v>
      </c>
      <c r="B711" s="3" t="inlineStr">
        <is>
          <t>Admin User Medidata</t>
        </is>
      </c>
      <c r="C711" s="3" t="inlineStr">
        <is>
          <t>Site Management</t>
        </is>
      </c>
      <c r="D711" s="3" t="inlineStr">
        <is>
          <t>Site Management</t>
        </is>
      </c>
      <c r="E711" s="3" t="inlineStr">
        <is>
          <t>Site Confirmation Letter</t>
        </is>
      </c>
      <c r="F711" s="3" t="inlineStr">
        <is>
          <t/>
        </is>
      </c>
      <c r="G711" s="2" t="str">
        <f>HYPERLINK("https://vtmf.veevavault.com/ui/#doc_info/28016418/1/0", "VTMF-22466112")</f>
        <v>VTMF-22466112</v>
      </c>
      <c r="H711" s="3" t="inlineStr">
        <is>
          <t/>
        </is>
      </c>
      <c r="I711" s="3" t="inlineStr">
        <is>
          <t>System</t>
        </is>
      </c>
      <c r="J711" s="3" t="inlineStr">
        <is>
          <t>Admin User Medidata</t>
        </is>
      </c>
      <c r="K711" s="4" t="n">
        <v>45662.93015046296</v>
      </c>
      <c r="L711" s="5" t="n">
        <v>45662.0</v>
      </c>
      <c r="M711" s="3" t="inlineStr">
        <is>
          <t>Approved</t>
        </is>
      </c>
      <c r="N711" s="3" t="inlineStr">
        <is>
          <t>Available for Distribution, CLIX Filing, Not associated to a milestone</t>
        </is>
      </c>
      <c r="O711" s="3" t="inlineStr">
        <is>
          <t>Czech Republic</t>
        </is>
      </c>
      <c r="P711" s="3" t="inlineStr">
        <is>
          <t>Z92-CZ10008</t>
        </is>
      </c>
      <c r="Q711" s="3" t="inlineStr">
        <is>
          <t>77242113UCO2001</t>
        </is>
      </c>
    </row>
    <row r="712">
      <c r="A712" s="2" t="str">
        <f>HYPERLINK("https://vtmf.veevavault.com/ui/#doc_info/29475057/1/0", "77242113UCO2001-CZE-Z92-CZ10008-Site Confirmation Letter-SMVR_CL-08 Jul 2025 (v1.0)")</f>
        <v>77242113UCO2001-CZE-Z92-CZ10008-Site Confirmation Letter-SMVR_CL-08 Jul 2025 (v1.0)</v>
      </c>
      <c r="B712" s="3" t="inlineStr">
        <is>
          <t>Admin User Medidata</t>
        </is>
      </c>
      <c r="C712" s="3" t="inlineStr">
        <is>
          <t>Site Management</t>
        </is>
      </c>
      <c r="D712" s="3" t="inlineStr">
        <is>
          <t>Site Management</t>
        </is>
      </c>
      <c r="E712" s="3" t="inlineStr">
        <is>
          <t>Site Confirmation Letter</t>
        </is>
      </c>
      <c r="F712" s="3" t="inlineStr">
        <is>
          <t/>
        </is>
      </c>
      <c r="G712" s="2" t="str">
        <f>HYPERLINK("https://vtmf.veevavault.com/ui/#doc_info/29475057/1/0", "VTMF-23704584")</f>
        <v>VTMF-23704584</v>
      </c>
      <c r="H712" s="3" t="inlineStr">
        <is>
          <t/>
        </is>
      </c>
      <c r="I712" s="3" t="inlineStr">
        <is>
          <t>System</t>
        </is>
      </c>
      <c r="J712" s="3" t="inlineStr">
        <is>
          <t>Admin User Medidata</t>
        </is>
      </c>
      <c r="K712" s="4" t="n">
        <v>45839.59930555556</v>
      </c>
      <c r="L712" s="5" t="n">
        <v>45839.0</v>
      </c>
      <c r="M712" s="3" t="inlineStr">
        <is>
          <t>Approved</t>
        </is>
      </c>
      <c r="N712" s="3" t="inlineStr">
        <is>
          <t>Available for Distribution, CLIX Filing, Not associated to a milestone</t>
        </is>
      </c>
      <c r="O712" s="3" t="inlineStr">
        <is>
          <t>Czech Republic</t>
        </is>
      </c>
      <c r="P712" s="3" t="inlineStr">
        <is>
          <t>Z92-CZ10008</t>
        </is>
      </c>
      <c r="Q712" s="3" t="inlineStr">
        <is>
          <t>77242113UCO2001</t>
        </is>
      </c>
    </row>
    <row r="713">
      <c r="A713" s="2" t="str">
        <f>HYPERLINK("https://vtmf.veevavault.com/ui/#doc_info/26628992/1/0", "77242113UCO2001-CZE-Z92-CZ10008-Site Confirmation Letter-SMVR_CL-09 Jul 2024 (v1.0)")</f>
        <v>77242113UCO2001-CZE-Z92-CZ10008-Site Confirmation Letter-SMVR_CL-09 Jul 2024 (v1.0)</v>
      </c>
      <c r="B713" s="3" t="inlineStr">
        <is>
          <t>Admin User Medidata</t>
        </is>
      </c>
      <c r="C713" s="3" t="inlineStr">
        <is>
          <t>Site Management</t>
        </is>
      </c>
      <c r="D713" s="3" t="inlineStr">
        <is>
          <t>Site Management</t>
        </is>
      </c>
      <c r="E713" s="3" t="inlineStr">
        <is>
          <t>Site Confirmation Letter</t>
        </is>
      </c>
      <c r="F713" s="3" t="inlineStr">
        <is>
          <t/>
        </is>
      </c>
      <c r="G713" s="2" t="str">
        <f>HYPERLINK("https://vtmf.veevavault.com/ui/#doc_info/26628992/1/0", "VTMF-21330721")</f>
        <v>VTMF-21330721</v>
      </c>
      <c r="H713" s="3" t="inlineStr">
        <is>
          <t/>
        </is>
      </c>
      <c r="I713" s="3" t="inlineStr">
        <is>
          <t>System</t>
        </is>
      </c>
      <c r="J713" s="3" t="inlineStr">
        <is>
          <t>Admin User Medidata</t>
        </is>
      </c>
      <c r="K713" s="4" t="n">
        <v>45475.059895833336</v>
      </c>
      <c r="L713" s="5" t="n">
        <v>45474.0</v>
      </c>
      <c r="M713" s="3" t="inlineStr">
        <is>
          <t>Approved</t>
        </is>
      </c>
      <c r="N713" s="3" t="inlineStr">
        <is>
          <t>Available for Distribution, CLIX Filing, Site Close</t>
        </is>
      </c>
      <c r="O713" s="3" t="inlineStr">
        <is>
          <t>Czech Republic</t>
        </is>
      </c>
      <c r="P713" s="3" t="inlineStr">
        <is>
          <t>Z92-CZ10008</t>
        </is>
      </c>
      <c r="Q713" s="3" t="inlineStr">
        <is>
          <t>77242113UCO2001</t>
        </is>
      </c>
    </row>
    <row r="714">
      <c r="A714" s="2" t="str">
        <f>HYPERLINK("https://vtmf.veevavault.com/ui/#doc_info/27001295/1/0", "77242113UCO2001-CZE-Z92-CZ10008-Site Confirmation Letter-SMVR_CL-10 Sep 2024 (v1.0)")</f>
        <v>77242113UCO2001-CZE-Z92-CZ10008-Site Confirmation Letter-SMVR_CL-10 Sep 2024 (v1.0)</v>
      </c>
      <c r="B714" s="3" t="inlineStr">
        <is>
          <t>Admin User Medidata</t>
        </is>
      </c>
      <c r="C714" s="3" t="inlineStr">
        <is>
          <t>Site Management</t>
        </is>
      </c>
      <c r="D714" s="3" t="inlineStr">
        <is>
          <t>Site Management</t>
        </is>
      </c>
      <c r="E714" s="3" t="inlineStr">
        <is>
          <t>Site Confirmation Letter</t>
        </is>
      </c>
      <c r="F714" s="3" t="inlineStr">
        <is>
          <t/>
        </is>
      </c>
      <c r="G714" s="2" t="str">
        <f>HYPERLINK("https://vtmf.veevavault.com/ui/#doc_info/27001295/1/0", "VTMF-21647797")</f>
        <v>VTMF-21647797</v>
      </c>
      <c r="H714" s="3" t="inlineStr">
        <is>
          <t/>
        </is>
      </c>
      <c r="I714" s="3" t="inlineStr">
        <is>
          <t>System</t>
        </is>
      </c>
      <c r="J714" s="3" t="inlineStr">
        <is>
          <t>Admin User Medidata</t>
        </is>
      </c>
      <c r="K714" s="4" t="n">
        <v>45538.88868055555</v>
      </c>
      <c r="L714" s="5" t="n">
        <v>45538.0</v>
      </c>
      <c r="M714" s="3" t="inlineStr">
        <is>
          <t>Approved</t>
        </is>
      </c>
      <c r="N714" s="3" t="inlineStr">
        <is>
          <t>Available for Distribution, CLIX Filing, Site Close</t>
        </is>
      </c>
      <c r="O714" s="3" t="inlineStr">
        <is>
          <t>Czech Republic</t>
        </is>
      </c>
      <c r="P714" s="3" t="inlineStr">
        <is>
          <t>Z92-CZ10008</t>
        </is>
      </c>
      <c r="Q714" s="3" t="inlineStr">
        <is>
          <t>77242113UCO2001</t>
        </is>
      </c>
    </row>
    <row r="715">
      <c r="A715" s="2" t="str">
        <f>HYPERLINK("https://vtmf.veevavault.com/ui/#doc_info/27476380/1/0", "77242113UCO2001-CZE-Z92-CZ10008-Site Confirmation Letter-SMVR_CL-19 Nov 2024 (v1.0)")</f>
        <v>77242113UCO2001-CZE-Z92-CZ10008-Site Confirmation Letter-SMVR_CL-19 Nov 2024 (v1.0)</v>
      </c>
      <c r="B715" s="3" t="inlineStr">
        <is>
          <t>Admin User Medidata</t>
        </is>
      </c>
      <c r="C715" s="3" t="inlineStr">
        <is>
          <t>Site Management</t>
        </is>
      </c>
      <c r="D715" s="3" t="inlineStr">
        <is>
          <t>Site Management</t>
        </is>
      </c>
      <c r="E715" s="3" t="inlineStr">
        <is>
          <t>Site Confirmation Letter</t>
        </is>
      </c>
      <c r="F715" s="3" t="inlineStr">
        <is>
          <t/>
        </is>
      </c>
      <c r="G715" s="2" t="str">
        <f>HYPERLINK("https://vtmf.veevavault.com/ui/#doc_info/27476380/1/0", "VTMF-22036804")</f>
        <v>VTMF-22036804</v>
      </c>
      <c r="H715" s="3" t="inlineStr">
        <is>
          <t/>
        </is>
      </c>
      <c r="I715" s="3" t="inlineStr">
        <is>
          <t>System</t>
        </is>
      </c>
      <c r="J715" s="3" t="inlineStr">
        <is>
          <t>Admin User Medidata</t>
        </is>
      </c>
      <c r="K715" s="4" t="n">
        <v>45609.574328703704</v>
      </c>
      <c r="L715" s="5" t="n">
        <v>45609.0</v>
      </c>
      <c r="M715" s="3" t="inlineStr">
        <is>
          <t>Approved</t>
        </is>
      </c>
      <c r="N715" s="3" t="inlineStr">
        <is>
          <t>Available for Distribution, CLIX Filing, Not associated to a milestone</t>
        </is>
      </c>
      <c r="O715" s="3" t="inlineStr">
        <is>
          <t>Czech Republic</t>
        </is>
      </c>
      <c r="P715" s="3" t="inlineStr">
        <is>
          <t>Z92-CZ10008</t>
        </is>
      </c>
      <c r="Q715" s="3" t="inlineStr">
        <is>
          <t>77242113UCO2001</t>
        </is>
      </c>
    </row>
    <row r="716">
      <c r="A716" s="2" t="str">
        <f>HYPERLINK("https://vtmf.veevavault.com/ui/#doc_info/29977760/1/0", "77242113UCO2001-CZE-Z92-CZ10008-Site Confirmation Letter-SMVR_CL-23 Sep 2025 (v1.0)")</f>
        <v>77242113UCO2001-CZE-Z92-CZ10008-Site Confirmation Letter-SMVR_CL-23 Sep 2025 (v1.0)</v>
      </c>
      <c r="B716" s="3" t="inlineStr">
        <is>
          <t>Admin User Medidata</t>
        </is>
      </c>
      <c r="C716" s="3" t="inlineStr">
        <is>
          <t>Site Management</t>
        </is>
      </c>
      <c r="D716" s="3" t="inlineStr">
        <is>
          <t>Site Management</t>
        </is>
      </c>
      <c r="E716" s="3" t="inlineStr">
        <is>
          <t>Site Confirmation Letter</t>
        </is>
      </c>
      <c r="F716" s="3" t="inlineStr">
        <is>
          <t/>
        </is>
      </c>
      <c r="G716" s="2" t="str">
        <f>HYPERLINK("https://vtmf.veevavault.com/ui/#doc_info/29977760/1/0", "VTMF-24134099")</f>
        <v>VTMF-24134099</v>
      </c>
      <c r="H716" s="3" t="inlineStr">
        <is>
          <t/>
        </is>
      </c>
      <c r="I716" s="3" t="inlineStr">
        <is>
          <t>System</t>
        </is>
      </c>
      <c r="J716" s="3" t="inlineStr">
        <is>
          <t>Admin User Medidata</t>
        </is>
      </c>
      <c r="K716" s="4" t="n">
        <v>45918.598391203705</v>
      </c>
      <c r="L716" s="5" t="n">
        <v>45918.0</v>
      </c>
      <c r="M716" s="3" t="inlineStr">
        <is>
          <t>Approved</t>
        </is>
      </c>
      <c r="N716" s="3" t="inlineStr">
        <is>
          <t>Available for Distribution, CLIX Filing, Not associated to a milestone</t>
        </is>
      </c>
      <c r="O716" s="3" t="inlineStr">
        <is>
          <t>Czech Republic</t>
        </is>
      </c>
      <c r="P716" s="3" t="inlineStr">
        <is>
          <t>Z92-CZ10008</t>
        </is>
      </c>
      <c r="Q716" s="3" t="inlineStr">
        <is>
          <t>77242113UCO2001</t>
        </is>
      </c>
    </row>
    <row r="717">
      <c r="A717" s="2" t="str">
        <f>HYPERLINK("https://vtmf.veevavault.com/ui/#doc_info/24104028/4/0", "77242113UCO2001-CZE-Z92-CZ10008-Site Signature Sheet-01 Jul 2025 (v4.0)")</f>
        <v>77242113UCO2001-CZE-Z92-CZ10008-Site Signature Sheet-01 Jul 2025 (v4.0)</v>
      </c>
      <c r="B717" s="3" t="inlineStr">
        <is>
          <t>EDL Admin</t>
        </is>
      </c>
      <c r="C717" s="3" t="inlineStr">
        <is>
          <t>Site Management</t>
        </is>
      </c>
      <c r="D717" s="3" t="inlineStr">
        <is>
          <t>Site Set-up Documentation</t>
        </is>
      </c>
      <c r="E717" s="3" t="inlineStr">
        <is>
          <t>Site Signature Sheet</t>
        </is>
      </c>
      <c r="F717" s="3" t="inlineStr">
        <is>
          <t>DL_site Z92-CZ10008_update_01Jul25</t>
        </is>
      </c>
      <c r="G717" s="2" t="str">
        <f>HYPERLINK("https://vtmf.veevavault.com/ui/#doc_info/24104028/4/0", "VTMF-19118652")</f>
        <v>VTMF-19118652</v>
      </c>
      <c r="H717" s="3" t="inlineStr">
        <is>
          <t/>
        </is>
      </c>
      <c r="I717" s="3" t="inlineStr">
        <is>
          <t>Anthony Suarez (veeva.com)</t>
        </is>
      </c>
      <c r="J717" s="3" t="inlineStr">
        <is>
          <t>Lenka Placha</t>
        </is>
      </c>
      <c r="K717" s="4" t="n">
        <v>45847.51368055555</v>
      </c>
      <c r="L717" s="5" t="n">
        <v>45847.0</v>
      </c>
      <c r="M717" s="3" t="inlineStr">
        <is>
          <t>Approved</t>
        </is>
      </c>
      <c r="N717" s="3" t="inlineStr">
        <is>
          <t>Available for Distribution, CLIX Filing, Site Close</t>
        </is>
      </c>
      <c r="O717" s="3" t="inlineStr">
        <is>
          <t>Czech Republic</t>
        </is>
      </c>
      <c r="P717" s="3" t="inlineStr">
        <is>
          <t>Z92-CZ10008</t>
        </is>
      </c>
      <c r="Q717" s="3" t="inlineStr">
        <is>
          <t>77242113UCO2001</t>
        </is>
      </c>
    </row>
    <row r="718">
      <c r="A718" s="2" t="str">
        <f>HYPERLINK("https://vtmf.veevavault.com/ui/#doc_info/31203026/1/0", "77242113UCO2001-CZE-Z92-CZ10008-Site Signature Sheet-10 Mar 2026 (v1.0)")</f>
        <v>77242113UCO2001-CZE-Z92-CZ10008-Site Signature Sheet-10 Mar 2026 (v1.0)</v>
      </c>
      <c r="B718" s="3" t="inlineStr">
        <is>
          <t>Bela Lukavcová</t>
        </is>
      </c>
      <c r="C718" s="3" t="inlineStr">
        <is>
          <t>Site Management</t>
        </is>
      </c>
      <c r="D718" s="3" t="inlineStr">
        <is>
          <t>Site Set-up Documentation</t>
        </is>
      </c>
      <c r="E718" s="3" t="inlineStr">
        <is>
          <t>Site Signature Sheet</t>
        </is>
      </c>
      <c r="F718" s="3" t="inlineStr">
        <is>
          <t>Training Log_Site Staff</t>
        </is>
      </c>
      <c r="G718" s="2" t="str">
        <f>HYPERLINK("https://vtmf.veevavault.com/ui/#doc_info/31203026/1/0", "VTMF-25160287")</f>
        <v>VTMF-25160287</v>
      </c>
      <c r="H718" s="3" t="inlineStr">
        <is>
          <t/>
        </is>
      </c>
      <c r="I718" s="3" t="inlineStr">
        <is>
          <t>System</t>
        </is>
      </c>
      <c r="J718" s="3" t="inlineStr">
        <is>
          <t>Bela Lukavcová</t>
        </is>
      </c>
      <c r="K718" s="4" t="n">
        <v>46099.49738425926</v>
      </c>
      <c r="L718" s="5" t="n">
        <v>46099.0</v>
      </c>
      <c r="M718" s="3" t="inlineStr">
        <is>
          <t>Approved</t>
        </is>
      </c>
      <c r="N718" s="3" t="inlineStr">
        <is>
          <t>Available for Distribution, CLIX Filing, Site Close, Study Start</t>
        </is>
      </c>
      <c r="O718" s="3" t="inlineStr">
        <is>
          <t>Czech Republic</t>
        </is>
      </c>
      <c r="P718" s="3" t="inlineStr">
        <is>
          <t>Z92-CZ10008</t>
        </is>
      </c>
      <c r="Q718" s="3" t="inlineStr">
        <is>
          <t>77242113UCO2001</t>
        </is>
      </c>
    </row>
    <row r="719">
      <c r="A719" s="2" t="str">
        <f>HYPERLINK("https://vtmf.veevavault.com/ui/#doc_info/31251082/2/0", "77242113UCO2001-CZE-Z92-CZ10008-Site Signature Sheet-10 Mar 2026 (v2.0)")</f>
        <v>77242113UCO2001-CZE-Z92-CZ10008-Site Signature Sheet-10 Mar 2026 (v2.0)</v>
      </c>
      <c r="B719" s="3" t="inlineStr">
        <is>
          <t>Bela Lukavcová</t>
        </is>
      </c>
      <c r="C719" s="3" t="inlineStr">
        <is>
          <t>Site Management</t>
        </is>
      </c>
      <c r="D719" s="3" t="inlineStr">
        <is>
          <t>Site Set-up Documentation</t>
        </is>
      </c>
      <c r="E719" s="3" t="inlineStr">
        <is>
          <t>Site Signature Sheet</t>
        </is>
      </c>
      <c r="F719" s="3" t="inlineStr">
        <is>
          <t>Delegation Log_Bortlik, M</t>
        </is>
      </c>
      <c r="G719" s="2" t="str">
        <f>HYPERLINK("https://vtmf.veevavault.com/ui/#doc_info/31251082/2/0", "VTMF-25204247")</f>
        <v>VTMF-25204247</v>
      </c>
      <c r="H719" s="3" t="inlineStr">
        <is>
          <t/>
        </is>
      </c>
      <c r="I719" s="3" t="inlineStr">
        <is>
          <t>System</t>
        </is>
      </c>
      <c r="J719" s="3" t="inlineStr">
        <is>
          <t>Bela Lukavcová</t>
        </is>
      </c>
      <c r="K719" s="4" t="n">
        <v>46125.538981481484</v>
      </c>
      <c r="L719" s="5" t="n">
        <v>46125.0</v>
      </c>
      <c r="M719" s="3" t="inlineStr">
        <is>
          <t>Approved</t>
        </is>
      </c>
      <c r="N719" s="3" t="inlineStr">
        <is>
          <t>Available for Distribution, CLIX Filing, Site Close, Study Start</t>
        </is>
      </c>
      <c r="O719" s="3" t="inlineStr">
        <is>
          <t>Czech Republic</t>
        </is>
      </c>
      <c r="P719" s="3" t="inlineStr">
        <is>
          <t>Z92-CZ10008</t>
        </is>
      </c>
      <c r="Q719" s="3" t="inlineStr">
        <is>
          <t>77242113UCO2001</t>
        </is>
      </c>
    </row>
    <row r="720">
      <c r="A720" s="2" t="str">
        <f>HYPERLINK("https://vtmf.veevavault.com/ui/#doc_info/27057987/2/0", "77242113UCO2001-CZE-Z92-CZ10008-Site Training Documentation-12 Apr 2024 (v2.0)")</f>
        <v>77242113UCO2001-CZE-Z92-CZ10008-Site Training Documentation-12 Apr 2024 (v2.0)</v>
      </c>
      <c r="B720" s="3" t="inlineStr">
        <is>
          <t>Lenka Placha</t>
        </is>
      </c>
      <c r="C720" s="3" t="inlineStr">
        <is>
          <t>Site Management</t>
        </is>
      </c>
      <c r="D720" s="3" t="inlineStr">
        <is>
          <t>Site Initiation</t>
        </is>
      </c>
      <c r="E720" s="3" t="inlineStr">
        <is>
          <t>Site Training Documentation</t>
        </is>
      </c>
      <c r="F720" s="3" t="inlineStr">
        <is>
          <t>CSSRS certificate SC_ Valentova Andrea_12Apr2024</t>
        </is>
      </c>
      <c r="G720" s="2" t="str">
        <f>HYPERLINK("https://vtmf.veevavault.com/ui/#doc_info/27057987/2/0", "VTMF-21688774")</f>
        <v>VTMF-21688774</v>
      </c>
      <c r="H720" s="3" t="inlineStr">
        <is>
          <t/>
        </is>
      </c>
      <c r="I720" s="3" t="inlineStr">
        <is>
          <t>Anthony Suarez (veeva.com)</t>
        </is>
      </c>
      <c r="J720" s="3" t="inlineStr">
        <is>
          <t>Lenka Placha</t>
        </is>
      </c>
      <c r="K720" s="4" t="n">
        <v>45910.396678240744</v>
      </c>
      <c r="L720" s="5" t="n">
        <v>45910.0</v>
      </c>
      <c r="M720" s="3" t="inlineStr">
        <is>
          <t>Approved</t>
        </is>
      </c>
      <c r="N720" s="3" t="inlineStr">
        <is>
          <t>Available for Distribution, CLIX Filing, Site Close</t>
        </is>
      </c>
      <c r="O720" s="3" t="inlineStr">
        <is>
          <t>Czech Republic</t>
        </is>
      </c>
      <c r="P720" s="3" t="inlineStr">
        <is>
          <t>Z92-CZ10008</t>
        </is>
      </c>
      <c r="Q720" s="3" t="inlineStr">
        <is>
          <t>77242113UCO2001</t>
        </is>
      </c>
    </row>
    <row r="721">
      <c r="A721" s="2" t="str">
        <f>HYPERLINK("https://vtmf.veevavault.com/ui/#doc_info/27057988/1/0", "77242113UCO2001-CZE-Z92-CZ10008-Site Training Documentation-17 Jul 2023 (v1.0)")</f>
        <v>77242113UCO2001-CZE-Z92-CZ10008-Site Training Documentation-17 Jul 2023 (v1.0)</v>
      </c>
      <c r="B721" s="3" t="inlineStr">
        <is>
          <t>Lenka Placha</t>
        </is>
      </c>
      <c r="C721" s="3" t="inlineStr">
        <is>
          <t>Site Management</t>
        </is>
      </c>
      <c r="D721" s="3" t="inlineStr">
        <is>
          <t>Site Initiation</t>
        </is>
      </c>
      <c r="E721" s="3" t="inlineStr">
        <is>
          <t>Site Training Documentation</t>
        </is>
      </c>
      <c r="F721" s="3" t="inlineStr">
        <is>
          <t>CSSRS certificate SC_ Dvorakova Zdenka_17Jul23</t>
        </is>
      </c>
      <c r="G721" s="2" t="str">
        <f>HYPERLINK("https://vtmf.veevavault.com/ui/#doc_info/27057988/1/0", "VTMF-21688775")</f>
        <v>VTMF-21688775</v>
      </c>
      <c r="H721" s="3" t="inlineStr">
        <is>
          <t/>
        </is>
      </c>
      <c r="I721" s="3" t="inlineStr">
        <is>
          <t>Anthony Suarez (veeva.com)</t>
        </is>
      </c>
      <c r="J721" s="3" t="inlineStr">
        <is>
          <t>Lenka Placha</t>
        </is>
      </c>
      <c r="K721" s="4" t="n">
        <v>45546.66119212963</v>
      </c>
      <c r="L721" s="5" t="n">
        <v>45546.0</v>
      </c>
      <c r="M721" s="3" t="inlineStr">
        <is>
          <t>Approved</t>
        </is>
      </c>
      <c r="N721" s="3" t="inlineStr">
        <is>
          <t>Available for Distribution, CLIX Filing, Site Close</t>
        </is>
      </c>
      <c r="O721" s="3" t="inlineStr">
        <is>
          <t>Czech Republic</t>
        </is>
      </c>
      <c r="P721" s="3" t="inlineStr">
        <is>
          <t>Z92-CZ10008</t>
        </is>
      </c>
      <c r="Q721" s="3" t="inlineStr">
        <is>
          <t>77242113UCO2001</t>
        </is>
      </c>
    </row>
    <row r="722">
      <c r="A722" s="2" t="str">
        <f>HYPERLINK("https://vtmf.veevavault.com/ui/#doc_info/27057989/1/0", "77242113UCO2001-CZE-Z92-CZ10008-Site Training Documentation-19 Jul 2023 (v1.0)")</f>
        <v>77242113UCO2001-CZE-Z92-CZ10008-Site Training Documentation-19 Jul 2023 (v1.0)</v>
      </c>
      <c r="B722" s="3" t="inlineStr">
        <is>
          <t>Lenka Placha</t>
        </is>
      </c>
      <c r="C722" s="3" t="inlineStr">
        <is>
          <t>Site Management</t>
        </is>
      </c>
      <c r="D722" s="3" t="inlineStr">
        <is>
          <t>Site Initiation</t>
        </is>
      </c>
      <c r="E722" s="3" t="inlineStr">
        <is>
          <t>Site Training Documentation</t>
        </is>
      </c>
      <c r="F722" s="3" t="inlineStr">
        <is>
          <t>CSSRS certificate PI_ Bortlik Martin_19Jul23</t>
        </is>
      </c>
      <c r="G722" s="2" t="str">
        <f>HYPERLINK("https://vtmf.veevavault.com/ui/#doc_info/27057989/1/0", "VTMF-21688776")</f>
        <v>VTMF-21688776</v>
      </c>
      <c r="H722" s="3" t="inlineStr">
        <is>
          <t/>
        </is>
      </c>
      <c r="I722" s="3" t="inlineStr">
        <is>
          <t>Anthony Suarez (veeva.com)</t>
        </is>
      </c>
      <c r="J722" s="3" t="inlineStr">
        <is>
          <t>Lenka Placha</t>
        </is>
      </c>
      <c r="K722" s="4" t="n">
        <v>45546.66119212963</v>
      </c>
      <c r="L722" s="5" t="n">
        <v>45546.0</v>
      </c>
      <c r="M722" s="3" t="inlineStr">
        <is>
          <t>Approved</t>
        </is>
      </c>
      <c r="N722" s="3" t="inlineStr">
        <is>
          <t>Available for Distribution, CLIX Filing, Site Close</t>
        </is>
      </c>
      <c r="O722" s="3" t="inlineStr">
        <is>
          <t>Czech Republic</t>
        </is>
      </c>
      <c r="P722" s="3" t="inlineStr">
        <is>
          <t>Z92-CZ10008</t>
        </is>
      </c>
      <c r="Q722" s="3" t="inlineStr">
        <is>
          <t>77242113UCO2001</t>
        </is>
      </c>
    </row>
    <row r="723">
      <c r="A723" s="2" t="str">
        <f>HYPERLINK("https://vtmf.veevavault.com/ui/#doc_info/27058099/1/0", "77242113UCO2001-CZE-Z92-CZ10008-Site Training Documentation-20 Feb 2024 (v1.0)")</f>
        <v>77242113UCO2001-CZE-Z92-CZ10008-Site Training Documentation-20 Feb 2024 (v1.0)</v>
      </c>
      <c r="B723" s="3" t="inlineStr">
        <is>
          <t>Lenka Placha</t>
        </is>
      </c>
      <c r="C723" s="3" t="inlineStr">
        <is>
          <t>Site Management</t>
        </is>
      </c>
      <c r="D723" s="3" t="inlineStr">
        <is>
          <t>Site Initiation</t>
        </is>
      </c>
      <c r="E723" s="3" t="inlineStr">
        <is>
          <t>Site Training Documentation</t>
        </is>
      </c>
      <c r="F723" s="3" t="inlineStr">
        <is>
          <t>IATA_SN Kovacova Jana_Initial_ 20Feb24-20Feb26</t>
        </is>
      </c>
      <c r="G723" s="2" t="str">
        <f>HYPERLINK("https://vtmf.veevavault.com/ui/#doc_info/27058099/1/0", "VTMF-21688847")</f>
        <v>VTMF-21688847</v>
      </c>
      <c r="H723" s="3" t="inlineStr">
        <is>
          <t/>
        </is>
      </c>
      <c r="I723" s="3" t="inlineStr">
        <is>
          <t>Anthony Suarez (veeva.com)</t>
        </is>
      </c>
      <c r="J723" s="3" t="inlineStr">
        <is>
          <t>Lenka Placha</t>
        </is>
      </c>
      <c r="K723" s="4" t="n">
        <v>45546.672534722224</v>
      </c>
      <c r="L723" s="5" t="n">
        <v>45546.0</v>
      </c>
      <c r="M723" s="3" t="inlineStr">
        <is>
          <t>Approved</t>
        </is>
      </c>
      <c r="N723" s="3" t="inlineStr">
        <is>
          <t>Available for Distribution, CLIX Filing, Site Close</t>
        </is>
      </c>
      <c r="O723" s="3" t="inlineStr">
        <is>
          <t>Czech Republic</t>
        </is>
      </c>
      <c r="P723" s="3" t="inlineStr">
        <is>
          <t>Z92-CZ10008</t>
        </is>
      </c>
      <c r="Q723" s="3" t="inlineStr">
        <is>
          <t>77242113UCO2001</t>
        </is>
      </c>
    </row>
    <row r="724">
      <c r="A724" s="2" t="str">
        <f>HYPERLINK("https://vtmf.veevavault.com/ui/#doc_info/27058201/1/0", "77242113UCO2001-CZE-Z92-CZ10008-Site Training Documentation-20 Feb 2024 (v1.0)")</f>
        <v>77242113UCO2001-CZE-Z92-CZ10008-Site Training Documentation-20 Feb 2024 (v1.0)</v>
      </c>
      <c r="B724" s="3" t="inlineStr">
        <is>
          <t>Lenka Placha</t>
        </is>
      </c>
      <c r="C724" s="3" t="inlineStr">
        <is>
          <t>Site Management</t>
        </is>
      </c>
      <c r="D724" s="3" t="inlineStr">
        <is>
          <t>Site Initiation</t>
        </is>
      </c>
      <c r="E724" s="3" t="inlineStr">
        <is>
          <t>Site Training Documentation</t>
        </is>
      </c>
      <c r="F724" s="3" t="inlineStr">
        <is>
          <t>IATA_SC Dvorakova Zdenka_Initial_20Feb24- 20Feb26</t>
        </is>
      </c>
      <c r="G724" s="2" t="str">
        <f>HYPERLINK("https://vtmf.veevavault.com/ui/#doc_info/27058201/1/0", "VTMF-21688849")</f>
        <v>VTMF-21688849</v>
      </c>
      <c r="H724" s="3" t="inlineStr">
        <is>
          <t/>
        </is>
      </c>
      <c r="I724" s="3" t="inlineStr">
        <is>
          <t>Anthony Suarez (veeva.com)</t>
        </is>
      </c>
      <c r="J724" s="3" t="inlineStr">
        <is>
          <t>Lenka Placha</t>
        </is>
      </c>
      <c r="K724" s="4" t="n">
        <v>45546.672534722224</v>
      </c>
      <c r="L724" s="5" t="n">
        <v>45546.0</v>
      </c>
      <c r="M724" s="3" t="inlineStr">
        <is>
          <t>Approved</t>
        </is>
      </c>
      <c r="N724" s="3" t="inlineStr">
        <is>
          <t>Available for Distribution, CLIX Filing, Site Close</t>
        </is>
      </c>
      <c r="O724" s="3" t="inlineStr">
        <is>
          <t>Czech Republic</t>
        </is>
      </c>
      <c r="P724" s="3" t="inlineStr">
        <is>
          <t>Z92-CZ10008</t>
        </is>
      </c>
      <c r="Q724" s="3" t="inlineStr">
        <is>
          <t>77242113UCO2001</t>
        </is>
      </c>
    </row>
    <row r="725">
      <c r="A725" s="2" t="str">
        <f>HYPERLINK("https://vtmf.veevavault.com/ui/#doc_info/27058100/1/0", "77242113UCO2001-CZE-Z92-CZ10008-Site Training Documentation-22 Feb 2024 (v1.0)")</f>
        <v>77242113UCO2001-CZE-Z92-CZ10008-Site Training Documentation-22 Feb 2024 (v1.0)</v>
      </c>
      <c r="B725" s="3" t="inlineStr">
        <is>
          <t>Lenka Placha</t>
        </is>
      </c>
      <c r="C725" s="3" t="inlineStr">
        <is>
          <t>Site Management</t>
        </is>
      </c>
      <c r="D725" s="3" t="inlineStr">
        <is>
          <t>Site Initiation</t>
        </is>
      </c>
      <c r="E725" s="3" t="inlineStr">
        <is>
          <t>Site Training Documentation</t>
        </is>
      </c>
      <c r="F725" s="3" t="inlineStr">
        <is>
          <t>IATA_SN Krystufkova Alzbeta_Initial_ 22Feb24-22Feb26</t>
        </is>
      </c>
      <c r="G725" s="2" t="str">
        <f>HYPERLINK("https://vtmf.veevavault.com/ui/#doc_info/27058100/1/0", "VTMF-21688848")</f>
        <v>VTMF-21688848</v>
      </c>
      <c r="H725" s="3" t="inlineStr">
        <is>
          <t/>
        </is>
      </c>
      <c r="I725" s="3" t="inlineStr">
        <is>
          <t>Anthony Suarez (veeva.com)</t>
        </is>
      </c>
      <c r="J725" s="3" t="inlineStr">
        <is>
          <t>Lenka Placha</t>
        </is>
      </c>
      <c r="K725" s="4" t="n">
        <v>45546.672534722224</v>
      </c>
      <c r="L725" s="5" t="n">
        <v>45546.0</v>
      </c>
      <c r="M725" s="3" t="inlineStr">
        <is>
          <t>Approved</t>
        </is>
      </c>
      <c r="N725" s="3" t="inlineStr">
        <is>
          <t>Available for Distribution, CLIX Filing, Site Close</t>
        </is>
      </c>
      <c r="O725" s="3" t="inlineStr">
        <is>
          <t>Czech Republic</t>
        </is>
      </c>
      <c r="P725" s="3" t="inlineStr">
        <is>
          <t>Z92-CZ10008</t>
        </is>
      </c>
      <c r="Q725" s="3" t="inlineStr">
        <is>
          <t>77242113UCO2001</t>
        </is>
      </c>
    </row>
    <row r="726">
      <c r="A726" s="2" t="str">
        <f>HYPERLINK("https://vtmf.veevavault.com/ui/#doc_info/27058098/1/0", "77242113UCO2001-CZE-Z92-CZ10008-Site Training Documentation-27 Feb 2024 (v1.0)")</f>
        <v>77242113UCO2001-CZE-Z92-CZ10008-Site Training Documentation-27 Feb 2024 (v1.0)</v>
      </c>
      <c r="B726" s="3" t="inlineStr">
        <is>
          <t>Lenka Placha</t>
        </is>
      </c>
      <c r="C726" s="3" t="inlineStr">
        <is>
          <t>Site Management</t>
        </is>
      </c>
      <c r="D726" s="3" t="inlineStr">
        <is>
          <t>Site Initiation</t>
        </is>
      </c>
      <c r="E726" s="3" t="inlineStr">
        <is>
          <t>Site Training Documentation</t>
        </is>
      </c>
      <c r="F726" s="3" t="inlineStr">
        <is>
          <t>IATA_SC Valentova Andrea _Initial_ 27Feb24-27Feb26</t>
        </is>
      </c>
      <c r="G726" s="2" t="str">
        <f>HYPERLINK("https://vtmf.veevavault.com/ui/#doc_info/27058098/1/0", "VTMF-21688846")</f>
        <v>VTMF-21688846</v>
      </c>
      <c r="H726" s="3" t="inlineStr">
        <is>
          <t/>
        </is>
      </c>
      <c r="I726" s="3" t="inlineStr">
        <is>
          <t>Anthony Suarez (veeva.com)</t>
        </is>
      </c>
      <c r="J726" s="3" t="inlineStr">
        <is>
          <t>Lenka Placha</t>
        </is>
      </c>
      <c r="K726" s="4" t="n">
        <v>45546.672534722224</v>
      </c>
      <c r="L726" s="5" t="n">
        <v>45546.0</v>
      </c>
      <c r="M726" s="3" t="inlineStr">
        <is>
          <t>Approved</t>
        </is>
      </c>
      <c r="N726" s="3" t="inlineStr">
        <is>
          <t>Available for Distribution, CLIX Filing, Site Close</t>
        </is>
      </c>
      <c r="O726" s="3" t="inlineStr">
        <is>
          <t>Czech Republic</t>
        </is>
      </c>
      <c r="P726" s="3" t="inlineStr">
        <is>
          <t>Z92-CZ10008</t>
        </is>
      </c>
      <c r="Q726" s="3" t="inlineStr">
        <is>
          <t>77242113UCO2001</t>
        </is>
      </c>
    </row>
    <row r="727">
      <c r="A727" s="2" t="str">
        <f>HYPERLINK("https://vtmf.veevavault.com/ui/#doc_info/24376385/1/0", "77242113UCO2001-CZE-Z92-CZ10008-Site Training Documentation-28 Jul 2022 (v1.0)")</f>
        <v>77242113UCO2001-CZE-Z92-CZ10008-Site Training Documentation-28 Jul 2022 (v1.0)</v>
      </c>
      <c r="B727" s="3" t="inlineStr">
        <is>
          <t>Jitka Kone</t>
        </is>
      </c>
      <c r="C727" s="3" t="inlineStr">
        <is>
          <t>Site Management</t>
        </is>
      </c>
      <c r="D727" s="3" t="inlineStr">
        <is>
          <t>Site Initiation</t>
        </is>
      </c>
      <c r="E727" s="3" t="inlineStr">
        <is>
          <t>Site Training Documentation</t>
        </is>
      </c>
      <c r="F727" s="3" t="inlineStr">
        <is>
          <t>REDACTED_M1_GCP Bortlik M_Nemocnice C Budejovice _CZ_ENG_ 77242113UCO2001_28Jul2022</t>
        </is>
      </c>
      <c r="G727" s="2" t="str">
        <f>HYPERLINK("https://vtmf.veevavault.com/ui/#doc_info/24376385/1/0", "VTMF-19358498")</f>
        <v>VTMF-19358498</v>
      </c>
      <c r="H727" s="3" t="inlineStr">
        <is>
          <t/>
        </is>
      </c>
      <c r="I727" s="3" t="inlineStr">
        <is>
          <t>Anthony Suarez (veeva.com)</t>
        </is>
      </c>
      <c r="J727" s="3" t="inlineStr">
        <is>
          <t>Jitka Kone</t>
        </is>
      </c>
      <c r="K727" s="4" t="n">
        <v>45110.6875</v>
      </c>
      <c r="L727" s="5" t="n">
        <v>45110.0</v>
      </c>
      <c r="M727" s="3" t="inlineStr">
        <is>
          <t>Approved</t>
        </is>
      </c>
      <c r="N727" s="3" t="inlineStr">
        <is>
          <t>Available for Distribution, CLIX Filing, Site Close</t>
        </is>
      </c>
      <c r="O727" s="3" t="inlineStr">
        <is>
          <t>Czech Republic</t>
        </is>
      </c>
      <c r="P727" s="3" t="inlineStr">
        <is>
          <t>Z92-CZ10008</t>
        </is>
      </c>
      <c r="Q727" s="3" t="inlineStr">
        <is>
          <t>77242113UCO2001</t>
        </is>
      </c>
    </row>
    <row r="728">
      <c r="A728" s="2" t="str">
        <f>HYPERLINK("https://vtmf.veevavault.com/ui/#doc_info/24374199/1/0", "77242113UCO2001-CZE-Z92-CZ10008-Site Training Documentation-28 Jun 2022 (v1.0)")</f>
        <v>77242113UCO2001-CZE-Z92-CZ10008-Site Training Documentation-28 Jun 2022 (v1.0)</v>
      </c>
      <c r="B728" s="3" t="inlineStr">
        <is>
          <t>Marketa Zachova</t>
        </is>
      </c>
      <c r="C728" s="3" t="inlineStr">
        <is>
          <t>Site Management</t>
        </is>
      </c>
      <c r="D728" s="3" t="inlineStr">
        <is>
          <t>Site Initiation</t>
        </is>
      </c>
      <c r="E728" s="3" t="inlineStr">
        <is>
          <t>Site Training Documentation</t>
        </is>
      </c>
      <c r="F728" s="3" t="inlineStr">
        <is>
          <t>M1_GCP Bortlik M_Nemocnice C Budejovice_CZ_ENG_77242113UCO2001_28Jul2022</t>
        </is>
      </c>
      <c r="G728" s="2" t="str">
        <f>HYPERLINK("https://vtmf.veevavault.com/ui/#doc_info/24374199/1/0", "VTMF-19356625")</f>
        <v>VTMF-19356625</v>
      </c>
      <c r="H728" s="3" t="inlineStr">
        <is>
          <t/>
        </is>
      </c>
      <c r="I728" s="3" t="inlineStr">
        <is>
          <t>Anthony Suarez (veeva.com)</t>
        </is>
      </c>
      <c r="J728" s="3" t="inlineStr">
        <is>
          <t>Marketa Zachova</t>
        </is>
      </c>
      <c r="K728" s="4" t="n">
        <v>45110.47179398148</v>
      </c>
      <c r="L728" s="5" t="n">
        <v>45110.0</v>
      </c>
      <c r="M728" s="3" t="inlineStr">
        <is>
          <t>Approved</t>
        </is>
      </c>
      <c r="N728" s="3" t="inlineStr">
        <is>
          <t>Available for Distribution, CLIX Filing, Site Close</t>
        </is>
      </c>
      <c r="O728" s="3" t="inlineStr">
        <is>
          <t>Czech Republic</t>
        </is>
      </c>
      <c r="P728" s="3" t="inlineStr">
        <is>
          <t>Z92-CZ10008</t>
        </is>
      </c>
      <c r="Q728" s="3" t="inlineStr">
        <is>
          <t>77242113UCO2001</t>
        </is>
      </c>
    </row>
    <row r="729">
      <c r="A729" s="2" t="str">
        <f>HYPERLINK("https://vtmf.veevavault.com/ui/#doc_info/24333439/1/0", "77242113UCO2001-CZE-Z92-CZ10008-Site/Staff Qualification Supporting Information (v1.0)")</f>
        <v>77242113UCO2001-CZE-Z92-CZ10008-Site/Staff Qualification Supporting Information (v1.0)</v>
      </c>
      <c r="B729" s="3" t="inlineStr">
        <is>
          <t>Marketa Zachova</t>
        </is>
      </c>
      <c r="C729" s="3" t="inlineStr">
        <is>
          <t>Site Management</t>
        </is>
      </c>
      <c r="D729" s="3" t="inlineStr">
        <is>
          <t>Site Set-up Documentation</t>
        </is>
      </c>
      <c r="E729" s="3" t="inlineStr">
        <is>
          <t>Site and Staff Qualification Supporting Information</t>
        </is>
      </c>
      <c r="F729" s="3" t="inlineStr">
        <is>
          <t>N1_Site Suitability Form Nemocnice C Budejovice_CZ_CZE_77242113UCO2001_v1_20Jun2023</t>
        </is>
      </c>
      <c r="G729" s="2" t="str">
        <f>HYPERLINK("https://vtmf.veevavault.com/ui/#doc_info/24333439/1/0", "VTMF-19321168")</f>
        <v>VTMF-19321168</v>
      </c>
      <c r="H729" s="3" t="inlineStr">
        <is>
          <t/>
        </is>
      </c>
      <c r="I729" s="3" t="inlineStr">
        <is>
          <t>Anthony Suarez (veeva.com)</t>
        </is>
      </c>
      <c r="J729" s="3" t="inlineStr">
        <is>
          <t>Marketa Zachova</t>
        </is>
      </c>
      <c r="K729" s="4" t="n">
        <v>45103.68195601852</v>
      </c>
      <c r="L729" s="5" t="n">
        <v>45103.0</v>
      </c>
      <c r="M729" s="3" t="inlineStr">
        <is>
          <t>Approved</t>
        </is>
      </c>
      <c r="N729" s="3" t="inlineStr">
        <is>
          <t>Available for Distribution, CLIX Filing, Site Close</t>
        </is>
      </c>
      <c r="O729" s="3" t="inlineStr">
        <is>
          <t>Czech Republic</t>
        </is>
      </c>
      <c r="P729" s="3" t="inlineStr">
        <is>
          <t>Z92-CZ10008</t>
        </is>
      </c>
      <c r="Q729" s="3" t="inlineStr">
        <is>
          <t>77242113UCO2001</t>
        </is>
      </c>
    </row>
    <row r="730">
      <c r="A730" s="2" t="str">
        <f>HYPERLINK("https://vtmf.veevavault.com/ui/#doc_info/24351356/1/0", "77242113UCO2001-CZE-Z92-CZ10008-Site/Staff Qualification Supporting Information (v1.0)")</f>
        <v>77242113UCO2001-CZE-Z92-CZ10008-Site/Staff Qualification Supporting Information (v1.0)</v>
      </c>
      <c r="B730" s="3" t="inlineStr">
        <is>
          <t>Jitka Kone</t>
        </is>
      </c>
      <c r="C730" s="3" t="inlineStr">
        <is>
          <t>Site Management</t>
        </is>
      </c>
      <c r="D730" s="3" t="inlineStr">
        <is>
          <t>Site Set-up Documentation</t>
        </is>
      </c>
      <c r="E730" s="3" t="inlineStr">
        <is>
          <t>Site and Staff Qualification Supporting Information</t>
        </is>
      </c>
      <c r="F730" s="3" t="inlineStr">
        <is>
          <t>REDACTED_N1_Site Suitability Form Nemocnice C Budejovice_CZ_CZE_77242113UCO2001_v1_20Jun2023</t>
        </is>
      </c>
      <c r="G730" s="2" t="str">
        <f>HYPERLINK("https://vtmf.veevavault.com/ui/#doc_info/24351356/1/0", "VTMF-19336692")</f>
        <v>VTMF-19336692</v>
      </c>
      <c r="H730" s="3" t="inlineStr">
        <is>
          <t/>
        </is>
      </c>
      <c r="I730" s="3" t="inlineStr">
        <is>
          <t>Anthony Suarez (veeva.com)</t>
        </is>
      </c>
      <c r="J730" s="3" t="inlineStr">
        <is>
          <t>Jitka Kone</t>
        </is>
      </c>
      <c r="K730" s="4" t="n">
        <v>45105.71328703704</v>
      </c>
      <c r="L730" s="5" t="n">
        <v>45105.0</v>
      </c>
      <c r="M730" s="3" t="inlineStr">
        <is>
          <t>Approved</t>
        </is>
      </c>
      <c r="N730" s="3" t="inlineStr">
        <is>
          <t>Available for Distribution, CLIX Filing, Site Close</t>
        </is>
      </c>
      <c r="O730" s="3" t="inlineStr">
        <is>
          <t>Czech Republic</t>
        </is>
      </c>
      <c r="P730" s="3" t="inlineStr">
        <is>
          <t>Z92-CZ10008</t>
        </is>
      </c>
      <c r="Q730" s="3" t="inlineStr">
        <is>
          <t>77242113UCO2001</t>
        </is>
      </c>
    </row>
    <row r="731">
      <c r="A731" s="2" t="str">
        <f>HYPERLINK("https://vtmf.veevavault.com/ui/#doc_info/29927914/1/0", "77242113UCO2001-CZE-Z92-CZ10008-Source Data-02 Sep 2025 (v1.0)")</f>
        <v>77242113UCO2001-CZE-Z92-CZ10008-Source Data-02 Sep 2025 (v1.0)</v>
      </c>
      <c r="B731" s="3" t="inlineStr">
        <is>
          <t>Lenka Placha</t>
        </is>
      </c>
      <c r="C731" s="3" t="inlineStr">
        <is>
          <t>Site Management</t>
        </is>
      </c>
      <c r="D731" s="3" t="inlineStr">
        <is>
          <t>Site Management</t>
        </is>
      </c>
      <c r="E731" s="3" t="inlineStr">
        <is>
          <t>Source Data</t>
        </is>
      </c>
      <c r="F731" s="3" t="inlineStr">
        <is>
          <t>Site confirmation video receipt form- ALIMENTIV_PI Bortlik Martin_02Sep2025- email 02Sep2025</t>
        </is>
      </c>
      <c r="G731" s="2" t="str">
        <f>HYPERLINK("https://vtmf.veevavault.com/ui/#doc_info/29927914/1/0", "VTMF-24091473")</f>
        <v>VTMF-24091473</v>
      </c>
      <c r="H731" s="3" t="inlineStr">
        <is>
          <t/>
        </is>
      </c>
      <c r="I731" s="3" t="inlineStr">
        <is>
          <t>System</t>
        </is>
      </c>
      <c r="J731" s="3" t="inlineStr">
        <is>
          <t>Lenka Placha</t>
        </is>
      </c>
      <c r="K731" s="4" t="n">
        <v>45910.76611111111</v>
      </c>
      <c r="L731" s="5" t="n">
        <v>45910.0</v>
      </c>
      <c r="M731" s="3" t="inlineStr">
        <is>
          <t>Approved</t>
        </is>
      </c>
      <c r="N731" s="3" t="inlineStr">
        <is>
          <t>Available for Distribution, CLIX Filing, Site Start</t>
        </is>
      </c>
      <c r="O731" s="3" t="inlineStr">
        <is>
          <t>Czech Republic</t>
        </is>
      </c>
      <c r="P731" s="3" t="inlineStr">
        <is>
          <t>Z92-CZ10008</t>
        </is>
      </c>
      <c r="Q731" s="3" t="inlineStr">
        <is>
          <t>77242113UCO2001</t>
        </is>
      </c>
    </row>
    <row r="732">
      <c r="A732" s="2" t="str">
        <f>HYPERLINK("https://vtmf.veevavault.com/ui/#doc_info/25554760/1/0", "77242113UCO2001-CZE-Z92-CZ10008-Source Data-23 Jan 2024 (v1.0)")</f>
        <v>77242113UCO2001-CZE-Z92-CZ10008-Source Data-23 Jan 2024 (v1.0)</v>
      </c>
      <c r="B732" s="3" t="inlineStr">
        <is>
          <t>VI-2153 Enterprise RPA Bot</t>
        </is>
      </c>
      <c r="C732" s="3" t="inlineStr">
        <is>
          <t>Site Management</t>
        </is>
      </c>
      <c r="D732" s="3" t="inlineStr">
        <is>
          <t>Site Management</t>
        </is>
      </c>
      <c r="E732" s="3" t="inlineStr">
        <is>
          <t>Source Data</t>
        </is>
      </c>
      <c r="F732" s="3" t="inlineStr">
        <is>
          <t>SDIAF-initial- 23Jan24</t>
        </is>
      </c>
      <c r="G732" s="2" t="str">
        <f>HYPERLINK("https://vtmf.veevavault.com/ui/#doc_info/25554760/1/0", "VTMF-20387231")</f>
        <v>VTMF-20387231</v>
      </c>
      <c r="H732" s="3" t="inlineStr">
        <is>
          <t/>
        </is>
      </c>
      <c r="I732" s="3" t="inlineStr">
        <is>
          <t>Anthony Suarez (veeva.com)</t>
        </is>
      </c>
      <c r="J732" s="3" t="inlineStr">
        <is>
          <t>VI-2153 Enterprise RPA Bot</t>
        </is>
      </c>
      <c r="K732" s="4" t="n">
        <v>45314.546631944446</v>
      </c>
      <c r="L732" s="5" t="n">
        <v>45315.0</v>
      </c>
      <c r="M732" s="3" t="inlineStr">
        <is>
          <t>Approved</t>
        </is>
      </c>
      <c r="N732" s="3" t="inlineStr">
        <is>
          <t>Available for Distribution, CLIX Filing, Site Close</t>
        </is>
      </c>
      <c r="O732" s="3" t="inlineStr">
        <is>
          <t>Czech Republic</t>
        </is>
      </c>
      <c r="P732" s="3" t="inlineStr">
        <is>
          <t>Z92-CZ10008</t>
        </is>
      </c>
      <c r="Q732" s="3" t="inlineStr">
        <is>
          <t>77242113UCO2001</t>
        </is>
      </c>
    </row>
    <row r="733">
      <c r="A733" s="2" t="str">
        <f>HYPERLINK("https://vtmf.veevavault.com/ui/#doc_info/25612520/1/0", "77242113UCO2001-CZE-Z92-CZ10008-Source Data-23 Jan 2024 (v1.0)")</f>
        <v>77242113UCO2001-CZE-Z92-CZ10008-Source Data-23 Jan 2024 (v1.0)</v>
      </c>
      <c r="B733" s="3" t="inlineStr">
        <is>
          <t>Lenka Placha</t>
        </is>
      </c>
      <c r="C733" s="3" t="inlineStr">
        <is>
          <t>Site Management</t>
        </is>
      </c>
      <c r="D733" s="3" t="inlineStr">
        <is>
          <t>Site Management</t>
        </is>
      </c>
      <c r="E733" s="3" t="inlineStr">
        <is>
          <t>Source Data</t>
        </is>
      </c>
      <c r="F733" s="3" t="inlineStr">
        <is>
          <t>PI statement -source documentation_ 23Jan24</t>
        </is>
      </c>
      <c r="G733" s="2" t="str">
        <f>HYPERLINK("https://vtmf.veevavault.com/ui/#doc_info/25612520/1/0", "VTMF-20437683")</f>
        <v>VTMF-20437683</v>
      </c>
      <c r="H733" s="3" t="inlineStr">
        <is>
          <t/>
        </is>
      </c>
      <c r="I733" s="3" t="inlineStr">
        <is>
          <t>Anthony Suarez (veeva.com)</t>
        </is>
      </c>
      <c r="J733" s="3" t="inlineStr">
        <is>
          <t>Lenka Placha</t>
        </is>
      </c>
      <c r="K733" s="4" t="n">
        <v>45322.4146875</v>
      </c>
      <c r="L733" s="5" t="n">
        <v>45322.0</v>
      </c>
      <c r="M733" s="3" t="inlineStr">
        <is>
          <t>Approved</t>
        </is>
      </c>
      <c r="N733" s="3" t="inlineStr">
        <is>
          <t>Available for Distribution, CLIX Filing, Site Close</t>
        </is>
      </c>
      <c r="O733" s="3" t="inlineStr">
        <is>
          <t>Czech Republic</t>
        </is>
      </c>
      <c r="P733" s="3" t="inlineStr">
        <is>
          <t>Z92-CZ10008</t>
        </is>
      </c>
      <c r="Q733" s="3" t="inlineStr">
        <is>
          <t>77242113UCO2001</t>
        </is>
      </c>
    </row>
    <row r="734">
      <c r="A734" s="2" t="str">
        <f>HYPERLINK("https://vtmf.veevavault.com/ui/#doc_info/26267959/1/0", "77242113UCO2001-CZE-Z92-CZ10008-Sub-Investigator Curriculum Vitae-18 Jan 2024 (v1.0)")</f>
        <v>77242113UCO2001-CZE-Z92-CZ10008-Sub-Investigator Curriculum Vitae-18 Jan 2024 (v1.0)</v>
      </c>
      <c r="B734" s="3" t="inlineStr">
        <is>
          <t>Lenka Placha</t>
        </is>
      </c>
      <c r="C734" s="3" t="inlineStr">
        <is>
          <t>Site Management</t>
        </is>
      </c>
      <c r="D734" s="3" t="inlineStr">
        <is>
          <t>Site Set-up Documentation</t>
        </is>
      </c>
      <c r="E734" s="3" t="inlineStr">
        <is>
          <t>Sub-Investigator Curriculum Vitae</t>
        </is>
      </c>
      <c r="F734" s="3" t="inlineStr">
        <is>
          <t>CV SI EN Stepanek Vaclav_initial_18Jan24</t>
        </is>
      </c>
      <c r="G734" s="2" t="str">
        <f>HYPERLINK("https://vtmf.veevavault.com/ui/#doc_info/26267959/1/0", "VTMF-21013720")</f>
        <v>VTMF-21013720</v>
      </c>
      <c r="H734" s="3" t="inlineStr">
        <is>
          <t/>
        </is>
      </c>
      <c r="I734" s="3" t="inlineStr">
        <is>
          <t>Anthony Suarez (veeva.com)</t>
        </is>
      </c>
      <c r="J734" s="3" t="inlineStr">
        <is>
          <t>Lenka Placha</t>
        </is>
      </c>
      <c r="K734" s="4" t="n">
        <v>45418.972650462965</v>
      </c>
      <c r="L734" s="5" t="n">
        <v>45418.0</v>
      </c>
      <c r="M734" s="3" t="inlineStr">
        <is>
          <t>Approved</t>
        </is>
      </c>
      <c r="N734" s="3" t="inlineStr">
        <is>
          <t>Available for Distribution, CLIX Filing, Site Close</t>
        </is>
      </c>
      <c r="O734" s="3" t="inlineStr">
        <is>
          <t>Czech Republic</t>
        </is>
      </c>
      <c r="P734" s="3" t="inlineStr">
        <is>
          <t>Z92-CZ10008</t>
        </is>
      </c>
      <c r="Q734" s="3" t="inlineStr">
        <is>
          <t>77242113UCO2001</t>
        </is>
      </c>
    </row>
    <row r="735">
      <c r="A735" s="2" t="str">
        <f>HYPERLINK("https://vtmf.veevavault.com/ui/#doc_info/27058844/1/0", "77242113UCO2001-CZE-Z92-CZ10008-Sub-Investigator Curriculum Vitae-23 Jan 2024 (v1.0)")</f>
        <v>77242113UCO2001-CZE-Z92-CZ10008-Sub-Investigator Curriculum Vitae-23 Jan 2024 (v1.0)</v>
      </c>
      <c r="B735" s="3" t="inlineStr">
        <is>
          <t>Lenka Placha</t>
        </is>
      </c>
      <c r="C735" s="3" t="inlineStr">
        <is>
          <t>Site Management</t>
        </is>
      </c>
      <c r="D735" s="3" t="inlineStr">
        <is>
          <t>Site Set-up Documentation</t>
        </is>
      </c>
      <c r="E735" s="3" t="inlineStr">
        <is>
          <t>Sub-Investigator Curriculum Vitae</t>
        </is>
      </c>
      <c r="F735" s="3" t="inlineStr">
        <is>
          <t>CV_SI_EN_Krlinova Ivana_initial_23Jan24</t>
        </is>
      </c>
      <c r="G735" s="2" t="str">
        <f>HYPERLINK("https://vtmf.veevavault.com/ui/#doc_info/27058844/1/0", "VTMF-21689463")</f>
        <v>VTMF-21689463</v>
      </c>
      <c r="H735" s="3" t="inlineStr">
        <is>
          <t/>
        </is>
      </c>
      <c r="I735" s="3" t="inlineStr">
        <is>
          <t>Anthony Suarez (veeva.com)</t>
        </is>
      </c>
      <c r="J735" s="3" t="inlineStr">
        <is>
          <t>Lenka Placha</t>
        </is>
      </c>
      <c r="K735" s="4" t="n">
        <v>45546.75796296296</v>
      </c>
      <c r="L735" s="5" t="n">
        <v>45546.0</v>
      </c>
      <c r="M735" s="3" t="inlineStr">
        <is>
          <t>Approved</t>
        </is>
      </c>
      <c r="N735" s="3" t="inlineStr">
        <is>
          <t>Available for Distribution, CLIX Filing, Site Close</t>
        </is>
      </c>
      <c r="O735" s="3" t="inlineStr">
        <is>
          <t>Czech Republic</t>
        </is>
      </c>
      <c r="P735" s="3" t="inlineStr">
        <is>
          <t>Z92-CZ10008</t>
        </is>
      </c>
      <c r="Q735" s="3" t="inlineStr">
        <is>
          <t>77242113UCO2001</t>
        </is>
      </c>
    </row>
    <row r="736">
      <c r="A736" s="2" t="str">
        <f>HYPERLINK("https://vtmf.veevavault.com/ui/#doc_info/27058845/1/0", "77242113UCO2001-CZE-Z92-CZ10008-Sub-Investigator Curriculum Vitae-23 Jan 2024 (v1.0)")</f>
        <v>77242113UCO2001-CZE-Z92-CZ10008-Sub-Investigator Curriculum Vitae-23 Jan 2024 (v1.0)</v>
      </c>
      <c r="B736" s="3" t="inlineStr">
        <is>
          <t>Lenka Placha</t>
        </is>
      </c>
      <c r="C736" s="3" t="inlineStr">
        <is>
          <t>Site Management</t>
        </is>
      </c>
      <c r="D736" s="3" t="inlineStr">
        <is>
          <t>Site Set-up Documentation</t>
        </is>
      </c>
      <c r="E736" s="3" t="inlineStr">
        <is>
          <t>Sub-Investigator Curriculum Vitae</t>
        </is>
      </c>
      <c r="F736" s="3" t="inlineStr">
        <is>
          <t>CV_SI_EN_Rucklova Ivana_initial_23Jan24</t>
        </is>
      </c>
      <c r="G736" s="2" t="str">
        <f>HYPERLINK("https://vtmf.veevavault.com/ui/#doc_info/27058845/1/0", "VTMF-21689464")</f>
        <v>VTMF-21689464</v>
      </c>
      <c r="H736" s="3" t="inlineStr">
        <is>
          <t/>
        </is>
      </c>
      <c r="I736" s="3" t="inlineStr">
        <is>
          <t>Anthony Suarez (veeva.com)</t>
        </is>
      </c>
      <c r="J736" s="3" t="inlineStr">
        <is>
          <t>Lenka Placha</t>
        </is>
      </c>
      <c r="K736" s="4" t="n">
        <v>45546.75796296296</v>
      </c>
      <c r="L736" s="5" t="n">
        <v>45546.0</v>
      </c>
      <c r="M736" s="3" t="inlineStr">
        <is>
          <t>Approved</t>
        </is>
      </c>
      <c r="N736" s="3" t="inlineStr">
        <is>
          <t>Available for Distribution, CLIX Filing, Site Close</t>
        </is>
      </c>
      <c r="O736" s="3" t="inlineStr">
        <is>
          <t>Czech Republic</t>
        </is>
      </c>
      <c r="P736" s="3" t="inlineStr">
        <is>
          <t>Z92-CZ10008</t>
        </is>
      </c>
      <c r="Q736" s="3" t="inlineStr">
        <is>
          <t>77242113UCO2001</t>
        </is>
      </c>
    </row>
    <row r="737">
      <c r="A737" s="2" t="str">
        <f>HYPERLINK("https://vtmf.veevavault.com/ui/#doc_info/27058846/1/0", "77242113UCO2001-CZE-Z92-CZ10008-Sub-Investigator Curriculum Vitae-23 Jan 2024 (v1.0)")</f>
        <v>77242113UCO2001-CZE-Z92-CZ10008-Sub-Investigator Curriculum Vitae-23 Jan 2024 (v1.0)</v>
      </c>
      <c r="B737" s="3" t="inlineStr">
        <is>
          <t>Lenka Placha</t>
        </is>
      </c>
      <c r="C737" s="3" t="inlineStr">
        <is>
          <t>Site Management</t>
        </is>
      </c>
      <c r="D737" s="3" t="inlineStr">
        <is>
          <t>Site Set-up Documentation</t>
        </is>
      </c>
      <c r="E737" s="3" t="inlineStr">
        <is>
          <t>Sub-Investigator Curriculum Vitae</t>
        </is>
      </c>
      <c r="F737" s="3" t="inlineStr">
        <is>
          <t>CV_SI_EN_Machytka Petr_initial_23Jan24</t>
        </is>
      </c>
      <c r="G737" s="2" t="str">
        <f>HYPERLINK("https://vtmf.veevavault.com/ui/#doc_info/27058846/1/0", "VTMF-21689465")</f>
        <v>VTMF-21689465</v>
      </c>
      <c r="H737" s="3" t="inlineStr">
        <is>
          <t/>
        </is>
      </c>
      <c r="I737" s="3" t="inlineStr">
        <is>
          <t>Anthony Suarez (veeva.com)</t>
        </is>
      </c>
      <c r="J737" s="3" t="inlineStr">
        <is>
          <t>Lenka Placha</t>
        </is>
      </c>
      <c r="K737" s="4" t="n">
        <v>45546.75796296296</v>
      </c>
      <c r="L737" s="5" t="n">
        <v>45546.0</v>
      </c>
      <c r="M737" s="3" t="inlineStr">
        <is>
          <t>Approved</t>
        </is>
      </c>
      <c r="N737" s="3" t="inlineStr">
        <is>
          <t>Available for Distribution, CLIX Filing, Site Close</t>
        </is>
      </c>
      <c r="O737" s="3" t="inlineStr">
        <is>
          <t>Czech Republic</t>
        </is>
      </c>
      <c r="P737" s="3" t="inlineStr">
        <is>
          <t>Z92-CZ10008</t>
        </is>
      </c>
      <c r="Q737" s="3" t="inlineStr">
        <is>
          <t>77242113UCO2001</t>
        </is>
      </c>
    </row>
    <row r="738">
      <c r="A738" s="2" t="str">
        <f>HYPERLINK("https://vtmf.veevavault.com/ui/#doc_info/31251353/1/0", "77242113UCO2001-CZE-Z92-CZ10008-Subject Screening Log-10 Mar 2026 (v1.0)")</f>
        <v>77242113UCO2001-CZE-Z92-CZ10008-Subject Screening Log-10 Mar 2026 (v1.0)</v>
      </c>
      <c r="B738" s="3" t="inlineStr">
        <is>
          <t>Bela Lukavcová</t>
        </is>
      </c>
      <c r="C738" s="3" t="inlineStr">
        <is>
          <t>Site Management</t>
        </is>
      </c>
      <c r="D738" s="3" t="inlineStr">
        <is>
          <t>Site Management</t>
        </is>
      </c>
      <c r="E738" s="3" t="inlineStr">
        <is>
          <t>Subject Screening Log</t>
        </is>
      </c>
      <c r="F738" s="3" t="inlineStr">
        <is>
          <t>Subject Screening Log</t>
        </is>
      </c>
      <c r="G738" s="2" t="str">
        <f>HYPERLINK("https://vtmf.veevavault.com/ui/#doc_info/31251353/1/0", "VTMF-25204478")</f>
        <v>VTMF-25204478</v>
      </c>
      <c r="H738" s="3" t="inlineStr">
        <is>
          <t/>
        </is>
      </c>
      <c r="I738" s="3" t="inlineStr">
        <is>
          <t>System</t>
        </is>
      </c>
      <c r="J738" s="3" t="inlineStr">
        <is>
          <t>Bela Lukavcová</t>
        </is>
      </c>
      <c r="K738" s="4" t="n">
        <v>46104.468136574076</v>
      </c>
      <c r="L738" s="5" t="n">
        <v>46104.0</v>
      </c>
      <c r="M738" s="3" t="inlineStr">
        <is>
          <t>Approved</t>
        </is>
      </c>
      <c r="N738" s="3" t="inlineStr">
        <is>
          <t>Available for Distribution, CLIX Filing, Site Close</t>
        </is>
      </c>
      <c r="O738" s="3" t="inlineStr">
        <is>
          <t>Czech Republic</t>
        </is>
      </c>
      <c r="P738" s="3" t="inlineStr">
        <is>
          <t>Z92-CZ10008</t>
        </is>
      </c>
      <c r="Q738" s="3" t="inlineStr">
        <is>
          <t>77242113UCO2001</t>
        </is>
      </c>
    </row>
    <row r="739">
      <c r="A739" s="2" t="str">
        <f>HYPERLINK("https://vtmf.veevavault.com/ui/#doc_info/29533600/1/0", "77242113UCO2001-CZE-Z92-CZ10008-Subject Screening Log-12 May 2025 (v1.0)")</f>
        <v>77242113UCO2001-CZE-Z92-CZ10008-Subject Screening Log-12 May 2025 (v1.0)</v>
      </c>
      <c r="B739" s="3" t="inlineStr">
        <is>
          <t>Lenka Placha</t>
        </is>
      </c>
      <c r="C739" s="3" t="inlineStr">
        <is>
          <t>Site Management</t>
        </is>
      </c>
      <c r="D739" s="3" t="inlineStr">
        <is>
          <t>Site Management</t>
        </is>
      </c>
      <c r="E739" s="3" t="inlineStr">
        <is>
          <t>Subject Screening Log</t>
        </is>
      </c>
      <c r="F739" s="3" t="inlineStr">
        <is>
          <t>Subject screening log- site Z92-CZ100008_12May2025</t>
        </is>
      </c>
      <c r="G739" s="2" t="str">
        <f>HYPERLINK("https://vtmf.veevavault.com/ui/#doc_info/29533600/1/0", "VTMF-23753768")</f>
        <v>VTMF-23753768</v>
      </c>
      <c r="H739" s="3" t="inlineStr">
        <is>
          <t/>
        </is>
      </c>
      <c r="I739" s="3" t="inlineStr">
        <is>
          <t>System</t>
        </is>
      </c>
      <c r="J739" s="3" t="inlineStr">
        <is>
          <t>Lenka Placha</t>
        </is>
      </c>
      <c r="K739" s="4" t="n">
        <v>45848.655798611115</v>
      </c>
      <c r="L739" s="5" t="n">
        <v>45848.0</v>
      </c>
      <c r="M739" s="3" t="inlineStr">
        <is>
          <t>Approved</t>
        </is>
      </c>
      <c r="N739" s="3" t="inlineStr">
        <is>
          <t>Available for Distribution, CLIX Filing, Site Close</t>
        </is>
      </c>
      <c r="O739" s="3" t="inlineStr">
        <is>
          <t>Czech Republic</t>
        </is>
      </c>
      <c r="P739" s="3" t="inlineStr">
        <is>
          <t>Z92-CZ10008</t>
        </is>
      </c>
      <c r="Q739" s="3" t="inlineStr">
        <is>
          <t>77242113UCO2001</t>
        </is>
      </c>
    </row>
    <row r="740">
      <c r="A740" s="2" t="str">
        <f>HYPERLINK("https://vtmf.veevavault.com/ui/#doc_info/27659408/2/0", "77242113UCO2001-CZE-Z92-CZ10008-Subject Screening Log-19 Nov 2024 (v2.0)")</f>
        <v>77242113UCO2001-CZE-Z92-CZ10008-Subject Screening Log-19 Nov 2024 (v2.0)</v>
      </c>
      <c r="B740" s="3" t="inlineStr">
        <is>
          <t>Lenka Placha</t>
        </is>
      </c>
      <c r="C740" s="3" t="inlineStr">
        <is>
          <t>Site Management</t>
        </is>
      </c>
      <c r="D740" s="3" t="inlineStr">
        <is>
          <t>Site Management</t>
        </is>
      </c>
      <c r="E740" s="3" t="inlineStr">
        <is>
          <t>Subject Screening Log</t>
        </is>
      </c>
      <c r="F740" s="3" t="inlineStr">
        <is>
          <t>Subject screening log site Z92-CZ10008_final 19Nov24</t>
        </is>
      </c>
      <c r="G740" s="2" t="str">
        <f>HYPERLINK("https://vtmf.veevavault.com/ui/#doc_info/27659408/2/0", "VTMF-22202799")</f>
        <v>VTMF-22202799</v>
      </c>
      <c r="H740" s="3" t="inlineStr">
        <is>
          <t/>
        </is>
      </c>
      <c r="I740" s="3" t="inlineStr">
        <is>
          <t>System</t>
        </is>
      </c>
      <c r="J740" s="3" t="inlineStr">
        <is>
          <t>Lenka Placha</t>
        </is>
      </c>
      <c r="K740" s="4" t="n">
        <v>45664.574155092596</v>
      </c>
      <c r="L740" s="5" t="n">
        <v>45664.0</v>
      </c>
      <c r="M740" s="3" t="inlineStr">
        <is>
          <t>Approved</t>
        </is>
      </c>
      <c r="N740" s="3" t="inlineStr">
        <is>
          <t>Available for Distribution, CLIX Filing, Site Close</t>
        </is>
      </c>
      <c r="O740" s="3" t="inlineStr">
        <is>
          <t>Czech Republic</t>
        </is>
      </c>
      <c r="P740" s="3" t="inlineStr">
        <is>
          <t>Z92-CZ10008</t>
        </is>
      </c>
      <c r="Q740" s="3" t="inlineStr">
        <is>
          <t>77242113UCO2001</t>
        </is>
      </c>
    </row>
    <row r="741">
      <c r="A741" s="2" t="str">
        <f>HYPERLINK("https://vtmf.veevavault.com/ui/#doc_info/29916452/2/0", "77242113UCO2001-CZE-Z92-CZ10008-Subject Screening Log-23 Sep 2025 (v2.0)")</f>
        <v>77242113UCO2001-CZE-Z92-CZ10008-Subject Screening Log-23 Sep 2025 (v2.0)</v>
      </c>
      <c r="B741" s="3" t="inlineStr">
        <is>
          <t>Lenka Placha</t>
        </is>
      </c>
      <c r="C741" s="3" t="inlineStr">
        <is>
          <t>Site Management</t>
        </is>
      </c>
      <c r="D741" s="3" t="inlineStr">
        <is>
          <t>Site Management</t>
        </is>
      </c>
      <c r="E741" s="3" t="inlineStr">
        <is>
          <t>Subject Screening Log</t>
        </is>
      </c>
      <c r="F741" s="3" t="inlineStr">
        <is>
          <t>ICF log site Z92-CZ10008 04Jun25</t>
        </is>
      </c>
      <c r="G741" s="2" t="str">
        <f>HYPERLINK("https://vtmf.veevavault.com/ui/#doc_info/29916452/2/0", "VTMF-24081893")</f>
        <v>VTMF-24081893</v>
      </c>
      <c r="H741" s="3" t="inlineStr">
        <is>
          <t/>
        </is>
      </c>
      <c r="I741" s="3" t="inlineStr">
        <is>
          <t>System</t>
        </is>
      </c>
      <c r="J741" s="3" t="inlineStr">
        <is>
          <t>Agnesa Ruiz Kajtarova</t>
        </is>
      </c>
      <c r="K741" s="4" t="n">
        <v>45930.66849537037</v>
      </c>
      <c r="L741" s="5" t="n">
        <v>45930.0</v>
      </c>
      <c r="M741" s="3" t="inlineStr">
        <is>
          <t>Approved</t>
        </is>
      </c>
      <c r="N741" s="3" t="inlineStr">
        <is>
          <t>Available for Distribution, CLIX Filing, Site Close</t>
        </is>
      </c>
      <c r="O741" s="3" t="inlineStr">
        <is>
          <t>Czech Republic</t>
        </is>
      </c>
      <c r="P741" s="3" t="inlineStr">
        <is>
          <t>Z92-CZ10008</t>
        </is>
      </c>
      <c r="Q741" s="3" t="inlineStr">
        <is>
          <t>77242113UCO2001</t>
        </is>
      </c>
    </row>
    <row r="742">
      <c r="A742" s="2" t="str">
        <f>HYPERLINK("https://vtmf.veevavault.com/ui/#doc_info/29332182/1/0", "77242113UCO2001-CZE-Z92-CZ10008-Temperature Monitor Validation/Calibration Cert.-03 Jun 2025 (v1.0)")</f>
        <v>77242113UCO2001-CZE-Z92-CZ10008-Temperature Monitor Validation/Calibration Cert.-03 Jun 2025 (v1.0)</v>
      </c>
      <c r="B742" s="3" t="inlineStr">
        <is>
          <t>Jitka Kone</t>
        </is>
      </c>
      <c r="C742" s="3" t="inlineStr">
        <is>
          <t>IP and Trial Supplies</t>
        </is>
      </c>
      <c r="D742" s="3" t="inlineStr">
        <is>
          <t>Storage</t>
        </is>
      </c>
      <c r="E742" s="3" t="inlineStr">
        <is>
          <t>Temperature Monitor Validation/Calibration Certificates</t>
        </is>
      </c>
      <c r="F742" s="3" t="inlineStr">
        <is>
          <t>Calibration certificate thermometer KLT-25K-6310</t>
        </is>
      </c>
      <c r="G742" s="2" t="str">
        <f>HYPERLINK("https://vtmf.veevavault.com/ui/#doc_info/29332182/1/0", "VTMF-23579536")</f>
        <v>VTMF-23579536</v>
      </c>
      <c r="H742" s="3" t="inlineStr">
        <is>
          <t/>
        </is>
      </c>
      <c r="I742" s="3" t="inlineStr">
        <is>
          <t>System</t>
        </is>
      </c>
      <c r="J742" s="3" t="inlineStr">
        <is>
          <t>Jitka Kone</t>
        </is>
      </c>
      <c r="K742" s="4" t="n">
        <v>45819.579884259256</v>
      </c>
      <c r="L742" s="5" t="n">
        <v>45819.0</v>
      </c>
      <c r="M742" s="3" t="inlineStr">
        <is>
          <t>Approved</t>
        </is>
      </c>
      <c r="N742" s="3" t="inlineStr">
        <is>
          <t>Available for Distribution, CLIX Filing, Country Close, Site Close, Study Close</t>
        </is>
      </c>
      <c r="O742" s="3" t="inlineStr">
        <is>
          <t>Czech Republic</t>
        </is>
      </c>
      <c r="P742" s="3" t="inlineStr">
        <is>
          <t>Z92-CZ10008</t>
        </is>
      </c>
      <c r="Q742" s="3" t="inlineStr">
        <is>
          <t>77242113UCO2001</t>
        </is>
      </c>
    </row>
    <row r="743">
      <c r="A743" s="2" t="str">
        <f>HYPERLINK("https://vtmf.veevavault.com/ui/#doc_info/26071399/1/0", "77242113UCO2001-CZE-Z92-CZ10008-Temperature Monitor Validation/Calibration Cert.-04 Jul 2023 (v1.0)")</f>
        <v>77242113UCO2001-CZE-Z92-CZ10008-Temperature Monitor Validation/Calibration Cert.-04 Jul 2023 (v1.0)</v>
      </c>
      <c r="B743" s="3" t="inlineStr">
        <is>
          <t>Jitka Kone</t>
        </is>
      </c>
      <c r="C743" s="3" t="inlineStr">
        <is>
          <t>IP and Trial Supplies</t>
        </is>
      </c>
      <c r="D743" s="3" t="inlineStr">
        <is>
          <t>Storage</t>
        </is>
      </c>
      <c r="E743" s="3" t="inlineStr">
        <is>
          <t>Temperature Monitor Validation/Calibration Certificates</t>
        </is>
      </c>
      <c r="F743" s="3" t="inlineStr">
        <is>
          <t>Calibration Certificate KLT-23K-6202_04Jul23</t>
        </is>
      </c>
      <c r="G743" s="2" t="str">
        <f>HYPERLINK("https://vtmf.veevavault.com/ui/#doc_info/26071399/1/0", "VTMF-20842847")</f>
        <v>VTMF-20842847</v>
      </c>
      <c r="H743" s="3" t="inlineStr">
        <is>
          <t/>
        </is>
      </c>
      <c r="I743" s="3" t="inlineStr">
        <is>
          <t>Anthony Suarez (veeva.com)</t>
        </is>
      </c>
      <c r="J743" s="3" t="inlineStr">
        <is>
          <t>Jitka Kone</t>
        </is>
      </c>
      <c r="K743" s="4" t="n">
        <v>45387.512037037035</v>
      </c>
      <c r="L743" s="5" t="n">
        <v>45387.0</v>
      </c>
      <c r="M743" s="3" t="inlineStr">
        <is>
          <t>Approved</t>
        </is>
      </c>
      <c r="N743" s="3" t="inlineStr">
        <is>
          <t>Available for Distribution, CLIX Filing, Site Close</t>
        </is>
      </c>
      <c r="O743" s="3" t="inlineStr">
        <is>
          <t>Czech Republic</t>
        </is>
      </c>
      <c r="P743" s="3" t="inlineStr">
        <is>
          <t>Z92-CZ10008</t>
        </is>
      </c>
      <c r="Q743" s="3" t="inlineStr">
        <is>
          <t>77242113UCO2001</t>
        </is>
      </c>
    </row>
    <row r="744">
      <c r="A744" s="2" t="str">
        <f>HYPERLINK("https://vtmf.veevavault.com/ui/#doc_info/27058335/1/0", "77242113UCO2001-CZE-Z92-CZ10008-Temperature Monitor Validation/Calibration Cert.-13 Jun 2024 (v1.0)")</f>
        <v>77242113UCO2001-CZE-Z92-CZ10008-Temperature Monitor Validation/Calibration Cert.-13 Jun 2024 (v1.0)</v>
      </c>
      <c r="B744" s="3" t="inlineStr">
        <is>
          <t>Lenka Placha</t>
        </is>
      </c>
      <c r="C744" s="3" t="inlineStr">
        <is>
          <t>IP and Trial Supplies</t>
        </is>
      </c>
      <c r="D744" s="3" t="inlineStr">
        <is>
          <t>Storage</t>
        </is>
      </c>
      <c r="E744" s="3" t="inlineStr">
        <is>
          <t>Temperature Monitor Validation/Calibration Certificates</t>
        </is>
      </c>
      <c r="F744" s="3" t="inlineStr">
        <is>
          <t>Calibration Certificate KLT-24K-5254_13Jun24</t>
        </is>
      </c>
      <c r="G744" s="2" t="str">
        <f>HYPERLINK("https://vtmf.veevavault.com/ui/#doc_info/27058335/1/0", "VTMF-21689024")</f>
        <v>VTMF-21689024</v>
      </c>
      <c r="H744" s="3" t="inlineStr">
        <is>
          <t/>
        </is>
      </c>
      <c r="I744" s="3" t="inlineStr">
        <is>
          <t>Anthony Suarez (veeva.com)</t>
        </is>
      </c>
      <c r="J744" s="3" t="inlineStr">
        <is>
          <t>Lenka Placha</t>
        </is>
      </c>
      <c r="K744" s="4" t="n">
        <v>45546.69886574074</v>
      </c>
      <c r="L744" s="5" t="n">
        <v>45546.0</v>
      </c>
      <c r="M744" s="3" t="inlineStr">
        <is>
          <t>Approved</t>
        </is>
      </c>
      <c r="N744" s="3" t="inlineStr">
        <is>
          <t>Available for Distribution, CLIX Filing, Site Close</t>
        </is>
      </c>
      <c r="O744" s="3" t="inlineStr">
        <is>
          <t>Czech Republic</t>
        </is>
      </c>
      <c r="P744" s="3" t="inlineStr">
        <is>
          <t>Z92-CZ10008</t>
        </is>
      </c>
      <c r="Q744" s="3" t="inlineStr">
        <is>
          <t>77242113UCO2001</t>
        </is>
      </c>
    </row>
    <row r="745">
      <c r="A745" s="2" t="str">
        <f>HYPERLINK("https://vtmf.veevavault.com/ui/#doc_info/27112306/1/0", "77242113UCO2001-CZE-Z92-CZ10008-Temperature Monitor Validation/Calibration Cert.-16 Jun 2024 (v1.0)")</f>
        <v>77242113UCO2001-CZE-Z92-CZ10008-Temperature Monitor Validation/Calibration Cert.-16 Jun 2024 (v1.0)</v>
      </c>
      <c r="B745" s="3" t="inlineStr">
        <is>
          <t>Jitka Kone</t>
        </is>
      </c>
      <c r="C745" s="3" t="inlineStr">
        <is>
          <t>IP and Trial Supplies</t>
        </is>
      </c>
      <c r="D745" s="3" t="inlineStr">
        <is>
          <t>Storage</t>
        </is>
      </c>
      <c r="E745" s="3" t="inlineStr">
        <is>
          <t>Temperature Monitor Validation/Calibration Certificates</t>
        </is>
      </c>
      <c r="F745" s="3" t="inlineStr">
        <is>
          <t>Calibration certificate KLT-24K-5429</t>
        </is>
      </c>
      <c r="G745" s="2" t="str">
        <f>HYPERLINK("https://vtmf.veevavault.com/ui/#doc_info/27112306/1/0", "VTMF-21734374")</f>
        <v>VTMF-21734374</v>
      </c>
      <c r="H745" s="3" t="inlineStr">
        <is>
          <t/>
        </is>
      </c>
      <c r="I745" s="3" t="inlineStr">
        <is>
          <t>Anthony Suarez (veeva.com)</t>
        </is>
      </c>
      <c r="J745" s="3" t="inlineStr">
        <is>
          <t>Jitka Kone</t>
        </is>
      </c>
      <c r="K745" s="4" t="n">
        <v>45555.491527777776</v>
      </c>
      <c r="L745" s="5" t="n">
        <v>45555.0</v>
      </c>
      <c r="M745" s="3" t="inlineStr">
        <is>
          <t>Approved</t>
        </is>
      </c>
      <c r="N745" s="3" t="inlineStr">
        <is>
          <t>Available for Distribution, CLIX Filing, Site Close</t>
        </is>
      </c>
      <c r="O745" s="3" t="inlineStr">
        <is>
          <t>Czech Republic</t>
        </is>
      </c>
      <c r="P745" s="3" t="inlineStr">
        <is>
          <t>Z92-CZ10008</t>
        </is>
      </c>
      <c r="Q745" s="3" t="inlineStr">
        <is>
          <t>77242113UCO2001</t>
        </is>
      </c>
    </row>
    <row r="746">
      <c r="A746" s="2" t="str">
        <f>HYPERLINK("https://vtmf.veevavault.com/ui/#doc_info/29332175/1/0", "77242113UCO2001-CZE-Z92-CZ10008-Temperature Monitor Validation/Calibration Cert.-23 May 2025 (v1.0)")</f>
        <v>77242113UCO2001-CZE-Z92-CZ10008-Temperature Monitor Validation/Calibration Cert.-23 May 2025 (v1.0)</v>
      </c>
      <c r="B746" s="3" t="inlineStr">
        <is>
          <t>Jitka Kone</t>
        </is>
      </c>
      <c r="C746" s="3" t="inlineStr">
        <is>
          <t>IP and Trial Supplies</t>
        </is>
      </c>
      <c r="D746" s="3" t="inlineStr">
        <is>
          <t>Storage</t>
        </is>
      </c>
      <c r="E746" s="3" t="inlineStr">
        <is>
          <t>Temperature Monitor Validation/Calibration Certificates</t>
        </is>
      </c>
      <c r="F746" s="3" t="inlineStr">
        <is>
          <t>Calibration certificate thermometer  KLT-25K-5721</t>
        </is>
      </c>
      <c r="G746" s="2" t="str">
        <f>HYPERLINK("https://vtmf.veevavault.com/ui/#doc_info/29332175/1/0", "VTMF-23579524")</f>
        <v>VTMF-23579524</v>
      </c>
      <c r="H746" s="3" t="inlineStr">
        <is>
          <t/>
        </is>
      </c>
      <c r="I746" s="3" t="inlineStr">
        <is>
          <t>Jitka Kone</t>
        </is>
      </c>
      <c r="J746" s="3" t="inlineStr">
        <is>
          <t>Jitka Kone</t>
        </is>
      </c>
      <c r="K746" s="4" t="n">
        <v>45819.57829861111</v>
      </c>
      <c r="L746" s="5" t="n">
        <v>45819.0</v>
      </c>
      <c r="M746" s="3" t="inlineStr">
        <is>
          <t>Approved</t>
        </is>
      </c>
      <c r="N746" s="3" t="inlineStr">
        <is>
          <t>Available for Distribution, CLIX Filing, Country Close, Site Close, Study Close</t>
        </is>
      </c>
      <c r="O746" s="3" t="inlineStr">
        <is>
          <t>Czech Republic</t>
        </is>
      </c>
      <c r="P746" s="3" t="inlineStr">
        <is>
          <t>Z92-CZ10008</t>
        </is>
      </c>
      <c r="Q746" s="3" t="inlineStr">
        <is>
          <t>77242113UCO2001</t>
        </is>
      </c>
    </row>
    <row r="747">
      <c r="A747" s="2" t="str">
        <f>HYPERLINK("https://vtmf.veevavault.com/ui/#doc_info/25705503/1/0", "77242113UCO2001-CZE-Z92-CZ10008-Trial Initiation Monitoring Report-24 Jan 2024 (v1.0)")</f>
        <v>77242113UCO2001-CZE-Z92-CZ10008-Trial Initiation Monitoring Report-24 Jan 2024 (v1.0)</v>
      </c>
      <c r="B747" s="3" t="inlineStr">
        <is>
          <t>Admin User Medidata</t>
        </is>
      </c>
      <c r="C747" s="3" t="inlineStr">
        <is>
          <t>Site Management</t>
        </is>
      </c>
      <c r="D747" s="3" t="inlineStr">
        <is>
          <t>Site Initiation</t>
        </is>
      </c>
      <c r="E747" s="3" t="inlineStr">
        <is>
          <t>Trial Initiation Monitoring Report</t>
        </is>
      </c>
      <c r="F747" s="3" t="inlineStr">
        <is>
          <t/>
        </is>
      </c>
      <c r="G747" s="2" t="str">
        <f>HYPERLINK("https://vtmf.veevavault.com/ui/#doc_info/25705503/1/0", "VTMF-20520387")</f>
        <v>VTMF-20520387</v>
      </c>
      <c r="H747" s="3" t="inlineStr">
        <is>
          <t/>
        </is>
      </c>
      <c r="I747" s="3" t="inlineStr">
        <is>
          <t>System</t>
        </is>
      </c>
      <c r="J747" s="3" t="inlineStr">
        <is>
          <t>Admin User Medidata</t>
        </is>
      </c>
      <c r="K747" s="4" t="n">
        <v>45335.35388888889</v>
      </c>
      <c r="L747" s="5" t="n">
        <v>45335.0</v>
      </c>
      <c r="M747" s="3" t="inlineStr">
        <is>
          <t>Approved</t>
        </is>
      </c>
      <c r="N747" s="3" t="inlineStr">
        <is>
          <t>Available for Distribution, CLIX Filing, Site Close</t>
        </is>
      </c>
      <c r="O747" s="3" t="inlineStr">
        <is>
          <t>Czech Republic</t>
        </is>
      </c>
      <c r="P747" s="3" t="inlineStr">
        <is>
          <t>Z92-CZ10008</t>
        </is>
      </c>
      <c r="Q747" s="3" t="inlineStr">
        <is>
          <t>77242113UCO2001</t>
        </is>
      </c>
    </row>
    <row r="748">
      <c r="A748" s="2" t="str">
        <f>HYPERLINK("https://vtmf.veevavault.com/ui/#doc_info/25613081/4/0", "77242113UCO2001-CZE-Z92-CZ10008-Visit Log (v4.0)")</f>
        <v>77242113UCO2001-CZE-Z92-CZ10008-Visit Log (v4.0)</v>
      </c>
      <c r="B748" s="3" t="inlineStr">
        <is>
          <t>Lenka Placha</t>
        </is>
      </c>
      <c r="C748" s="3" t="inlineStr">
        <is>
          <t>Site Management</t>
        </is>
      </c>
      <c r="D748" s="3" t="inlineStr">
        <is>
          <t>Site Management</t>
        </is>
      </c>
      <c r="E748" s="3" t="inlineStr">
        <is>
          <t>Visit Log</t>
        </is>
      </c>
      <c r="F748" s="3" t="inlineStr">
        <is>
          <t>TCVL_pharmacy_site Z92-CZ10008_23Sep25</t>
        </is>
      </c>
      <c r="G748" s="2" t="str">
        <f>HYPERLINK("https://vtmf.veevavault.com/ui/#doc_info/25613081/4/0", "VTMF-20438141")</f>
        <v>VTMF-20438141</v>
      </c>
      <c r="H748" s="3" t="inlineStr">
        <is>
          <t/>
        </is>
      </c>
      <c r="I748" s="3" t="inlineStr">
        <is>
          <t>System</t>
        </is>
      </c>
      <c r="J748" s="3" t="inlineStr">
        <is>
          <t>Agnesa Ruiz Kajtarova</t>
        </is>
      </c>
      <c r="K748" s="4" t="n">
        <v>45930.691087962965</v>
      </c>
      <c r="L748" s="5" t="n">
        <v>45930.0</v>
      </c>
      <c r="M748" s="3" t="inlineStr">
        <is>
          <t>Approved</t>
        </is>
      </c>
      <c r="N748" s="3" t="inlineStr">
        <is>
          <t>Available for Distribution, CLIX Filing, Site Close</t>
        </is>
      </c>
      <c r="O748" s="3" t="inlineStr">
        <is>
          <t>Czech Republic</t>
        </is>
      </c>
      <c r="P748" s="3" t="inlineStr">
        <is>
          <t>Z92-CZ10008</t>
        </is>
      </c>
      <c r="Q748" s="3" t="inlineStr">
        <is>
          <t>77242113UCO2001</t>
        </is>
      </c>
    </row>
    <row r="749">
      <c r="A749" s="2" t="str">
        <f>HYPERLINK("https://vtmf.veevavault.com/ui/#doc_info/25613082/6/0", "77242113UCO2001-CZE-Z92-CZ10008-Visit Log (v6.0)")</f>
        <v>77242113UCO2001-CZE-Z92-CZ10008-Visit Log (v6.0)</v>
      </c>
      <c r="B749" s="3" t="inlineStr">
        <is>
          <t>Lenka Placha</t>
        </is>
      </c>
      <c r="C749" s="3" t="inlineStr">
        <is>
          <t>Site Management</t>
        </is>
      </c>
      <c r="D749" s="3" t="inlineStr">
        <is>
          <t>Site Management</t>
        </is>
      </c>
      <c r="E749" s="3" t="inlineStr">
        <is>
          <t>Visit Log</t>
        </is>
      </c>
      <c r="F749" s="3" t="inlineStr">
        <is>
          <t>TCVL_site_site Z92-CZ10008_23Sep25</t>
        </is>
      </c>
      <c r="G749" s="2" t="str">
        <f>HYPERLINK("https://vtmf.veevavault.com/ui/#doc_info/25613082/6/0", "VTMF-20438142")</f>
        <v>VTMF-20438142</v>
      </c>
      <c r="H749" s="3" t="inlineStr">
        <is>
          <t/>
        </is>
      </c>
      <c r="I749" s="3" t="inlineStr">
        <is>
          <t>System</t>
        </is>
      </c>
      <c r="J749" s="3" t="inlineStr">
        <is>
          <t>Agnesa Ruiz Kajtarova</t>
        </is>
      </c>
      <c r="K749" s="4" t="n">
        <v>45930.692662037036</v>
      </c>
      <c r="L749" s="5" t="n">
        <v>45930.0</v>
      </c>
      <c r="M749" s="3" t="inlineStr">
        <is>
          <t>Approved</t>
        </is>
      </c>
      <c r="N749" s="3" t="inlineStr">
        <is>
          <t>Available for Distribution, CLIX Filing, Site Close</t>
        </is>
      </c>
      <c r="O749" s="3" t="inlineStr">
        <is>
          <t>Czech Republic</t>
        </is>
      </c>
      <c r="P749" s="3" t="inlineStr">
        <is>
          <t>Z92-CZ10008</t>
        </is>
      </c>
      <c r="Q749" s="3" t="inlineStr">
        <is>
          <t>77242113UCO2001</t>
        </is>
      </c>
    </row>
    <row r="750">
      <c r="A750" s="2" t="str">
        <f>HYPERLINK("https://vtmf.veevavault.com/ui/#doc_info/31251364/1/0", "77242113UCO2001-CZE-Z92-CZ10008-Visit Log (v1.0)")</f>
        <v>77242113UCO2001-CZE-Z92-CZ10008-Visit Log (v1.0)</v>
      </c>
      <c r="B750" s="3" t="inlineStr">
        <is>
          <t>Bela Lukavcová</t>
        </is>
      </c>
      <c r="C750" s="3" t="inlineStr">
        <is>
          <t>Site Management</t>
        </is>
      </c>
      <c r="D750" s="3" t="inlineStr">
        <is>
          <t>Site Management</t>
        </is>
      </c>
      <c r="E750" s="3" t="inlineStr">
        <is>
          <t>Visit Log</t>
        </is>
      </c>
      <c r="F750" s="3" t="inlineStr">
        <is>
          <t>Visit Log_Site</t>
        </is>
      </c>
      <c r="G750" s="2" t="str">
        <f>HYPERLINK("https://vtmf.veevavault.com/ui/#doc_info/31251364/1/0", "VTMF-25204496")</f>
        <v>VTMF-25204496</v>
      </c>
      <c r="H750" s="3" t="inlineStr">
        <is>
          <t/>
        </is>
      </c>
      <c r="I750" s="3" t="inlineStr">
        <is>
          <t>System</t>
        </is>
      </c>
      <c r="J750" s="3" t="inlineStr">
        <is>
          <t>Bela Lukavcová</t>
        </is>
      </c>
      <c r="K750" s="4" t="n">
        <v>46104.47027777778</v>
      </c>
      <c r="L750" s="5" t="n">
        <v>46104.0</v>
      </c>
      <c r="M750" s="3" t="inlineStr">
        <is>
          <t>Approved</t>
        </is>
      </c>
      <c r="N750" s="3" t="inlineStr">
        <is>
          <t>Available for Distribution, CLIX Filing, Site Close</t>
        </is>
      </c>
      <c r="O750" s="3" t="inlineStr">
        <is>
          <t>Czech Republic</t>
        </is>
      </c>
      <c r="P750" s="3" t="inlineStr">
        <is>
          <t>Z92-CZ10008</t>
        </is>
      </c>
      <c r="Q750" s="3" t="inlineStr">
        <is>
          <t>77242113UCO2001</t>
        </is>
      </c>
    </row>
    <row r="751">
      <c r="A751" s="2" t="str">
        <f>HYPERLINK("https://vtmf.veevavault.com/ui/#doc_info/31251368/1/0", "77242113UCO2001-CZE-Z92-CZ10008-Visit Log (v1.0)")</f>
        <v>77242113UCO2001-CZE-Z92-CZ10008-Visit Log (v1.0)</v>
      </c>
      <c r="B751" s="3" t="inlineStr">
        <is>
          <t>Bela Lukavcová</t>
        </is>
      </c>
      <c r="C751" s="3" t="inlineStr">
        <is>
          <t>Site Management</t>
        </is>
      </c>
      <c r="D751" s="3" t="inlineStr">
        <is>
          <t>Site Management</t>
        </is>
      </c>
      <c r="E751" s="3" t="inlineStr">
        <is>
          <t>Visit Log</t>
        </is>
      </c>
      <c r="F751" s="3" t="inlineStr">
        <is>
          <t>Visit Log_Pharmacy</t>
        </is>
      </c>
      <c r="G751" s="2" t="str">
        <f>HYPERLINK("https://vtmf.veevavault.com/ui/#doc_info/31251368/1/0", "VTMF-25204506")</f>
        <v>VTMF-25204506</v>
      </c>
      <c r="H751" s="3" t="inlineStr">
        <is>
          <t/>
        </is>
      </c>
      <c r="I751" s="3" t="inlineStr">
        <is>
          <t>System</t>
        </is>
      </c>
      <c r="J751" s="3" t="inlineStr">
        <is>
          <t>Bela Lukavcová</t>
        </is>
      </c>
      <c r="K751" s="4" t="n">
        <v>46104.471342592595</v>
      </c>
      <c r="L751" s="5" t="n">
        <v>46104.0</v>
      </c>
      <c r="M751" s="3" t="inlineStr">
        <is>
          <t>Approved</t>
        </is>
      </c>
      <c r="N751" s="3" t="inlineStr">
        <is>
          <t>Available for Distribution, CLIX Filing, Site Close</t>
        </is>
      </c>
      <c r="O751" s="3" t="inlineStr">
        <is>
          <t>Czech Republic</t>
        </is>
      </c>
      <c r="P751" s="3" t="inlineStr">
        <is>
          <t>Z92-CZ10008</t>
        </is>
      </c>
      <c r="Q751" s="3" t="inlineStr">
        <is>
          <t>77242113UCO2001</t>
        </is>
      </c>
    </row>
    <row r="752">
      <c r="A752" s="2" t="str">
        <f>HYPERLINK("https://vtmf.veevavault.com/ui/#doc_info/26128638/1/0", "77242113UCO2001-CZE-Z92-CZ10008-VR Correction Form-03 Apr 2024 (v1.0)")</f>
        <v>77242113UCO2001-CZE-Z92-CZ10008-VR Correction Form-03 Apr 2024 (v1.0)</v>
      </c>
      <c r="B752" s="3" t="inlineStr">
        <is>
          <t>Admin User Medidata</t>
        </is>
      </c>
      <c r="C752" s="3" t="inlineStr">
        <is>
          <t>Site Management</t>
        </is>
      </c>
      <c r="D752" s="3" t="inlineStr">
        <is>
          <t>General</t>
        </is>
      </c>
      <c r="E752" s="3" t="inlineStr">
        <is>
          <t>VR Correction Form</t>
        </is>
      </c>
      <c r="F752" s="3" t="inlineStr">
        <is>
          <t/>
        </is>
      </c>
      <c r="G752" s="2" t="str">
        <f>HYPERLINK("https://vtmf.veevavault.com/ui/#doc_info/26128638/1/0", "VTMF-20893615")</f>
        <v>VTMF-20893615</v>
      </c>
      <c r="H752" s="3" t="inlineStr">
        <is>
          <t/>
        </is>
      </c>
      <c r="I752" s="3" t="inlineStr">
        <is>
          <t>System</t>
        </is>
      </c>
      <c r="J752" s="3" t="inlineStr">
        <is>
          <t>Admin User Medidata</t>
        </is>
      </c>
      <c r="K752" s="4" t="n">
        <v>45397.390868055554</v>
      </c>
      <c r="L752" s="5" t="n">
        <v>45397.0</v>
      </c>
      <c r="M752" s="3" t="inlineStr">
        <is>
          <t>Approved</t>
        </is>
      </c>
      <c r="N752" s="3" t="inlineStr">
        <is>
          <t/>
        </is>
      </c>
      <c r="O752" s="3" t="inlineStr">
        <is>
          <t>Czech Republic</t>
        </is>
      </c>
      <c r="P752" s="3" t="inlineStr">
        <is>
          <t>Z92-CZ10008</t>
        </is>
      </c>
      <c r="Q752" s="3" t="inlineStr">
        <is>
          <t>77242113UCO2001</t>
        </is>
      </c>
    </row>
    <row r="753">
      <c r="A753" s="2" t="str">
        <f>HYPERLINK("https://vtmf.veevavault.com/ui/#doc_info/25939339/1/0", "77242113UCO2001-CZE-Z92-CZ10009-Acceptance of Investigator Brochure-11 Jan 2024 (v1.0)")</f>
        <v>77242113UCO2001-CZE-Z92-CZ10009-Acceptance of Investigator Brochure-11 Jan 2024 (v1.0)</v>
      </c>
      <c r="B753" s="3" t="inlineStr">
        <is>
          <t>Lenka Placha</t>
        </is>
      </c>
      <c r="C753" s="3" t="inlineStr">
        <is>
          <t>Site Management</t>
        </is>
      </c>
      <c r="D753" s="3" t="inlineStr">
        <is>
          <t>Site Set-up Documentation</t>
        </is>
      </c>
      <c r="E753" s="3" t="inlineStr">
        <is>
          <t>Acceptance of Investigator Brochure</t>
        </is>
      </c>
      <c r="F753" s="3" t="inlineStr">
        <is>
          <t>IB Acceptance site_JNJ-77242113_ IB Ed4, dated 21Dec22+ IB Ed4 Add1, dated 05May23_11Jan24</t>
        </is>
      </c>
      <c r="G753" s="2" t="str">
        <f>HYPERLINK("https://vtmf.veevavault.com/ui/#doc_info/25939339/1/0", "VTMF-20726397")</f>
        <v>VTMF-20726397</v>
      </c>
      <c r="H753" s="3" t="inlineStr">
        <is>
          <t/>
        </is>
      </c>
      <c r="I753" s="3" t="inlineStr">
        <is>
          <t>Anthony Suarez (veeva.com)</t>
        </is>
      </c>
      <c r="J753" s="3" t="inlineStr">
        <is>
          <t>Lenka Placha</t>
        </is>
      </c>
      <c r="K753" s="4" t="n">
        <v>45367.92327546296</v>
      </c>
      <c r="L753" s="5" t="n">
        <v>45367.0</v>
      </c>
      <c r="M753" s="3" t="inlineStr">
        <is>
          <t>Approved</t>
        </is>
      </c>
      <c r="N753" s="3" t="inlineStr">
        <is>
          <t>Available for Distribution, CLIX Filing, Site Close</t>
        </is>
      </c>
      <c r="O753" s="3" t="inlineStr">
        <is>
          <t>Czech Republic</t>
        </is>
      </c>
      <c r="P753" s="3" t="inlineStr">
        <is>
          <t>Z92-CZ10009</t>
        </is>
      </c>
      <c r="Q753" s="3" t="inlineStr">
        <is>
          <t>77242113UCO2001</t>
        </is>
      </c>
    </row>
    <row r="754">
      <c r="A754" s="2" t="str">
        <f>HYPERLINK("https://vtmf.veevavault.com/ui/#doc_info/25939341/1/0", "77242113UCO2001-CZE-Z92-CZ10009-Acceptance of Investigator Brochure-11 Jan 2024 (v1.0)")</f>
        <v>77242113UCO2001-CZE-Z92-CZ10009-Acceptance of Investigator Brochure-11 Jan 2024 (v1.0)</v>
      </c>
      <c r="B754" s="3" t="inlineStr">
        <is>
          <t>Lenka Placha</t>
        </is>
      </c>
      <c r="C754" s="3" t="inlineStr">
        <is>
          <t>Site Management</t>
        </is>
      </c>
      <c r="D754" s="3" t="inlineStr">
        <is>
          <t>Site Set-up Documentation</t>
        </is>
      </c>
      <c r="E754" s="3" t="inlineStr">
        <is>
          <t>Acceptance of Investigator Brochure</t>
        </is>
      </c>
      <c r="F754" s="3" t="inlineStr">
        <is>
          <t>IB Acceptance pharmacy_JNJ-77242113_
IB Ed4, dated 21Dec22+ IB Ed4 Add1, dated 05May23_11Jan24</t>
        </is>
      </c>
      <c r="G754" s="2" t="str">
        <f>HYPERLINK("https://vtmf.veevavault.com/ui/#doc_info/25939341/1/0", "VTMF-20726399")</f>
        <v>VTMF-20726399</v>
      </c>
      <c r="H754" s="3" t="inlineStr">
        <is>
          <t/>
        </is>
      </c>
      <c r="I754" s="3" t="inlineStr">
        <is>
          <t>Anthony Suarez (veeva.com)</t>
        </is>
      </c>
      <c r="J754" s="3" t="inlineStr">
        <is>
          <t>Lenka Placha</t>
        </is>
      </c>
      <c r="K754" s="4" t="n">
        <v>45367.93185185185</v>
      </c>
      <c r="L754" s="5" t="n">
        <v>45367.0</v>
      </c>
      <c r="M754" s="3" t="inlineStr">
        <is>
          <t>Approved</t>
        </is>
      </c>
      <c r="N754" s="3" t="inlineStr">
        <is>
          <t>Available for Distribution, CLIX Filing, Site Close</t>
        </is>
      </c>
      <c r="O754" s="3" t="inlineStr">
        <is>
          <t>Czech Republic</t>
        </is>
      </c>
      <c r="P754" s="3" t="inlineStr">
        <is>
          <t>Z92-CZ10009</t>
        </is>
      </c>
      <c r="Q754" s="3" t="inlineStr">
        <is>
          <t>77242113UCO2001</t>
        </is>
      </c>
    </row>
    <row r="755">
      <c r="A755" s="2" t="str">
        <f>HYPERLINK("https://vtmf.veevavault.com/ui/#doc_info/28893577/1/0", "77242113UCO2001-CZE-Z92-CZ10009-Acceptance of Investigator Brochure-18 Feb 2025 (v1.0)")</f>
        <v>77242113UCO2001-CZE-Z92-CZ10009-Acceptance of Investigator Brochure-18 Feb 2025 (v1.0)</v>
      </c>
      <c r="B755" s="3" t="inlineStr">
        <is>
          <t>Jitka Kone</t>
        </is>
      </c>
      <c r="C755" s="3" t="inlineStr">
        <is>
          <t>Site Management</t>
        </is>
      </c>
      <c r="D755" s="3" t="inlineStr">
        <is>
          <t>Site Set-up Documentation</t>
        </is>
      </c>
      <c r="E755" s="3" t="inlineStr">
        <is>
          <t>Acceptance of Investigator Brochure</t>
        </is>
      </c>
      <c r="F755" s="3" t="inlineStr">
        <is>
          <t>IB acceptance site_JNJ-77242113_IB Ed. 6 dated 16Dec2024_18Feb2025</t>
        </is>
      </c>
      <c r="G755" s="2" t="str">
        <f>HYPERLINK("https://vtmf.veevavault.com/ui/#doc_info/28893577/1/0", "VTMF-23215788")</f>
        <v>VTMF-23215788</v>
      </c>
      <c r="H755" s="3" t="inlineStr">
        <is>
          <t/>
        </is>
      </c>
      <c r="I755" s="3" t="inlineStr">
        <is>
          <t>Anthony Suarez (veeva.com)</t>
        </is>
      </c>
      <c r="J755" s="3" t="inlineStr">
        <is>
          <t>Jitka Kone</t>
        </is>
      </c>
      <c r="K755" s="4" t="n">
        <v>45762.64894675926</v>
      </c>
      <c r="L755" s="5" t="n">
        <v>45762.0</v>
      </c>
      <c r="M755" s="3" t="inlineStr">
        <is>
          <t>Approved</t>
        </is>
      </c>
      <c r="N755" s="3" t="inlineStr">
        <is>
          <t>Available for Distribution, CLIX Filing, IP Release, Site Start</t>
        </is>
      </c>
      <c r="O755" s="3" t="inlineStr">
        <is>
          <t>Czech Republic</t>
        </is>
      </c>
      <c r="P755" s="3" t="inlineStr">
        <is>
          <t>Z92-CZ10009</t>
        </is>
      </c>
      <c r="Q755" s="3" t="inlineStr">
        <is>
          <t>77242113UCO2001</t>
        </is>
      </c>
    </row>
    <row r="756">
      <c r="A756" s="2" t="str">
        <f>HYPERLINK("https://vtmf.veevavault.com/ui/#doc_info/26730355/1/0", "77242113UCO2001-CZE-Z92-CZ10009-Acceptance of Investigator Brochure-20 Jun 2024 (v1.0)")</f>
        <v>77242113UCO2001-CZE-Z92-CZ10009-Acceptance of Investigator Brochure-20 Jun 2024 (v1.0)</v>
      </c>
      <c r="B756" s="3" t="inlineStr">
        <is>
          <t>Jitka Kone</t>
        </is>
      </c>
      <c r="C756" s="3" t="inlineStr">
        <is>
          <t>Site Management</t>
        </is>
      </c>
      <c r="D756" s="3" t="inlineStr">
        <is>
          <t>Site Set-up Documentation</t>
        </is>
      </c>
      <c r="E756" s="3" t="inlineStr">
        <is>
          <t>Acceptance of Investigator Brochure</t>
        </is>
      </c>
      <c r="F756" s="3" t="inlineStr">
        <is>
          <t>IB Acceptance pharmacy_JNJ-77242113_ IB Ed4 Add2, dated 31Oct23+ IB Ed5, 19Dec23_20Jun24</t>
        </is>
      </c>
      <c r="G756" s="2" t="str">
        <f>HYPERLINK("https://vtmf.veevavault.com/ui/#doc_info/26730355/1/0", "VTMF-21419255")</f>
        <v>VTMF-21419255</v>
      </c>
      <c r="H756" s="3" t="inlineStr">
        <is>
          <t/>
        </is>
      </c>
      <c r="I756" s="3" t="inlineStr">
        <is>
          <t>Anthony Suarez (veeva.com)</t>
        </is>
      </c>
      <c r="J756" s="3" t="inlineStr">
        <is>
          <t>Jitka Kone</t>
        </is>
      </c>
      <c r="K756" s="4" t="n">
        <v>45491.54653935185</v>
      </c>
      <c r="L756" s="5" t="n">
        <v>45491.0</v>
      </c>
      <c r="M756" s="3" t="inlineStr">
        <is>
          <t>Approved</t>
        </is>
      </c>
      <c r="N756" s="3" t="inlineStr">
        <is>
          <t>Available for Distribution, CLIX Filing, Site Close</t>
        </is>
      </c>
      <c r="O756" s="3" t="inlineStr">
        <is>
          <t>Czech Republic</t>
        </is>
      </c>
      <c r="P756" s="3" t="inlineStr">
        <is>
          <t>Z92-CZ10009</t>
        </is>
      </c>
      <c r="Q756" s="3" t="inlineStr">
        <is>
          <t>77242113UCO2001</t>
        </is>
      </c>
    </row>
    <row r="757">
      <c r="A757" s="2" t="str">
        <f>HYPERLINK("https://vtmf.veevavault.com/ui/#doc_info/26730618/1/0", "77242113UCO2001-CZE-Z92-CZ10009-Acceptance of Investigator Brochure-20 Jun 2024 (v1.0)")</f>
        <v>77242113UCO2001-CZE-Z92-CZ10009-Acceptance of Investigator Brochure-20 Jun 2024 (v1.0)</v>
      </c>
      <c r="B757" s="3" t="inlineStr">
        <is>
          <t>Jitka Kone</t>
        </is>
      </c>
      <c r="C757" s="3" t="inlineStr">
        <is>
          <t>Site Management</t>
        </is>
      </c>
      <c r="D757" s="3" t="inlineStr">
        <is>
          <t>Site Set-up Documentation</t>
        </is>
      </c>
      <c r="E757" s="3" t="inlineStr">
        <is>
          <t>Acceptance of Investigator Brochure</t>
        </is>
      </c>
      <c r="F757" s="3" t="inlineStr">
        <is>
          <t>IB Acceptance site_JNJ-77242113_ IB Ed4 Add2, dated 31Oct23+ IB Ed5, 19Dec23_20Jun24</t>
        </is>
      </c>
      <c r="G757" s="2" t="str">
        <f>HYPERLINK("https://vtmf.veevavault.com/ui/#doc_info/26730618/1/0", "VTMF-21419368")</f>
        <v>VTMF-21419368</v>
      </c>
      <c r="H757" s="3" t="inlineStr">
        <is>
          <t/>
        </is>
      </c>
      <c r="I757" s="3" t="inlineStr">
        <is>
          <t>Anthony Suarez (veeva.com)</t>
        </is>
      </c>
      <c r="J757" s="3" t="inlineStr">
        <is>
          <t>Jitka Kone</t>
        </is>
      </c>
      <c r="K757" s="4" t="n">
        <v>45491.55871527778</v>
      </c>
      <c r="L757" s="5" t="n">
        <v>45491.0</v>
      </c>
      <c r="M757" s="3" t="inlineStr">
        <is>
          <t>Approved</t>
        </is>
      </c>
      <c r="N757" s="3" t="inlineStr">
        <is>
          <t>Available for Distribution, CLIX Filing, Site Close</t>
        </is>
      </c>
      <c r="O757" s="3" t="inlineStr">
        <is>
          <t>Czech Republic</t>
        </is>
      </c>
      <c r="P757" s="3" t="inlineStr">
        <is>
          <t>Z92-CZ10009</t>
        </is>
      </c>
      <c r="Q757" s="3" t="inlineStr">
        <is>
          <t>77242113UCO2001</t>
        </is>
      </c>
    </row>
    <row r="758">
      <c r="A758" s="2" t="str">
        <f>HYPERLINK("https://vtmf.veevavault.com/ui/#doc_info/30190069/1/0", "77242113UCO2001-CZE-Z92-CZ10009-Acceptance of Investigator Brochure-26 Aug 2025 (v1.0)")</f>
        <v>77242113UCO2001-CZE-Z92-CZ10009-Acceptance of Investigator Brochure-26 Aug 2025 (v1.0)</v>
      </c>
      <c r="B758" s="3" t="inlineStr">
        <is>
          <t>Jitka Kone</t>
        </is>
      </c>
      <c r="C758" s="3" t="inlineStr">
        <is>
          <t>Site Management</t>
        </is>
      </c>
      <c r="D758" s="3" t="inlineStr">
        <is>
          <t>Site Set-up Documentation</t>
        </is>
      </c>
      <c r="E758" s="3" t="inlineStr">
        <is>
          <t>Acceptance of Investigator Brochure</t>
        </is>
      </c>
      <c r="F758" s="3" t="inlineStr">
        <is>
          <t>Acceptance of IB pharmacy_JNJ-77242113_Add.1 to IB Ed. 6</t>
        </is>
      </c>
      <c r="G758" s="2" t="str">
        <f>HYPERLINK("https://vtmf.veevavault.com/ui/#doc_info/30190069/1/0", "VTMF-24307399")</f>
        <v>VTMF-24307399</v>
      </c>
      <c r="H758" s="3" t="inlineStr">
        <is>
          <t/>
        </is>
      </c>
      <c r="I758" s="3" t="inlineStr">
        <is>
          <t>System</t>
        </is>
      </c>
      <c r="J758" s="3" t="inlineStr">
        <is>
          <t>Jitka Kone</t>
        </is>
      </c>
      <c r="K758" s="4" t="n">
        <v>45950.51765046296</v>
      </c>
      <c r="L758" s="5" t="n">
        <v>45950.0</v>
      </c>
      <c r="M758" s="3" t="inlineStr">
        <is>
          <t>Approved</t>
        </is>
      </c>
      <c r="N758" s="3" t="inlineStr">
        <is>
          <t>Available for Distribution, CLIX Filing, IP Release, Site Start</t>
        </is>
      </c>
      <c r="O758" s="3" t="inlineStr">
        <is>
          <t>Czech Republic</t>
        </is>
      </c>
      <c r="P758" s="3" t="inlineStr">
        <is>
          <t>Z92-CZ10009</t>
        </is>
      </c>
      <c r="Q758" s="3" t="inlineStr">
        <is>
          <t>77242113UCO2001</t>
        </is>
      </c>
    </row>
    <row r="759">
      <c r="A759" s="2" t="str">
        <f>HYPERLINK("https://vtmf.veevavault.com/ui/#doc_info/30190107/1/0", "77242113UCO2001-CZE-Z92-CZ10009-Acceptance of Investigator Brochure-26 Aug 2025 (v1.0)")</f>
        <v>77242113UCO2001-CZE-Z92-CZ10009-Acceptance of Investigator Brochure-26 Aug 2025 (v1.0)</v>
      </c>
      <c r="B759" s="3" t="inlineStr">
        <is>
          <t>Jitka Kone</t>
        </is>
      </c>
      <c r="C759" s="3" t="inlineStr">
        <is>
          <t>Site Management</t>
        </is>
      </c>
      <c r="D759" s="3" t="inlineStr">
        <is>
          <t>Site Set-up Documentation</t>
        </is>
      </c>
      <c r="E759" s="3" t="inlineStr">
        <is>
          <t>Acceptance of Investigator Brochure</t>
        </is>
      </c>
      <c r="F759" s="3" t="inlineStr">
        <is>
          <t>IB Acceptance site_JNJ-77242113_Addendum 1 to IB Ed. 6</t>
        </is>
      </c>
      <c r="G759" s="2" t="str">
        <f>HYPERLINK("https://vtmf.veevavault.com/ui/#doc_info/30190107/1/0", "VTMF-24307342")</f>
        <v>VTMF-24307342</v>
      </c>
      <c r="H759" s="3" t="inlineStr">
        <is>
          <t/>
        </is>
      </c>
      <c r="I759" s="3" t="inlineStr">
        <is>
          <t>System</t>
        </is>
      </c>
      <c r="J759" s="3" t="inlineStr">
        <is>
          <t>Jitka Kone</t>
        </is>
      </c>
      <c r="K759" s="4" t="n">
        <v>45950.51105324074</v>
      </c>
      <c r="L759" s="5" t="n">
        <v>45950.0</v>
      </c>
      <c r="M759" s="3" t="inlineStr">
        <is>
          <t>Approved</t>
        </is>
      </c>
      <c r="N759" s="3" t="inlineStr">
        <is>
          <t>Available for Distribution, CLIX Filing, IP Release, Site Start</t>
        </is>
      </c>
      <c r="O759" s="3" t="inlineStr">
        <is>
          <t>Czech Republic</t>
        </is>
      </c>
      <c r="P759" s="3" t="inlineStr">
        <is>
          <t>Z92-CZ10009</t>
        </is>
      </c>
      <c r="Q759" s="3" t="inlineStr">
        <is>
          <t>77242113UCO2001</t>
        </is>
      </c>
    </row>
    <row r="760">
      <c r="A760" s="2" t="str">
        <f>HYPERLINK("https://vtmf.veevavault.com/ui/#doc_info/25939347/1/0", "77242113UCO2001-CZE-Z92-CZ10009-Clinical Trial Agreement-11 Jan 2024 (v1.0)")</f>
        <v>77242113UCO2001-CZE-Z92-CZ10009-Clinical Trial Agreement-11 Jan 2024 (v1.0)</v>
      </c>
      <c r="B760" s="3" t="inlineStr">
        <is>
          <t>Lenka Placha</t>
        </is>
      </c>
      <c r="C760" s="3" t="inlineStr">
        <is>
          <t>Site Management</t>
        </is>
      </c>
      <c r="D760" s="3" t="inlineStr">
        <is>
          <t>Site Set-up Documentation</t>
        </is>
      </c>
      <c r="E760" s="3" t="inlineStr">
        <is>
          <t>Clinical Trial Agreement</t>
        </is>
      </c>
      <c r="F760" s="3" t="inlineStr">
        <is>
          <t>PI statement -source documentation_11Jan24</t>
        </is>
      </c>
      <c r="G760" s="2" t="str">
        <f>HYPERLINK("https://vtmf.veevavault.com/ui/#doc_info/25939347/1/0", "VTMF-20726403")</f>
        <v>VTMF-20726403</v>
      </c>
      <c r="H760" s="3" t="inlineStr">
        <is>
          <t/>
        </is>
      </c>
      <c r="I760" s="3" t="inlineStr">
        <is>
          <t>Anthony Suarez (veeva.com)</t>
        </is>
      </c>
      <c r="J760" s="3" t="inlineStr">
        <is>
          <t>Lenka Placha</t>
        </is>
      </c>
      <c r="K760" s="4" t="n">
        <v>45367.961805555555</v>
      </c>
      <c r="L760" s="5" t="n">
        <v>45367.0</v>
      </c>
      <c r="M760" s="3" t="inlineStr">
        <is>
          <t>Approved</t>
        </is>
      </c>
      <c r="N760" s="3" t="inlineStr">
        <is>
          <t>Available for Distribution, Site Start</t>
        </is>
      </c>
      <c r="O760" s="3" t="inlineStr">
        <is>
          <t>Czech Republic</t>
        </is>
      </c>
      <c r="P760" s="3" t="inlineStr">
        <is>
          <t>Z92-CZ10009</t>
        </is>
      </c>
      <c r="Q760" s="3" t="inlineStr">
        <is>
          <t>77242113UCO2001</t>
        </is>
      </c>
    </row>
    <row r="761">
      <c r="A761" s="2" t="str">
        <f>HYPERLINK("https://vtmf.veevavault.com/ui/#doc_info/25700232/1/0", "77242113UCO2001-CZE-Z92-CZ10009-Clinical Trial Agreement-26 Oct 2023 (v1.0)")</f>
        <v>77242113UCO2001-CZE-Z92-CZ10009-Clinical Trial Agreement-26 Oct 2023 (v1.0)</v>
      </c>
      <c r="B761" s="3" t="inlineStr">
        <is>
          <t>Jitka Kone</t>
        </is>
      </c>
      <c r="C761" s="3" t="inlineStr">
        <is>
          <t>Site Management</t>
        </is>
      </c>
      <c r="D761" s="3" t="inlineStr">
        <is>
          <t>Site Set-up Documentation</t>
        </is>
      </c>
      <c r="E761" s="3" t="inlineStr">
        <is>
          <t>Clinical Trial Agreement</t>
        </is>
      </c>
      <c r="F761" s="3" t="inlineStr">
        <is>
          <t>Peterka_Nemocnice Slaný_contract
document uploaded in ICD_Nr. 1947036</t>
        </is>
      </c>
      <c r="G761" s="2" t="str">
        <f>HYPERLINK("https://vtmf.veevavault.com/ui/#doc_info/25700232/1/0", "VTMF-20515465")</f>
        <v>VTMF-20515465</v>
      </c>
      <c r="H761" s="3" t="inlineStr">
        <is>
          <t/>
        </is>
      </c>
      <c r="I761" s="3" t="inlineStr">
        <is>
          <t>Lenka Placha</t>
        </is>
      </c>
      <c r="J761" s="3" t="inlineStr">
        <is>
          <t>Jitka Kone</t>
        </is>
      </c>
      <c r="K761" s="4" t="n">
        <v>45334.70686342593</v>
      </c>
      <c r="L761" s="5" t="n">
        <v>45334.0</v>
      </c>
      <c r="M761" s="3" t="inlineStr">
        <is>
          <t>Approved</t>
        </is>
      </c>
      <c r="N761" s="3" t="inlineStr">
        <is>
          <t>Available for Distribution, Site Start</t>
        </is>
      </c>
      <c r="O761" s="3" t="inlineStr">
        <is>
          <t>Czech Republic</t>
        </is>
      </c>
      <c r="P761" s="3" t="inlineStr">
        <is>
          <t>Z92-CZ10009</t>
        </is>
      </c>
      <c r="Q761" s="3" t="inlineStr">
        <is>
          <t>77242113UCO2001</t>
        </is>
      </c>
    </row>
    <row r="762">
      <c r="A762" s="2" t="str">
        <f>HYPERLINK("https://vtmf.veevavault.com/ui/#doc_info/24158194/1/0", "77242113UCO2001-CZE-Z92-CZ10009-Confidentiality Agreement-16 May 2023 (v1.0)")</f>
        <v>77242113UCO2001-CZE-Z92-CZ10009-Confidentiality Agreement-16 May 2023 (v1.0)</v>
      </c>
      <c r="B762" s="3" t="inlineStr">
        <is>
          <t>Lucie Duskova</t>
        </is>
      </c>
      <c r="C762" s="3" t="inlineStr">
        <is>
          <t>Site Management</t>
        </is>
      </c>
      <c r="D762" s="3" t="inlineStr">
        <is>
          <t>Site Selection</t>
        </is>
      </c>
      <c r="E762" s="3" t="inlineStr">
        <is>
          <t>Confidentiality Agreement</t>
        </is>
      </c>
      <c r="F762" s="3" t="inlineStr">
        <is>
          <t>Confidentiality Disclosure Agreement_Peterka Martin_nemocnice Slany_16MAY2023</t>
        </is>
      </c>
      <c r="G762" s="2" t="str">
        <f>HYPERLINK("https://vtmf.veevavault.com/ui/#doc_info/24158194/1/0", "VTMF-19168859")</f>
        <v>VTMF-19168859</v>
      </c>
      <c r="H762" s="3" t="inlineStr">
        <is>
          <t/>
        </is>
      </c>
      <c r="I762" s="3" t="inlineStr">
        <is>
          <t>Anthony Suarez (veeva.com)</t>
        </is>
      </c>
      <c r="J762" s="3" t="inlineStr">
        <is>
          <t>Lucie Duskova</t>
        </is>
      </c>
      <c r="K762" s="4" t="n">
        <v>45075.65351851852</v>
      </c>
      <c r="L762" s="5" t="n">
        <v>45075.0</v>
      </c>
      <c r="M762" s="3" t="inlineStr">
        <is>
          <t>Approved</t>
        </is>
      </c>
      <c r="N762" s="3" t="inlineStr">
        <is>
          <t>Available for Distribution, Site Start</t>
        </is>
      </c>
      <c r="O762" s="3" t="inlineStr">
        <is>
          <t>Czech Republic</t>
        </is>
      </c>
      <c r="P762" s="3" t="inlineStr">
        <is>
          <t>Z92-CZ10009</t>
        </is>
      </c>
      <c r="Q762" s="3" t="inlineStr">
        <is>
          <t>77242113UCO2001</t>
        </is>
      </c>
    </row>
    <row r="763">
      <c r="A763" s="2" t="str">
        <f>HYPERLINK("https://vtmf.veevavault.com/ui/#doc_info/31652455/2/0", "77242113UCO2001-CZE-Z92-CZ10009-CRF Completion Requirements-29 Apr 2026 (v2.0)")</f>
        <v>77242113UCO2001-CZE-Z92-CZ10009-CRF Completion Requirements-29 Apr 2026 (v2.0)</v>
      </c>
      <c r="B763" s="3" t="inlineStr">
        <is>
          <t>Jitka Kone</t>
        </is>
      </c>
      <c r="C763" s="3" t="inlineStr">
        <is>
          <t>Data Management</t>
        </is>
      </c>
      <c r="D763" s="3" t="inlineStr">
        <is>
          <t>Data Capture</t>
        </is>
      </c>
      <c r="E763" s="3" t="inlineStr">
        <is>
          <t>CRF Completion Requirements</t>
        </is>
      </c>
      <c r="F763" s="3" t="inlineStr">
        <is>
          <t>Archive Readibility Email Confirmation Receipt_V. 29-APR-2026 
Page 2 missing, it is already not possible to get complete scan because the site is closed already, AOR signed by PI.</t>
        </is>
      </c>
      <c r="G763" s="2" t="str">
        <f>HYPERLINK("https://vtmf.veevavault.com/ui/#doc_info/31652455/2/0", "VTMF-25547198")</f>
        <v>VTMF-25547198</v>
      </c>
      <c r="H763" s="3" t="inlineStr">
        <is>
          <t/>
        </is>
      </c>
      <c r="I763" s="3" t="inlineStr">
        <is>
          <t>System</t>
        </is>
      </c>
      <c r="J763" s="3" t="inlineStr">
        <is>
          <t>Jitka Kone</t>
        </is>
      </c>
      <c r="K763" s="4" t="n">
        <v>46156.664513888885</v>
      </c>
      <c r="L763" s="5" t="n">
        <v>46156.0</v>
      </c>
      <c r="M763" s="3" t="inlineStr">
        <is>
          <t>Approved</t>
        </is>
      </c>
      <c r="N763" s="3" t="inlineStr">
        <is>
          <t>Available for Distribution, CLIX Filing, Study Start</t>
        </is>
      </c>
      <c r="O763" s="3" t="inlineStr">
        <is>
          <t>Czech Republic</t>
        </is>
      </c>
      <c r="P763" s="3" t="inlineStr">
        <is>
          <t>Z92-CZ10009</t>
        </is>
      </c>
      <c r="Q763" s="3" t="inlineStr">
        <is>
          <t>77242113UCO2001</t>
        </is>
      </c>
    </row>
    <row r="764">
      <c r="A764" s="2" t="str">
        <f>HYPERLINK("https://vtmf.veevavault.com/ui/#doc_info/31137914/1/0", "77242113UCO2001-CZE-Z92-CZ10009-Drug Accountability Form-04 Mar 2026 (v1.0)")</f>
        <v>77242113UCO2001-CZE-Z92-CZ10009-Drug Accountability Form-04 Mar 2026 (v1.0)</v>
      </c>
      <c r="B764" s="3" t="inlineStr">
        <is>
          <t>Bela Lukavcová</t>
        </is>
      </c>
      <c r="C764" s="3" t="inlineStr">
        <is>
          <t>IP and Trial Supplies</t>
        </is>
      </c>
      <c r="D764" s="3" t="inlineStr">
        <is>
          <t>IP Documentation</t>
        </is>
      </c>
      <c r="E764" s="3" t="inlineStr">
        <is>
          <t>Drug Accountability Form</t>
        </is>
      </c>
      <c r="F764" s="3" t="inlineStr">
        <is>
          <t>Drug Accountability Form_Multiple Subjects_04Mar2026</t>
        </is>
      </c>
      <c r="G764" s="2" t="str">
        <f>HYPERLINK("https://vtmf.veevavault.com/ui/#doc_info/31137914/1/0", "VTMF-25105394")</f>
        <v>VTMF-25105394</v>
      </c>
      <c r="H764" s="3" t="inlineStr">
        <is>
          <t/>
        </is>
      </c>
      <c r="I764" s="3" t="inlineStr">
        <is>
          <t>System</t>
        </is>
      </c>
      <c r="J764" s="3" t="inlineStr">
        <is>
          <t>Bela Lukavcová</t>
        </is>
      </c>
      <c r="K764" s="4" t="n">
        <v>46090.44494212963</v>
      </c>
      <c r="L764" s="5" t="n">
        <v>46090.0</v>
      </c>
      <c r="M764" s="3" t="inlineStr">
        <is>
          <t>Approved</t>
        </is>
      </c>
      <c r="N764" s="3" t="inlineStr">
        <is>
          <t>Site Close</t>
        </is>
      </c>
      <c r="O764" s="3" t="inlineStr">
        <is>
          <t>Czech Republic</t>
        </is>
      </c>
      <c r="P764" s="3" t="inlineStr">
        <is>
          <t>Z92-CZ10009</t>
        </is>
      </c>
      <c r="Q764" s="3" t="inlineStr">
        <is>
          <t>77242113UCO2001</t>
        </is>
      </c>
    </row>
    <row r="765">
      <c r="A765" s="2" t="str">
        <f>HYPERLINK("https://vtmf.veevavault.com/ui/#doc_info/31137957/1/0", "77242113UCO2001-CZE-Z92-CZ10009-Drug Accountability Form-04 Mar 2026 (v1.0)")</f>
        <v>77242113UCO2001-CZE-Z92-CZ10009-Drug Accountability Form-04 Mar 2026 (v1.0)</v>
      </c>
      <c r="B765" s="3" t="inlineStr">
        <is>
          <t>Bela Lukavcová</t>
        </is>
      </c>
      <c r="C765" s="3" t="inlineStr">
        <is>
          <t>IP and Trial Supplies</t>
        </is>
      </c>
      <c r="D765" s="3" t="inlineStr">
        <is>
          <t>IP Documentation</t>
        </is>
      </c>
      <c r="E765" s="3" t="inlineStr">
        <is>
          <t>Drug Accountability Form</t>
        </is>
      </c>
      <c r="F765" s="3" t="inlineStr">
        <is>
          <t>Drug Accountability Form_Single_CZ10009001_04Mar2026</t>
        </is>
      </c>
      <c r="G765" s="2" t="str">
        <f>HYPERLINK("https://vtmf.veevavault.com/ui/#doc_info/31137957/1/0", "VTMF-25105495")</f>
        <v>VTMF-25105495</v>
      </c>
      <c r="H765" s="3" t="inlineStr">
        <is>
          <t/>
        </is>
      </c>
      <c r="I765" s="3" t="inlineStr">
        <is>
          <t>System</t>
        </is>
      </c>
      <c r="J765" s="3" t="inlineStr">
        <is>
          <t>Bela Lukavcová</t>
        </is>
      </c>
      <c r="K765" s="4" t="n">
        <v>46090.456296296295</v>
      </c>
      <c r="L765" s="5" t="n">
        <v>46090.0</v>
      </c>
      <c r="M765" s="3" t="inlineStr">
        <is>
          <t>Approved</t>
        </is>
      </c>
      <c r="N765" s="3" t="inlineStr">
        <is>
          <t>Site Close</t>
        </is>
      </c>
      <c r="O765" s="3" t="inlineStr">
        <is>
          <t>Czech Republic</t>
        </is>
      </c>
      <c r="P765" s="3" t="inlineStr">
        <is>
          <t>Z92-CZ10009</t>
        </is>
      </c>
      <c r="Q765" s="3" t="inlineStr">
        <is>
          <t>77242113UCO2001</t>
        </is>
      </c>
    </row>
    <row r="766">
      <c r="A766" s="2" t="str">
        <f>HYPERLINK("https://vtmf.veevavault.com/ui/#doc_info/31137986/1/0", "77242113UCO2001-CZE-Z92-CZ10009-Drug Accountability Form-04 Mar 2026 (v1.0)")</f>
        <v>77242113UCO2001-CZE-Z92-CZ10009-Drug Accountability Form-04 Mar 2026 (v1.0)</v>
      </c>
      <c r="B766" s="3" t="inlineStr">
        <is>
          <t>Bela Lukavcová</t>
        </is>
      </c>
      <c r="C766" s="3" t="inlineStr">
        <is>
          <t>IP and Trial Supplies</t>
        </is>
      </c>
      <c r="D766" s="3" t="inlineStr">
        <is>
          <t>IP Documentation</t>
        </is>
      </c>
      <c r="E766" s="3" t="inlineStr">
        <is>
          <t>Drug Accountability Form</t>
        </is>
      </c>
      <c r="F766" s="3" t="inlineStr">
        <is>
          <t>Drug Accountability Form_Single_CZ100090003_04Mar2026</t>
        </is>
      </c>
      <c r="G766" s="2" t="str">
        <f>HYPERLINK("https://vtmf.veevavault.com/ui/#doc_info/31137986/1/0", "VTMF-25105575")</f>
        <v>VTMF-25105575</v>
      </c>
      <c r="H766" s="3" t="inlineStr">
        <is>
          <t/>
        </is>
      </c>
      <c r="I766" s="3" t="inlineStr">
        <is>
          <t>System</t>
        </is>
      </c>
      <c r="J766" s="3" t="inlineStr">
        <is>
          <t>Bela Lukavcová</t>
        </is>
      </c>
      <c r="K766" s="4" t="n">
        <v>46090.465208333335</v>
      </c>
      <c r="L766" s="5" t="n">
        <v>46090.0</v>
      </c>
      <c r="M766" s="3" t="inlineStr">
        <is>
          <t>Approved</t>
        </is>
      </c>
      <c r="N766" s="3" t="inlineStr">
        <is>
          <t>Site Close</t>
        </is>
      </c>
      <c r="O766" s="3" t="inlineStr">
        <is>
          <t>Czech Republic</t>
        </is>
      </c>
      <c r="P766" s="3" t="inlineStr">
        <is>
          <t>Z92-CZ10009</t>
        </is>
      </c>
      <c r="Q766" s="3" t="inlineStr">
        <is>
          <t>77242113UCO2001</t>
        </is>
      </c>
    </row>
    <row r="767">
      <c r="A767" s="2" t="str">
        <f>HYPERLINK("https://vtmf.veevavault.com/ui/#doc_info/31138108/1/0", "77242113UCO2001-CZE-Z92-CZ10009-Drug Accountability Form-04 Mar 2026 (v1.0)")</f>
        <v>77242113UCO2001-CZE-Z92-CZ10009-Drug Accountability Form-04 Mar 2026 (v1.0)</v>
      </c>
      <c r="B767" s="3" t="inlineStr">
        <is>
          <t>Bela Lukavcová</t>
        </is>
      </c>
      <c r="C767" s="3" t="inlineStr">
        <is>
          <t>IP and Trial Supplies</t>
        </is>
      </c>
      <c r="D767" s="3" t="inlineStr">
        <is>
          <t>IP Documentation</t>
        </is>
      </c>
      <c r="E767" s="3" t="inlineStr">
        <is>
          <t>Drug Accountability Form</t>
        </is>
      </c>
      <c r="F767" s="3" t="inlineStr">
        <is>
          <t>Drug Accountability Form_Single_CZ100090002_04Mar2026_Missing ticked Tablets in section "Lowest Unit of Measure"</t>
        </is>
      </c>
      <c r="G767" s="2" t="str">
        <f>HYPERLINK("https://vtmf.veevavault.com/ui/#doc_info/31138108/1/0", "VTMF-25105466")</f>
        <v>VTMF-25105466</v>
      </c>
      <c r="H767" s="3" t="inlineStr">
        <is>
          <t/>
        </is>
      </c>
      <c r="I767" s="3" t="inlineStr">
        <is>
          <t>System</t>
        </is>
      </c>
      <c r="J767" s="3" t="inlineStr">
        <is>
          <t>Bela Lukavcová</t>
        </is>
      </c>
      <c r="K767" s="4" t="n">
        <v>46090.453784722224</v>
      </c>
      <c r="L767" s="5" t="n">
        <v>46090.0</v>
      </c>
      <c r="M767" s="3" t="inlineStr">
        <is>
          <t>Approved</t>
        </is>
      </c>
      <c r="N767" s="3" t="inlineStr">
        <is>
          <t>Site Close</t>
        </is>
      </c>
      <c r="O767" s="3" t="inlineStr">
        <is>
          <t>Czech Republic</t>
        </is>
      </c>
      <c r="P767" s="3" t="inlineStr">
        <is>
          <t>Z92-CZ10009</t>
        </is>
      </c>
      <c r="Q767" s="3" t="inlineStr">
        <is>
          <t>77242113UCO2001</t>
        </is>
      </c>
    </row>
    <row r="768">
      <c r="A768" s="2" t="str">
        <f>HYPERLINK("https://vtmf.veevavault.com/ui/#doc_info/31138142/1/0", "77242113UCO2001-CZE-Z92-CZ10009-Drug Accountability Form-04 Mar 2026 (v1.0)")</f>
        <v>77242113UCO2001-CZE-Z92-CZ10009-Drug Accountability Form-04 Mar 2026 (v1.0)</v>
      </c>
      <c r="B768" s="3" t="inlineStr">
        <is>
          <t>Bela Lukavcová</t>
        </is>
      </c>
      <c r="C768" s="3" t="inlineStr">
        <is>
          <t>IP and Trial Supplies</t>
        </is>
      </c>
      <c r="D768" s="3" t="inlineStr">
        <is>
          <t>IP Documentation</t>
        </is>
      </c>
      <c r="E768" s="3" t="inlineStr">
        <is>
          <t>Drug Accountability Form</t>
        </is>
      </c>
      <c r="F768" s="3" t="inlineStr">
        <is>
          <t>Drug Accountability Form_Single_CZ100090002_04Mar2026</t>
        </is>
      </c>
      <c r="G768" s="2" t="str">
        <f>HYPERLINK("https://vtmf.veevavault.com/ui/#doc_info/31138142/1/0", "VTMF-25105522")</f>
        <v>VTMF-25105522</v>
      </c>
      <c r="H768" s="3" t="inlineStr">
        <is>
          <t/>
        </is>
      </c>
      <c r="I768" s="3" t="inlineStr">
        <is>
          <t>System</t>
        </is>
      </c>
      <c r="J768" s="3" t="inlineStr">
        <is>
          <t>Bela Lukavcová</t>
        </is>
      </c>
      <c r="K768" s="4" t="n">
        <v>46090.459282407406</v>
      </c>
      <c r="L768" s="5" t="n">
        <v>46090.0</v>
      </c>
      <c r="M768" s="3" t="inlineStr">
        <is>
          <t>Approved</t>
        </is>
      </c>
      <c r="N768" s="3" t="inlineStr">
        <is>
          <t>Site Close</t>
        </is>
      </c>
      <c r="O768" s="3" t="inlineStr">
        <is>
          <t>Czech Republic</t>
        </is>
      </c>
      <c r="P768" s="3" t="inlineStr">
        <is>
          <t>Z92-CZ10009</t>
        </is>
      </c>
      <c r="Q768" s="3" t="inlineStr">
        <is>
          <t>77242113UCO2001</t>
        </is>
      </c>
    </row>
    <row r="769">
      <c r="A769" s="2" t="str">
        <f>HYPERLINK("https://vtmf.veevavault.com/ui/#doc_info/31138191/1/0", "77242113UCO2001-CZE-Z92-CZ10009-Drug Accountability Form-04 Mar 2026 (v1.0)")</f>
        <v>77242113UCO2001-CZE-Z92-CZ10009-Drug Accountability Form-04 Mar 2026 (v1.0)</v>
      </c>
      <c r="B769" s="3" t="inlineStr">
        <is>
          <t>Bela Lukavcová</t>
        </is>
      </c>
      <c r="C769" s="3" t="inlineStr">
        <is>
          <t>IP and Trial Supplies</t>
        </is>
      </c>
      <c r="D769" s="3" t="inlineStr">
        <is>
          <t>IP Documentation</t>
        </is>
      </c>
      <c r="E769" s="3" t="inlineStr">
        <is>
          <t>Drug Accountability Form</t>
        </is>
      </c>
      <c r="F769" s="3" t="inlineStr">
        <is>
          <t>Drug Accountability Form_Single_CZ100090004_04Mar2026</t>
        </is>
      </c>
      <c r="G769" s="2" t="str">
        <f>HYPERLINK("https://vtmf.veevavault.com/ui/#doc_info/31138191/1/0", "VTMF-25105594")</f>
        <v>VTMF-25105594</v>
      </c>
      <c r="H769" s="3" t="inlineStr">
        <is>
          <t/>
        </is>
      </c>
      <c r="I769" s="3" t="inlineStr">
        <is>
          <t>System</t>
        </is>
      </c>
      <c r="J769" s="3" t="inlineStr">
        <is>
          <t>Bela Lukavcová</t>
        </is>
      </c>
      <c r="K769" s="4" t="n">
        <v>46090.468564814815</v>
      </c>
      <c r="L769" s="5" t="n">
        <v>46090.0</v>
      </c>
      <c r="M769" s="3" t="inlineStr">
        <is>
          <t>Approved</t>
        </is>
      </c>
      <c r="N769" s="3" t="inlineStr">
        <is>
          <t>Site Close</t>
        </is>
      </c>
      <c r="O769" s="3" t="inlineStr">
        <is>
          <t>Czech Republic</t>
        </is>
      </c>
      <c r="P769" s="3" t="inlineStr">
        <is>
          <t>Z92-CZ10009</t>
        </is>
      </c>
      <c r="Q769" s="3" t="inlineStr">
        <is>
          <t>77242113UCO2001</t>
        </is>
      </c>
    </row>
    <row r="770">
      <c r="A770" s="2" t="str">
        <f>HYPERLINK("https://vtmf.veevavault.com/ui/#doc_info/25492836/1/0", "77242113UCO2001-CZE-Z92-CZ10009-Electronic Source Data Compliance Assessment Questionnaire (ESDCAQ)- (v1.0)")</f>
        <v>77242113UCO2001-CZE-Z92-CZ10009-Electronic Source Data Compliance Assessment Questionnaire (ESDCAQ)- (v1.0)</v>
      </c>
      <c r="B770" s="3" t="inlineStr">
        <is>
          <t>vi-1072 RPA_Bot2</t>
        </is>
      </c>
      <c r="C770" s="3" t="inlineStr">
        <is>
          <t>Site Management</t>
        </is>
      </c>
      <c r="D770" s="3" t="inlineStr">
        <is>
          <t>Site Set-up Documentation</t>
        </is>
      </c>
      <c r="E770" s="3" t="inlineStr">
        <is>
          <t>ESDCAQ</t>
        </is>
      </c>
      <c r="F770" s="3" t="inlineStr">
        <is>
          <t>ESDCAQ 1</t>
        </is>
      </c>
      <c r="G770" s="2" t="str">
        <f>HYPERLINK("https://vtmf.veevavault.com/ui/#doc_info/25492836/1/0", "VTMF-20333183")</f>
        <v>VTMF-20333183</v>
      </c>
      <c r="H770" s="3" t="inlineStr">
        <is>
          <t/>
        </is>
      </c>
      <c r="I770" s="3" t="inlineStr">
        <is>
          <t>Anthony Suarez (veeva.com)</t>
        </is>
      </c>
      <c r="J770" s="3" t="inlineStr">
        <is>
          <t>vi-1072 RPA_Bot2</t>
        </is>
      </c>
      <c r="K770" s="4" t="n">
        <v>45302.97677083333</v>
      </c>
      <c r="L770" s="5" t="n">
        <v>45302.0</v>
      </c>
      <c r="M770" s="3" t="inlineStr">
        <is>
          <t>Approved</t>
        </is>
      </c>
      <c r="N770" s="3" t="inlineStr">
        <is>
          <t>Available for Distribution, CLIX Filing, Site Close</t>
        </is>
      </c>
      <c r="O770" s="3" t="inlineStr">
        <is>
          <t>Czech Republic</t>
        </is>
      </c>
      <c r="P770" s="3" t="inlineStr">
        <is>
          <t>Z92-CZ10009</t>
        </is>
      </c>
      <c r="Q770" s="3" t="inlineStr">
        <is>
          <t>77242113UCO2001</t>
        </is>
      </c>
    </row>
    <row r="771">
      <c r="A771" s="2" t="str">
        <f>HYPERLINK("https://vtmf.veevavault.com/ui/#doc_info/24275183/1/0", "77242113UCO2001-CZE-Z92-CZ10009-Feasibility Documentation-16 Jun 2023 (v1.0)")</f>
        <v>77242113UCO2001-CZE-Z92-CZ10009-Feasibility Documentation-16 Jun 2023 (v1.0)</v>
      </c>
      <c r="B771" s="3" t="inlineStr">
        <is>
          <t>Vladimir Buzalka</t>
        </is>
      </c>
      <c r="C771" s="3" t="inlineStr">
        <is>
          <t>Site Management</t>
        </is>
      </c>
      <c r="D771" s="3" t="inlineStr">
        <is>
          <t>Site Selection</t>
        </is>
      </c>
      <c r="E771" s="3" t="inlineStr">
        <is>
          <t>Feasibility Documentation</t>
        </is>
      </c>
      <c r="F771" s="3" t="inlineStr">
        <is>
          <t>Site selection notification 16JUN2023</t>
        </is>
      </c>
      <c r="G771" s="2" t="str">
        <f>HYPERLINK("https://vtmf.veevavault.com/ui/#doc_info/24275183/1/0", "VTMF-19271091")</f>
        <v>VTMF-19271091</v>
      </c>
      <c r="H771" s="3" t="inlineStr">
        <is>
          <t/>
        </is>
      </c>
      <c r="I771" s="3" t="inlineStr">
        <is>
          <t>Anthony Suarez (veeva.com)</t>
        </is>
      </c>
      <c r="J771" s="3" t="inlineStr">
        <is>
          <t>Vladimir Buzalka</t>
        </is>
      </c>
      <c r="K771" s="4" t="n">
        <v>45093.409837962965</v>
      </c>
      <c r="L771" s="5" t="n">
        <v>45093.0</v>
      </c>
      <c r="M771" s="3" t="inlineStr">
        <is>
          <t>Approved</t>
        </is>
      </c>
      <c r="N771" s="3" t="inlineStr">
        <is>
          <t>Available for Distribution, CLIX Filing, Site Close</t>
        </is>
      </c>
      <c r="O771" s="3" t="inlineStr">
        <is>
          <t>Czech Republic</t>
        </is>
      </c>
      <c r="P771" s="3" t="inlineStr">
        <is>
          <t>Z92-CZ10009</t>
        </is>
      </c>
      <c r="Q771" s="3" t="inlineStr">
        <is>
          <t>77242113UCO2001</t>
        </is>
      </c>
    </row>
    <row r="772">
      <c r="A772" s="2" t="str">
        <f>HYPERLINK("https://vtmf.veevavault.com/ui/#doc_info/31187774/1/0", "77242113UCO2001-CZE-Z92-CZ10009-Final Trial Close Out Monitoring Report-04 Mar 2026 (v1.0)")</f>
        <v>77242113UCO2001-CZE-Z92-CZ10009-Final Trial Close Out Monitoring Report-04 Mar 2026 (v1.0)</v>
      </c>
      <c r="B772" s="3" t="inlineStr">
        <is>
          <t>Admin User Medidata</t>
        </is>
      </c>
      <c r="C772" s="3" t="inlineStr">
        <is>
          <t>Site Management</t>
        </is>
      </c>
      <c r="D772" s="3" t="inlineStr">
        <is>
          <t>Site Management</t>
        </is>
      </c>
      <c r="E772" s="3" t="inlineStr">
        <is>
          <t>Final Trial Close Out Monitoring Report</t>
        </is>
      </c>
      <c r="F772" s="3" t="inlineStr">
        <is>
          <t/>
        </is>
      </c>
      <c r="G772" s="2" t="str">
        <f>HYPERLINK("https://vtmf.veevavault.com/ui/#doc_info/31187774/1/0", "VTMF-25147820")</f>
        <v>VTMF-25147820</v>
      </c>
      <c r="H772" s="3" t="inlineStr">
        <is>
          <t/>
        </is>
      </c>
      <c r="I772" s="3" t="inlineStr">
        <is>
          <t>System</t>
        </is>
      </c>
      <c r="J772" s="3" t="inlineStr">
        <is>
          <t>Admin User Medidata</t>
        </is>
      </c>
      <c r="K772" s="4" t="n">
        <v>46097.47655092592</v>
      </c>
      <c r="L772" s="5" t="n">
        <v>46097.0</v>
      </c>
      <c r="M772" s="3" t="inlineStr">
        <is>
          <t>Approved</t>
        </is>
      </c>
      <c r="N772" s="3" t="inlineStr">
        <is>
          <t>Site Close</t>
        </is>
      </c>
      <c r="O772" s="3" t="inlineStr">
        <is>
          <t>Czech Republic</t>
        </is>
      </c>
      <c r="P772" s="3" t="inlineStr">
        <is>
          <t>Z92-CZ10009</t>
        </is>
      </c>
      <c r="Q772" s="3" t="inlineStr">
        <is>
          <t>77242113UCO2001</t>
        </is>
      </c>
    </row>
    <row r="773">
      <c r="A773" s="2" t="str">
        <f>HYPERLINK("https://vtmf.veevavault.com/ui/#doc_info/25520651/1/0", "77242113UCO2001-CZE-Z92-CZ10009-Financial Disclosure Form-11 Jan 2024 (v1.0)")</f>
        <v>77242113UCO2001-CZE-Z92-CZ10009-Financial Disclosure Form-11 Jan 2024 (v1.0)</v>
      </c>
      <c r="B773" s="3" t="inlineStr">
        <is>
          <t>Lenka Placha</t>
        </is>
      </c>
      <c r="C773" s="3" t="inlineStr">
        <is>
          <t>Site Management</t>
        </is>
      </c>
      <c r="D773" s="3" t="inlineStr">
        <is>
          <t>Site Set-up Documentation</t>
        </is>
      </c>
      <c r="E773" s="3" t="inlineStr">
        <is>
          <t>Financial Disclosure Form</t>
        </is>
      </c>
      <c r="F773" s="3" t="inlineStr">
        <is>
          <t>IFDF SI Falc Matej_ initial_11Jan24</t>
        </is>
      </c>
      <c r="G773" s="2" t="str">
        <f>HYPERLINK("https://vtmf.veevavault.com/ui/#doc_info/25520651/1/0", "VTMF-20357423")</f>
        <v>VTMF-20357423</v>
      </c>
      <c r="H773" s="3" t="inlineStr">
        <is>
          <t/>
        </is>
      </c>
      <c r="I773" s="3" t="inlineStr">
        <is>
          <t>Anthony Suarez (veeva.com)</t>
        </is>
      </c>
      <c r="J773" s="3" t="inlineStr">
        <is>
          <t>Lenka Placha</t>
        </is>
      </c>
      <c r="K773" s="4" t="n">
        <v>45308.63952546296</v>
      </c>
      <c r="L773" s="5" t="n">
        <v>45308.0</v>
      </c>
      <c r="M773" s="3" t="inlineStr">
        <is>
          <t>Approved</t>
        </is>
      </c>
      <c r="N773" s="3" t="inlineStr">
        <is>
          <t>Available for Distribution, IP Release, Ready for TMF Lock, Site Start</t>
        </is>
      </c>
      <c r="O773" s="3" t="inlineStr">
        <is>
          <t>Czech Republic</t>
        </is>
      </c>
      <c r="P773" s="3" t="inlineStr">
        <is>
          <t>Z92-CZ10009</t>
        </is>
      </c>
      <c r="Q773" s="3" t="inlineStr">
        <is>
          <t>77242113UCO2001</t>
        </is>
      </c>
    </row>
    <row r="774">
      <c r="A774" s="2" t="str">
        <f>HYPERLINK("https://vtmf.veevavault.com/ui/#doc_info/24104039/2/0", "77242113UCO2001-CZE-Z92-CZ10009-Form FDA1572-21 Feb 2024 (v2.0)")</f>
        <v>77242113UCO2001-CZE-Z92-CZ10009-Form FDA1572-21 Feb 2024 (v2.0)</v>
      </c>
      <c r="B774" s="3" t="inlineStr">
        <is>
          <t>EDL Admin</t>
        </is>
      </c>
      <c r="C774" s="3" t="inlineStr">
        <is>
          <t>Site Management</t>
        </is>
      </c>
      <c r="D774" s="3" t="inlineStr">
        <is>
          <t>Site Set-up Documentation</t>
        </is>
      </c>
      <c r="E774" s="3" t="inlineStr">
        <is>
          <t>Form FDA1572</t>
        </is>
      </c>
      <c r="F774" s="3" t="inlineStr">
        <is>
          <t>FDA 1572_Peterka Martin_initial_09Jan24_not signed_update 21Feb24</t>
        </is>
      </c>
      <c r="G774" s="2" t="str">
        <f>HYPERLINK("https://vtmf.veevavault.com/ui/#doc_info/24104039/2/0", "VTMF-19118663")</f>
        <v>VTMF-19118663</v>
      </c>
      <c r="H774" s="3" t="inlineStr">
        <is>
          <t/>
        </is>
      </c>
      <c r="I774" s="3" t="inlineStr">
        <is>
          <t>Anthony Suarez (veeva.com)</t>
        </is>
      </c>
      <c r="J774" s="3" t="inlineStr">
        <is>
          <t>Lenka Placha</t>
        </is>
      </c>
      <c r="K774" s="4" t="n">
        <v>45343.981145833335</v>
      </c>
      <c r="L774" s="5" t="n">
        <v>45343.0</v>
      </c>
      <c r="M774" s="3" t="inlineStr">
        <is>
          <t>Approved</t>
        </is>
      </c>
      <c r="N774" s="3" t="inlineStr">
        <is>
          <t>Available for Distribution, CLIX Filing, Site Close</t>
        </is>
      </c>
      <c r="O774" s="3" t="inlineStr">
        <is>
          <t>Czech Republic</t>
        </is>
      </c>
      <c r="P774" s="3" t="inlineStr">
        <is>
          <t>Z92-CZ10009</t>
        </is>
      </c>
      <c r="Q774" s="3" t="inlineStr">
        <is>
          <t>77242113UCO2001</t>
        </is>
      </c>
    </row>
    <row r="775">
      <c r="A775" s="2" t="str">
        <f>HYPERLINK("https://vtmf.veevavault.com/ui/#doc_info/29934522/1/0", "77242113UCO2001-CZE-Z92-CZ10009-Handover Document/Transition Checklist-11 Sep 2025 (v1.0)")</f>
        <v>77242113UCO2001-CZE-Z92-CZ10009-Handover Document/Transition Checklist-11 Sep 2025 (v1.0)</v>
      </c>
      <c r="B775" s="3" t="inlineStr">
        <is>
          <t>Lenka Placha</t>
        </is>
      </c>
      <c r="C775" s="3" t="inlineStr">
        <is>
          <t>Trial Management</t>
        </is>
      </c>
      <c r="D775" s="3" t="inlineStr">
        <is>
          <t>Trial Team</t>
        </is>
      </c>
      <c r="E775" s="3" t="inlineStr">
        <is>
          <t>Handover Document/Transition Checklist</t>
        </is>
      </c>
      <c r="F775" s="3" t="inlineStr">
        <is>
          <t>handover_77242113UCO2001_ site Z92-CZ10009_ Placha Lenka_Ruiz Kajtarova Agnesa _11Sep25</t>
        </is>
      </c>
      <c r="G775" s="2" t="str">
        <f>HYPERLINK("https://vtmf.veevavault.com/ui/#doc_info/29934522/1/0", "VTMF-24097120")</f>
        <v>VTMF-24097120</v>
      </c>
      <c r="H775" s="3" t="inlineStr">
        <is>
          <t/>
        </is>
      </c>
      <c r="I775" s="3" t="inlineStr">
        <is>
          <t>Vladimir Buzalka</t>
        </is>
      </c>
      <c r="J775" s="3" t="inlineStr">
        <is>
          <t>Lenka Placha</t>
        </is>
      </c>
      <c r="K775" s="4" t="n">
        <v>45911.54394675926</v>
      </c>
      <c r="L775" s="5" t="n">
        <v>45911.0</v>
      </c>
      <c r="M775" s="3" t="inlineStr">
        <is>
          <t>Approved</t>
        </is>
      </c>
      <c r="N775" s="3" t="inlineStr">
        <is>
          <t>Not associated to a milestone</t>
        </is>
      </c>
      <c r="O775" s="3" t="inlineStr">
        <is>
          <t>Czech Republic</t>
        </is>
      </c>
      <c r="P775" s="3" t="inlineStr">
        <is>
          <t>Z92-CZ10009</t>
        </is>
      </c>
      <c r="Q775" s="3" t="inlineStr">
        <is>
          <t>77242113UCO2001</t>
        </is>
      </c>
    </row>
    <row r="776">
      <c r="A776" s="2" t="str">
        <f>HYPERLINK("https://vtmf.veevavault.com/ui/#doc_info/29533771/1/0", "77242113UCO2001-CZE-Z92-CZ10009-IP Destruction Form-13 Jun 2025 (v1.0)")</f>
        <v>77242113UCO2001-CZE-Z92-CZ10009-IP Destruction Form-13 Jun 2025 (v1.0)</v>
      </c>
      <c r="B776" s="3" t="inlineStr">
        <is>
          <t>Jitka Kone</t>
        </is>
      </c>
      <c r="C776" s="3" t="inlineStr">
        <is>
          <t>IP and Trial Supplies</t>
        </is>
      </c>
      <c r="D776" s="3" t="inlineStr">
        <is>
          <t>IP Documentation</t>
        </is>
      </c>
      <c r="E776" s="3" t="inlineStr">
        <is>
          <t>IP Destruction Form</t>
        </is>
      </c>
      <c r="F776" s="3" t="inlineStr">
        <is>
          <t>Destruction form CZ-DESTR-047-2025</t>
        </is>
      </c>
      <c r="G776" s="2" t="str">
        <f>HYPERLINK("https://vtmf.veevavault.com/ui/#doc_info/29533771/1/0", "VTMF-23753930")</f>
        <v>VTMF-23753930</v>
      </c>
      <c r="H776" s="3" t="inlineStr">
        <is>
          <t/>
        </is>
      </c>
      <c r="I776" s="3" t="inlineStr">
        <is>
          <t>System</t>
        </is>
      </c>
      <c r="J776" s="3" t="inlineStr">
        <is>
          <t>Jitka Kone</t>
        </is>
      </c>
      <c r="K776" s="4" t="n">
        <v>45848.67587962963</v>
      </c>
      <c r="L776" s="5" t="n">
        <v>45848.0</v>
      </c>
      <c r="M776" s="3" t="inlineStr">
        <is>
          <t>Approved</t>
        </is>
      </c>
      <c r="N776" s="3" t="inlineStr">
        <is>
          <t>Available for Distribution, CLIX Filing, Country Close, Site Close</t>
        </is>
      </c>
      <c r="O776" s="3" t="inlineStr">
        <is>
          <t>Czech Republic</t>
        </is>
      </c>
      <c r="P776" s="3" t="inlineStr">
        <is>
          <t>Z92-CZ10009</t>
        </is>
      </c>
      <c r="Q776" s="3" t="inlineStr">
        <is>
          <t>77242113UCO2001</t>
        </is>
      </c>
    </row>
    <row r="777">
      <c r="A777" s="2" t="str">
        <f>HYPERLINK("https://vtmf.veevavault.com/ui/#doc_info/27443087/1/0", "77242113UCO2001-CZE-Z92-CZ10009-IP Destruction Form-23 Sep 2024 (v1.0)")</f>
        <v>77242113UCO2001-CZE-Z92-CZ10009-IP Destruction Form-23 Sep 2024 (v1.0)</v>
      </c>
      <c r="B777" s="3" t="inlineStr">
        <is>
          <t>Jana Seemanova</t>
        </is>
      </c>
      <c r="C777" s="3" t="inlineStr">
        <is>
          <t>IP and Trial Supplies</t>
        </is>
      </c>
      <c r="D777" s="3" t="inlineStr">
        <is>
          <t>IP Documentation</t>
        </is>
      </c>
      <c r="E777" s="3" t="inlineStr">
        <is>
          <t>IP Destruction Form</t>
        </is>
      </c>
      <c r="F777" s="3" t="inlineStr">
        <is>
          <t>Desctruction log_CZ-DESTR-085-2024</t>
        </is>
      </c>
      <c r="G777" s="2" t="str">
        <f>HYPERLINK("https://vtmf.veevavault.com/ui/#doc_info/27443087/1/0", "VTMF-22008364")</f>
        <v>VTMF-22008364</v>
      </c>
      <c r="H777" s="3" t="inlineStr">
        <is>
          <t/>
        </is>
      </c>
      <c r="I777" s="3" t="inlineStr">
        <is>
          <t>System</t>
        </is>
      </c>
      <c r="J777" s="3" t="inlineStr">
        <is>
          <t>Jana Seemanova</t>
        </is>
      </c>
      <c r="K777" s="4" t="n">
        <v>45603.67953703704</v>
      </c>
      <c r="L777" s="5" t="n">
        <v>45603.0</v>
      </c>
      <c r="M777" s="3" t="inlineStr">
        <is>
          <t>Approved</t>
        </is>
      </c>
      <c r="N777" s="3" t="inlineStr">
        <is>
          <t>Available for Distribution, CLIX Filing, Country Close, Site Close</t>
        </is>
      </c>
      <c r="O777" s="3" t="inlineStr">
        <is>
          <t>Czech Republic</t>
        </is>
      </c>
      <c r="P777" s="3" t="inlineStr">
        <is>
          <t>Z92-CZ10009</t>
        </is>
      </c>
      <c r="Q777" s="3" t="inlineStr">
        <is>
          <t>77242113UCO2001</t>
        </is>
      </c>
    </row>
    <row r="778">
      <c r="A778" s="2" t="str">
        <f>HYPERLINK("https://vtmf.veevavault.com/ui/#doc_info/28691279/1/0", "77242113UCO2001-CZE-Z92-CZ10009-IP Destruction Form-24 Feb 2025 (v1.0)")</f>
        <v>77242113UCO2001-CZE-Z92-CZ10009-IP Destruction Form-24 Feb 2025 (v1.0)</v>
      </c>
      <c r="B778" s="3" t="inlineStr">
        <is>
          <t>Jitka Kone</t>
        </is>
      </c>
      <c r="C778" s="3" t="inlineStr">
        <is>
          <t>IP and Trial Supplies</t>
        </is>
      </c>
      <c r="D778" s="3" t="inlineStr">
        <is>
          <t>IP Documentation</t>
        </is>
      </c>
      <c r="E778" s="3" t="inlineStr">
        <is>
          <t>IP Destruction Form</t>
        </is>
      </c>
      <c r="F778" s="3" t="inlineStr">
        <is>
          <t>Destructon log CZ-DESTR-011-2025</t>
        </is>
      </c>
      <c r="G778" s="2" t="str">
        <f>HYPERLINK("https://vtmf.veevavault.com/ui/#doc_info/28691279/1/0", "VTMF-23047276")</f>
        <v>VTMF-23047276</v>
      </c>
      <c r="H778" s="3" t="inlineStr">
        <is>
          <t/>
        </is>
      </c>
      <c r="I778" s="3" t="inlineStr">
        <is>
          <t>Anthony Suarez (veeva.com)</t>
        </is>
      </c>
      <c r="J778" s="3" t="inlineStr">
        <is>
          <t>Jitka Kone</t>
        </is>
      </c>
      <c r="K778" s="4" t="n">
        <v>45734.531875</v>
      </c>
      <c r="L778" s="5" t="n">
        <v>45734.0</v>
      </c>
      <c r="M778" s="3" t="inlineStr">
        <is>
          <t>Approved</t>
        </is>
      </c>
      <c r="N778" s="3" t="inlineStr">
        <is>
          <t>Available for Distribution, CLIX Filing, Country Close, Site Close</t>
        </is>
      </c>
      <c r="O778" s="3" t="inlineStr">
        <is>
          <t>Czech Republic</t>
        </is>
      </c>
      <c r="P778" s="3" t="inlineStr">
        <is>
          <t>Z92-CZ10009</t>
        </is>
      </c>
      <c r="Q778" s="3" t="inlineStr">
        <is>
          <t>77242113UCO2001</t>
        </is>
      </c>
    </row>
    <row r="779">
      <c r="A779" s="2" t="str">
        <f>HYPERLINK("https://vtmf.veevavault.com/ui/#doc_info/30716043/1/0", "77242113UCO2001-CZE-Z92-CZ10009-IP Destruction Form-27 Oct 2025 (v1.0)")</f>
        <v>77242113UCO2001-CZE-Z92-CZ10009-IP Destruction Form-27 Oct 2025 (v1.0)</v>
      </c>
      <c r="B779" s="3" t="inlineStr">
        <is>
          <t>Jitka Kone</t>
        </is>
      </c>
      <c r="C779" s="3" t="inlineStr">
        <is>
          <t>IP and Trial Supplies</t>
        </is>
      </c>
      <c r="D779" s="3" t="inlineStr">
        <is>
          <t>IP Documentation</t>
        </is>
      </c>
      <c r="E779" s="3" t="inlineStr">
        <is>
          <t>IP Destruction Form</t>
        </is>
      </c>
      <c r="F779" s="3" t="inlineStr">
        <is>
          <t>Destruction form_CZ-DESTR-088-2025</t>
        </is>
      </c>
      <c r="G779" s="2" t="str">
        <f>HYPERLINK("https://vtmf.veevavault.com/ui/#doc_info/30716043/1/0", "VTMF-24750650")</f>
        <v>VTMF-24750650</v>
      </c>
      <c r="H779" s="3" t="inlineStr">
        <is>
          <t/>
        </is>
      </c>
      <c r="I779" s="3" t="inlineStr">
        <is>
          <t>System</t>
        </is>
      </c>
      <c r="J779" s="3" t="inlineStr">
        <is>
          <t>Jitka Kone</t>
        </is>
      </c>
      <c r="K779" s="4" t="n">
        <v>46027.608761574076</v>
      </c>
      <c r="L779" s="5" t="n">
        <v>46027.0</v>
      </c>
      <c r="M779" s="3" t="inlineStr">
        <is>
          <t>Approved</t>
        </is>
      </c>
      <c r="N779" s="3" t="inlineStr">
        <is>
          <t>Available for Distribution, CLIX Filing, Country Close, Site Close</t>
        </is>
      </c>
      <c r="O779" s="3" t="inlineStr">
        <is>
          <t>Czech Republic</t>
        </is>
      </c>
      <c r="P779" s="3" t="inlineStr">
        <is>
          <t>Z92-CZ10009</t>
        </is>
      </c>
      <c r="Q779" s="3" t="inlineStr">
        <is>
          <t>77242113UCO2001</t>
        </is>
      </c>
    </row>
    <row r="780">
      <c r="A780" s="2" t="str">
        <f>HYPERLINK("https://vtmf.veevavault.com/ui/#doc_info/31168093/1/0", "77242113UCO2001-CZE-Z92-CZ10009-IP Destruction Form-30 Jan 2026 (v1.0)")</f>
        <v>77242113UCO2001-CZE-Z92-CZ10009-IP Destruction Form-30 Jan 2026 (v1.0)</v>
      </c>
      <c r="B780" s="3" t="inlineStr">
        <is>
          <t>Jitka Kone</t>
        </is>
      </c>
      <c r="C780" s="3" t="inlineStr">
        <is>
          <t>IP and Trial Supplies</t>
        </is>
      </c>
      <c r="D780" s="3" t="inlineStr">
        <is>
          <t>IP Documentation</t>
        </is>
      </c>
      <c r="E780" s="3" t="inlineStr">
        <is>
          <t>IP Destruction Form</t>
        </is>
      </c>
      <c r="F780" s="3" t="inlineStr">
        <is>
          <t>Destruction form CZ-DESTR-006-2026</t>
        </is>
      </c>
      <c r="G780" s="2" t="str">
        <f>HYPERLINK("https://vtmf.veevavault.com/ui/#doc_info/31168093/1/0", "VTMF-25131327")</f>
        <v>VTMF-25131327</v>
      </c>
      <c r="H780" s="3" t="inlineStr">
        <is>
          <t/>
        </is>
      </c>
      <c r="I780" s="3" t="inlineStr">
        <is>
          <t>System</t>
        </is>
      </c>
      <c r="J780" s="3" t="inlineStr">
        <is>
          <t>Jitka Kone</t>
        </is>
      </c>
      <c r="K780" s="4" t="n">
        <v>46093.36914351852</v>
      </c>
      <c r="L780" s="5" t="n">
        <v>46093.0</v>
      </c>
      <c r="M780" s="3" t="inlineStr">
        <is>
          <t>Approved</t>
        </is>
      </c>
      <c r="N780" s="3" t="inlineStr">
        <is>
          <t>Available for Distribution, CLIX Filing, Country Close, Site Close</t>
        </is>
      </c>
      <c r="O780" s="3" t="inlineStr">
        <is>
          <t>Czech Republic</t>
        </is>
      </c>
      <c r="P780" s="3" t="inlineStr">
        <is>
          <t>Z92-CZ10009</t>
        </is>
      </c>
      <c r="Q780" s="3" t="inlineStr">
        <is>
          <t>77242113UCO2001</t>
        </is>
      </c>
    </row>
    <row r="781">
      <c r="A781" s="2" t="str">
        <f>HYPERLINK("https://vtmf.veevavault.com/ui/#doc_info/25538049/1/0", "77242113UCO2001-CZE-Z92-CZ10009-IP Site Release Documentation-19 Jan 2024 (v1.0)")</f>
        <v>77242113UCO2001-CZE-Z92-CZ10009-IP Site Release Documentation-19 Jan 2024 (v1.0)</v>
      </c>
      <c r="B781" s="3" t="inlineStr">
        <is>
          <t>Vladimir Buzalka</t>
        </is>
      </c>
      <c r="C781" s="3" t="inlineStr">
        <is>
          <t>Site Management</t>
        </is>
      </c>
      <c r="D781" s="3" t="inlineStr">
        <is>
          <t>Site Set-up Documentation</t>
        </is>
      </c>
      <c r="E781" s="3" t="inlineStr">
        <is>
          <t>IP Site Release Documentation</t>
        </is>
      </c>
      <c r="F781" s="3" t="inlineStr">
        <is>
          <t>IP approval form 19JAN2024</t>
        </is>
      </c>
      <c r="G781" s="2" t="str">
        <f>HYPERLINK("https://vtmf.veevavault.com/ui/#doc_info/25538049/1/0", "VTMF-20372336")</f>
        <v>VTMF-20372336</v>
      </c>
      <c r="H781" s="3" t="inlineStr">
        <is>
          <t/>
        </is>
      </c>
      <c r="I781" s="3" t="inlineStr">
        <is>
          <t>Anthony Suarez (veeva.com)</t>
        </is>
      </c>
      <c r="J781" s="3" t="inlineStr">
        <is>
          <t>Vladimir Buzalka</t>
        </is>
      </c>
      <c r="K781" s="4" t="n">
        <v>45310.76</v>
      </c>
      <c r="L781" s="5" t="n">
        <v>45311.0</v>
      </c>
      <c r="M781" s="3" t="inlineStr">
        <is>
          <t>Approved</t>
        </is>
      </c>
      <c r="N781" s="3" t="inlineStr">
        <is>
          <t>Available for Distribution, Site Start</t>
        </is>
      </c>
      <c r="O781" s="3" t="inlineStr">
        <is>
          <t>Czech Republic</t>
        </is>
      </c>
      <c r="P781" s="3" t="inlineStr">
        <is>
          <t>Z92-CZ10009</t>
        </is>
      </c>
      <c r="Q781" s="3" t="inlineStr">
        <is>
          <t>77242113UCO2001</t>
        </is>
      </c>
    </row>
    <row r="782">
      <c r="A782" s="2" t="str">
        <f>HYPERLINK("https://vtmf.veevavault.com/ui/#doc_info/25520056/1/0", "77242113UCO2001-CZE-Z92-CZ10009-IRB/IEC Composition-17 Jan 2024 (v1.0)")</f>
        <v>77242113UCO2001-CZE-Z92-CZ10009-IRB/IEC Composition-17 Jan 2024 (v1.0)</v>
      </c>
      <c r="B782" s="3" t="inlineStr">
        <is>
          <t>Lenka Placha</t>
        </is>
      </c>
      <c r="C782" s="3" t="inlineStr">
        <is>
          <t>IRB/IEC and other Approvals</t>
        </is>
      </c>
      <c r="D782" s="3" t="inlineStr">
        <is>
          <t>IRB/IEC Trial Approval</t>
        </is>
      </c>
      <c r="E782" s="3" t="inlineStr">
        <is>
          <t>IRB/IEC Composition</t>
        </is>
      </c>
      <c r="F782" s="3" t="inlineStr">
        <is>
          <t>NTF-IRB_IEC membership list_site Z92-CZ10009_17Jan24</t>
        </is>
      </c>
      <c r="G782" s="2" t="str">
        <f>HYPERLINK("https://vtmf.veevavault.com/ui/#doc_info/25520056/1/0", "VTMF-20356908")</f>
        <v>VTMF-20356908</v>
      </c>
      <c r="H782" s="3" t="inlineStr">
        <is>
          <t/>
        </is>
      </c>
      <c r="I782" s="3" t="inlineStr">
        <is>
          <t>System</t>
        </is>
      </c>
      <c r="J782" s="3" t="inlineStr">
        <is>
          <t>Lenka Placha</t>
        </is>
      </c>
      <c r="K782" s="4" t="n">
        <v>45308.58546296296</v>
      </c>
      <c r="L782" s="5" t="n">
        <v>45308.0</v>
      </c>
      <c r="M782" s="3" t="inlineStr">
        <is>
          <t>Approved</t>
        </is>
      </c>
      <c r="N782" s="3" t="inlineStr">
        <is>
          <t>Available for Distribution, Country Start, Site Start</t>
        </is>
      </c>
      <c r="O782" s="3" t="inlineStr">
        <is>
          <t>Czech Republic</t>
        </is>
      </c>
      <c r="P782" s="3" t="inlineStr">
        <is>
          <t>Z92-CZ10009</t>
        </is>
      </c>
      <c r="Q782" s="3" t="inlineStr">
        <is>
          <t>77242113UCO2001</t>
        </is>
      </c>
    </row>
    <row r="783">
      <c r="A783" s="2" t="str">
        <f>HYPERLINK("https://vtmf.veevavault.com/ui/#doc_info/25520076/1/0", "77242113UCO2001-CZE-Z92-CZ10009-IRB/IEC Documentation of Non-Voting Status-17 Jan 2024 (v1.0)")</f>
        <v>77242113UCO2001-CZE-Z92-CZ10009-IRB/IEC Documentation of Non-Voting Status-17 Jan 2024 (v1.0)</v>
      </c>
      <c r="B783" s="3" t="inlineStr">
        <is>
          <t>Lenka Placha</t>
        </is>
      </c>
      <c r="C783" s="3" t="inlineStr">
        <is>
          <t>IRB/IEC and other Approvals</t>
        </is>
      </c>
      <c r="D783" s="3" t="inlineStr">
        <is>
          <t>IRB/IEC Trial Approval</t>
        </is>
      </c>
      <c r="E783" s="3" t="inlineStr">
        <is>
          <t>IRB/IEC Documentation of Non-Voting Status</t>
        </is>
      </c>
      <c r="F783" s="3" t="inlineStr">
        <is>
          <t>NTF-IRB-IEC Documentation of Non-Voting Status_updated_site Z92-CZ10009_17Jan24</t>
        </is>
      </c>
      <c r="G783" s="2" t="str">
        <f>HYPERLINK("https://vtmf.veevavault.com/ui/#doc_info/25520076/1/0", "VTMF-20356925")</f>
        <v>VTMF-20356925</v>
      </c>
      <c r="H783" s="3" t="inlineStr">
        <is>
          <t/>
        </is>
      </c>
      <c r="I783" s="3" t="inlineStr">
        <is>
          <t>System</t>
        </is>
      </c>
      <c r="J783" s="3" t="inlineStr">
        <is>
          <t>Lenka Placha</t>
        </is>
      </c>
      <c r="K783" s="4" t="n">
        <v>45308.58975694444</v>
      </c>
      <c r="L783" s="5" t="n">
        <v>45308.0</v>
      </c>
      <c r="M783" s="3" t="inlineStr">
        <is>
          <t>Approved</t>
        </is>
      </c>
      <c r="N783" s="3" t="inlineStr">
        <is>
          <t>Available for Distribution, Country Start, Site Start</t>
        </is>
      </c>
      <c r="O783" s="3" t="inlineStr">
        <is>
          <t>Czech Republic</t>
        </is>
      </c>
      <c r="P783" s="3" t="inlineStr">
        <is>
          <t>Z92-CZ10009</t>
        </is>
      </c>
      <c r="Q783" s="3" t="inlineStr">
        <is>
          <t>77242113UCO2001</t>
        </is>
      </c>
    </row>
    <row r="784">
      <c r="A784" s="2" t="str">
        <f>HYPERLINK("https://vtmf.veevavault.com/ui/#doc_info/25520066/1/0", "77242113UCO2001-CZE-Z92-CZ10009-IRB/IEC GCP Compliance Statement-17 Jan 2024 (v1.0)")</f>
        <v>77242113UCO2001-CZE-Z92-CZ10009-IRB/IEC GCP Compliance Statement-17 Jan 2024 (v1.0)</v>
      </c>
      <c r="B784" s="3" t="inlineStr">
        <is>
          <t>Lenka Placha</t>
        </is>
      </c>
      <c r="C784" s="3" t="inlineStr">
        <is>
          <t>IRB/IEC and other Approvals</t>
        </is>
      </c>
      <c r="D784" s="3" t="inlineStr">
        <is>
          <t>IRB/IEC Trial Approval</t>
        </is>
      </c>
      <c r="E784" s="3" t="inlineStr">
        <is>
          <t>IRB/IEC GCP Compliance Statement</t>
        </is>
      </c>
      <c r="F784" s="3" t="inlineStr">
        <is>
          <t>NTF-IRB_IEC GCP Compliance Statement_site Z92-CZ10009_17Jan24</t>
        </is>
      </c>
      <c r="G784" s="2" t="str">
        <f>HYPERLINK("https://vtmf.veevavault.com/ui/#doc_info/25520066/1/0", "VTMF-20356916")</f>
        <v>VTMF-20356916</v>
      </c>
      <c r="H784" s="3" t="inlineStr">
        <is>
          <t/>
        </is>
      </c>
      <c r="I784" s="3" t="inlineStr">
        <is>
          <t>System</t>
        </is>
      </c>
      <c r="J784" s="3" t="inlineStr">
        <is>
          <t>Lenka Placha</t>
        </is>
      </c>
      <c r="K784" s="4" t="n">
        <v>45308.58796296296</v>
      </c>
      <c r="L784" s="5" t="n">
        <v>45308.0</v>
      </c>
      <c r="M784" s="3" t="inlineStr">
        <is>
          <t>Approved</t>
        </is>
      </c>
      <c r="N784" s="3" t="inlineStr">
        <is>
          <t>Available for Distribution, Country Start, IP Release, Site Start</t>
        </is>
      </c>
      <c r="O784" s="3" t="inlineStr">
        <is>
          <t>Czech Republic</t>
        </is>
      </c>
      <c r="P784" s="3" t="inlineStr">
        <is>
          <t>Z92-CZ10009</t>
        </is>
      </c>
      <c r="Q784" s="3" t="inlineStr">
        <is>
          <t>77242113UCO2001</t>
        </is>
      </c>
    </row>
    <row r="785">
      <c r="A785" s="2" t="str">
        <f>HYPERLINK("https://vtmf.veevavault.com/ui/#doc_info/25638593/1/0", "77242113UCO2001-CZE-Z92-CZ10009-Monitoring Visit Follow-up Letter--12 Jan 2024 (v1.0)")</f>
        <v>77242113UCO2001-CZE-Z92-CZ10009-Monitoring Visit Follow-up Letter--12 Jan 2024 (v1.0)</v>
      </c>
      <c r="B785" s="3" t="inlineStr">
        <is>
          <t>Lenka Placha</t>
        </is>
      </c>
      <c r="C785" s="3" t="inlineStr">
        <is>
          <t>Site Management</t>
        </is>
      </c>
      <c r="D785" s="3" t="inlineStr">
        <is>
          <t>Site Management</t>
        </is>
      </c>
      <c r="E785" s="3" t="inlineStr">
        <is>
          <t>Monitoring Visit Follow-up Letter</t>
        </is>
      </c>
      <c r="F785" s="3" t="inlineStr">
        <is>
          <t>Follow-up letter_ SIV 11-12Jan24_site Z92-CZ10009_ 02Feb24</t>
        </is>
      </c>
      <c r="G785" s="2" t="str">
        <f>HYPERLINK("https://vtmf.veevavault.com/ui/#doc_info/25638593/1/0", "VTMF-20460438")</f>
        <v>VTMF-20460438</v>
      </c>
      <c r="H785" s="3" t="inlineStr">
        <is>
          <t/>
        </is>
      </c>
      <c r="I785" s="3" t="inlineStr">
        <is>
          <t>Anthony Suarez (veeva.com)</t>
        </is>
      </c>
      <c r="J785" s="3" t="inlineStr">
        <is>
          <t>Lenka Placha</t>
        </is>
      </c>
      <c r="K785" s="4" t="n">
        <v>45324.9446875</v>
      </c>
      <c r="L785" s="5" t="n">
        <v>45324.0</v>
      </c>
      <c r="M785" s="3" t="inlineStr">
        <is>
          <t>Approved</t>
        </is>
      </c>
      <c r="N785" s="3" t="inlineStr">
        <is>
          <t>Available for Distribution, CLIX Filing, Site Close</t>
        </is>
      </c>
      <c r="O785" s="3" t="inlineStr">
        <is>
          <t>Czech Republic</t>
        </is>
      </c>
      <c r="P785" s="3" t="inlineStr">
        <is>
          <t>Z92-CZ10009</t>
        </is>
      </c>
      <c r="Q785" s="3" t="inlineStr">
        <is>
          <t>77242113UCO2001</t>
        </is>
      </c>
    </row>
    <row r="786">
      <c r="A786" s="2" t="str">
        <f>HYPERLINK("https://vtmf.veevavault.com/ui/#doc_info/31252027/1/0", "77242113UCO2001-CZE-Z92-CZ10009-Monitoring Visit Follow-up Letter-SCVR_FL-04 Mar 2026 (v1.0)")</f>
        <v>77242113UCO2001-CZE-Z92-CZ10009-Monitoring Visit Follow-up Letter-SCVR_FL-04 Mar 2026 (v1.0)</v>
      </c>
      <c r="B786" s="3" t="inlineStr">
        <is>
          <t>Admin User Medidata</t>
        </is>
      </c>
      <c r="C786" s="3" t="inlineStr">
        <is>
          <t>Site Management</t>
        </is>
      </c>
      <c r="D786" s="3" t="inlineStr">
        <is>
          <t>Site Management</t>
        </is>
      </c>
      <c r="E786" s="3" t="inlineStr">
        <is>
          <t>Monitoring Visit Follow-up Letter</t>
        </is>
      </c>
      <c r="F786" s="3" t="inlineStr">
        <is>
          <t/>
        </is>
      </c>
      <c r="G786" s="2" t="str">
        <f>HYPERLINK("https://vtmf.veevavault.com/ui/#doc_info/31252027/1/0", "VTMF-25204864")</f>
        <v>VTMF-25204864</v>
      </c>
      <c r="H786" s="3" t="inlineStr">
        <is>
          <t/>
        </is>
      </c>
      <c r="I786" s="3" t="inlineStr">
        <is>
          <t>System</t>
        </is>
      </c>
      <c r="J786" s="3" t="inlineStr">
        <is>
          <t>Admin User Medidata</t>
        </is>
      </c>
      <c r="K786" s="4" t="n">
        <v>46104.51761574074</v>
      </c>
      <c r="L786" s="5" t="n">
        <v>46104.0</v>
      </c>
      <c r="M786" s="3" t="inlineStr">
        <is>
          <t>Approved</t>
        </is>
      </c>
      <c r="N786" s="3" t="inlineStr">
        <is>
          <t>Available for Distribution, CLIX Filing, Not associated to a milestone</t>
        </is>
      </c>
      <c r="O786" s="3" t="inlineStr">
        <is>
          <t>Czech Republic</t>
        </is>
      </c>
      <c r="P786" s="3" t="inlineStr">
        <is>
          <t>Z92-CZ10009</t>
        </is>
      </c>
      <c r="Q786" s="3" t="inlineStr">
        <is>
          <t>77242113UCO2001</t>
        </is>
      </c>
    </row>
    <row r="787">
      <c r="A787" s="2" t="str">
        <f>HYPERLINK("https://vtmf.veevavault.com/ui/#doc_info/27314574/1/0", "77242113UCO2001-CZE-Z92-CZ10009-Monitoring Visit Follow-up Letter-SMVR_FL-01 Oct 2024 (v1.0)")</f>
        <v>77242113UCO2001-CZE-Z92-CZ10009-Monitoring Visit Follow-up Letter-SMVR_FL-01 Oct 2024 (v1.0)</v>
      </c>
      <c r="B787" s="3" t="inlineStr">
        <is>
          <t>Admin User Medidata</t>
        </is>
      </c>
      <c r="C787" s="3" t="inlineStr">
        <is>
          <t>Site Management</t>
        </is>
      </c>
      <c r="D787" s="3" t="inlineStr">
        <is>
          <t>Site Management</t>
        </is>
      </c>
      <c r="E787" s="3" t="inlineStr">
        <is>
          <t>Monitoring Visit Follow-up Letter</t>
        </is>
      </c>
      <c r="F787" s="3" t="inlineStr">
        <is>
          <t/>
        </is>
      </c>
      <c r="G787" s="2" t="str">
        <f>HYPERLINK("https://vtmf.veevavault.com/ui/#doc_info/27314574/1/0", "VTMF-21908737")</f>
        <v>VTMF-21908737</v>
      </c>
      <c r="H787" s="3" t="inlineStr">
        <is>
          <t/>
        </is>
      </c>
      <c r="I787" s="3" t="inlineStr">
        <is>
          <t>System</t>
        </is>
      </c>
      <c r="J787" s="3" t="inlineStr">
        <is>
          <t>Admin User Medidata</t>
        </is>
      </c>
      <c r="K787" s="4" t="n">
        <v>45587.976319444446</v>
      </c>
      <c r="L787" s="5" t="n">
        <v>45587.0</v>
      </c>
      <c r="M787" s="3" t="inlineStr">
        <is>
          <t>Approved</t>
        </is>
      </c>
      <c r="N787" s="3" t="inlineStr">
        <is>
          <t>Available for Distribution, CLIX Filing, Not associated to a milestone</t>
        </is>
      </c>
      <c r="O787" s="3" t="inlineStr">
        <is>
          <t>Czech Republic</t>
        </is>
      </c>
      <c r="P787" s="3" t="inlineStr">
        <is>
          <t>Z92-CZ10009</t>
        </is>
      </c>
      <c r="Q787" s="3" t="inlineStr">
        <is>
          <t>77242113UCO2001</t>
        </is>
      </c>
    </row>
    <row r="788">
      <c r="A788" s="2" t="str">
        <f>HYPERLINK("https://vtmf.veevavault.com/ui/#doc_info/30761429/1/0", "77242113UCO2001-CZE-Z92-CZ10009-Monitoring Visit Follow-up Letter-SMVR_FL-06 Jan 2026 (v1.0)")</f>
        <v>77242113UCO2001-CZE-Z92-CZ10009-Monitoring Visit Follow-up Letter-SMVR_FL-06 Jan 2026 (v1.0)</v>
      </c>
      <c r="B788" s="3" t="inlineStr">
        <is>
          <t>Admin User Medidata</t>
        </is>
      </c>
      <c r="C788" s="3" t="inlineStr">
        <is>
          <t>Site Management</t>
        </is>
      </c>
      <c r="D788" s="3" t="inlineStr">
        <is>
          <t>Site Management</t>
        </is>
      </c>
      <c r="E788" s="3" t="inlineStr">
        <is>
          <t>Monitoring Visit Follow-up Letter</t>
        </is>
      </c>
      <c r="F788" s="3" t="inlineStr">
        <is>
          <t/>
        </is>
      </c>
      <c r="G788" s="2" t="str">
        <f>HYPERLINK("https://vtmf.veevavault.com/ui/#doc_info/30761429/1/0", "VTMF-24787763")</f>
        <v>VTMF-24787763</v>
      </c>
      <c r="H788" s="3" t="inlineStr">
        <is>
          <t/>
        </is>
      </c>
      <c r="I788" s="3" t="inlineStr">
        <is>
          <t>System</t>
        </is>
      </c>
      <c r="J788" s="3" t="inlineStr">
        <is>
          <t>Admin User Medidata</t>
        </is>
      </c>
      <c r="K788" s="4" t="n">
        <v>46034.683657407404</v>
      </c>
      <c r="L788" s="5" t="n">
        <v>46034.0</v>
      </c>
      <c r="M788" s="3" t="inlineStr">
        <is>
          <t>Approved</t>
        </is>
      </c>
      <c r="N788" s="3" t="inlineStr">
        <is>
          <t>Available for Distribution, CLIX Filing, Not associated to a milestone</t>
        </is>
      </c>
      <c r="O788" s="3" t="inlineStr">
        <is>
          <t>Czech Republic</t>
        </is>
      </c>
      <c r="P788" s="3" t="inlineStr">
        <is>
          <t>Z92-CZ10009</t>
        </is>
      </c>
      <c r="Q788" s="3" t="inlineStr">
        <is>
          <t>77242113UCO2001</t>
        </is>
      </c>
    </row>
    <row r="789">
      <c r="A789" s="2" t="str">
        <f>HYPERLINK("https://vtmf.veevavault.com/ui/#doc_info/30182973/1/0", "77242113UCO2001-CZE-Z92-CZ10009-Monitoring Visit Follow-up Letter-SMVR_FL-10 Oct 2025 (v1.0)")</f>
        <v>77242113UCO2001-CZE-Z92-CZ10009-Monitoring Visit Follow-up Letter-SMVR_FL-10 Oct 2025 (v1.0)</v>
      </c>
      <c r="B789" s="3" t="inlineStr">
        <is>
          <t>Admin User Medidata</t>
        </is>
      </c>
      <c r="C789" s="3" t="inlineStr">
        <is>
          <t>Site Management</t>
        </is>
      </c>
      <c r="D789" s="3" t="inlineStr">
        <is>
          <t>Site Management</t>
        </is>
      </c>
      <c r="E789" s="3" t="inlineStr">
        <is>
          <t>Monitoring Visit Follow-up Letter</t>
        </is>
      </c>
      <c r="F789" s="3" t="inlineStr">
        <is>
          <t/>
        </is>
      </c>
      <c r="G789" s="2" t="str">
        <f>HYPERLINK("https://vtmf.veevavault.com/ui/#doc_info/30182973/1/0", "VTMF-24301026")</f>
        <v>VTMF-24301026</v>
      </c>
      <c r="H789" s="3" t="inlineStr">
        <is>
          <t/>
        </is>
      </c>
      <c r="I789" s="3" t="inlineStr">
        <is>
          <t>System</t>
        </is>
      </c>
      <c r="J789" s="3" t="inlineStr">
        <is>
          <t>Admin User Medidata</t>
        </is>
      </c>
      <c r="K789" s="4" t="n">
        <v>45947.805925925924</v>
      </c>
      <c r="L789" s="5" t="n">
        <v>45947.0</v>
      </c>
      <c r="M789" s="3" t="inlineStr">
        <is>
          <t>Approved</t>
        </is>
      </c>
      <c r="N789" s="3" t="inlineStr">
        <is>
          <t>Available for Distribution, CLIX Filing, Not associated to a milestone</t>
        </is>
      </c>
      <c r="O789" s="3" t="inlineStr">
        <is>
          <t>Czech Republic</t>
        </is>
      </c>
      <c r="P789" s="3" t="inlineStr">
        <is>
          <t>Z92-CZ10009</t>
        </is>
      </c>
      <c r="Q789" s="3" t="inlineStr">
        <is>
          <t>77242113UCO2001</t>
        </is>
      </c>
    </row>
    <row r="790">
      <c r="A790" s="2" t="str">
        <f>HYPERLINK("https://vtmf.veevavault.com/ui/#doc_info/30663967/1/0", "77242113UCO2001-CZE-Z92-CZ10009-Monitoring Visit Follow-up Letter-SMVR_FL-11 Dec 2025 (v1.0)")</f>
        <v>77242113UCO2001-CZE-Z92-CZ10009-Monitoring Visit Follow-up Letter-SMVR_FL-11 Dec 2025 (v1.0)</v>
      </c>
      <c r="B790" s="3" t="inlineStr">
        <is>
          <t>Admin User Medidata</t>
        </is>
      </c>
      <c r="C790" s="3" t="inlineStr">
        <is>
          <t>Site Management</t>
        </is>
      </c>
      <c r="D790" s="3" t="inlineStr">
        <is>
          <t>Site Management</t>
        </is>
      </c>
      <c r="E790" s="3" t="inlineStr">
        <is>
          <t>Monitoring Visit Follow-up Letter</t>
        </is>
      </c>
      <c r="F790" s="3" t="inlineStr">
        <is>
          <t/>
        </is>
      </c>
      <c r="G790" s="2" t="str">
        <f>HYPERLINK("https://vtmf.veevavault.com/ui/#doc_info/30663967/1/0", "VTMF-24709190")</f>
        <v>VTMF-24709190</v>
      </c>
      <c r="H790" s="3" t="inlineStr">
        <is>
          <t/>
        </is>
      </c>
      <c r="I790" s="3" t="inlineStr">
        <is>
          <t>System</t>
        </is>
      </c>
      <c r="J790" s="3" t="inlineStr">
        <is>
          <t>Admin User Medidata</t>
        </is>
      </c>
      <c r="K790" s="4" t="n">
        <v>46013.97377314815</v>
      </c>
      <c r="L790" s="5" t="n">
        <v>46013.0</v>
      </c>
      <c r="M790" s="3" t="inlineStr">
        <is>
          <t>Approved</t>
        </is>
      </c>
      <c r="N790" s="3" t="inlineStr">
        <is>
          <t>Available for Distribution, CLIX Filing, Not associated to a milestone</t>
        </is>
      </c>
      <c r="O790" s="3" t="inlineStr">
        <is>
          <t>Czech Republic</t>
        </is>
      </c>
      <c r="P790" s="3" t="inlineStr">
        <is>
          <t>Z92-CZ10009</t>
        </is>
      </c>
      <c r="Q790" s="3" t="inlineStr">
        <is>
          <t>77242113UCO2001</t>
        </is>
      </c>
    </row>
    <row r="791">
      <c r="A791" s="2" t="str">
        <f>HYPERLINK("https://vtmf.veevavault.com/ui/#doc_info/26814142/1/0", "77242113UCO2001-CZE-Z92-CZ10009-Monitoring Visit Follow-up Letter-SMVR_FL-12 Jul 2024 (v1.0)")</f>
        <v>77242113UCO2001-CZE-Z92-CZ10009-Monitoring Visit Follow-up Letter-SMVR_FL-12 Jul 2024 (v1.0)</v>
      </c>
      <c r="B791" s="3" t="inlineStr">
        <is>
          <t>Admin User Medidata</t>
        </is>
      </c>
      <c r="C791" s="3" t="inlineStr">
        <is>
          <t>Site Management</t>
        </is>
      </c>
      <c r="D791" s="3" t="inlineStr">
        <is>
          <t>Site Management</t>
        </is>
      </c>
      <c r="E791" s="3" t="inlineStr">
        <is>
          <t>Monitoring Visit Follow-up Letter</t>
        </is>
      </c>
      <c r="F791" s="3" t="inlineStr">
        <is>
          <t/>
        </is>
      </c>
      <c r="G791" s="2" t="str">
        <f>HYPERLINK("https://vtmf.veevavault.com/ui/#doc_info/26814142/1/0", "VTMF-21490131")</f>
        <v>VTMF-21490131</v>
      </c>
      <c r="H791" s="3" t="inlineStr">
        <is>
          <t/>
        </is>
      </c>
      <c r="I791" s="3" t="inlineStr">
        <is>
          <t>System</t>
        </is>
      </c>
      <c r="J791" s="3" t="inlineStr">
        <is>
          <t>Admin User Medidata</t>
        </is>
      </c>
      <c r="K791" s="4" t="n">
        <v>45505.67921296296</v>
      </c>
      <c r="L791" s="5" t="n">
        <v>45505.0</v>
      </c>
      <c r="M791" s="3" t="inlineStr">
        <is>
          <t>Approved</t>
        </is>
      </c>
      <c r="N791" s="3" t="inlineStr">
        <is>
          <t>Available for Distribution, CLIX Filing, Site Close</t>
        </is>
      </c>
      <c r="O791" s="3" t="inlineStr">
        <is>
          <t>Czech Republic</t>
        </is>
      </c>
      <c r="P791" s="3" t="inlineStr">
        <is>
          <t>Z92-CZ10009</t>
        </is>
      </c>
      <c r="Q791" s="3" t="inlineStr">
        <is>
          <t>77242113UCO2001</t>
        </is>
      </c>
    </row>
    <row r="792">
      <c r="A792" s="2" t="str">
        <f>HYPERLINK("https://vtmf.veevavault.com/ui/#doc_info/27785052/1/0", "77242113UCO2001-CZE-Z92-CZ10009-Monitoring Visit Follow-up Letter-SMVR_FL-12 Nov 2024 (v1.0)")</f>
        <v>77242113UCO2001-CZE-Z92-CZ10009-Monitoring Visit Follow-up Letter-SMVR_FL-12 Nov 2024 (v1.0)</v>
      </c>
      <c r="B792" s="3" t="inlineStr">
        <is>
          <t>Admin User Medidata</t>
        </is>
      </c>
      <c r="C792" s="3" t="inlineStr">
        <is>
          <t>Site Management</t>
        </is>
      </c>
      <c r="D792" s="3" t="inlineStr">
        <is>
          <t>Site Management</t>
        </is>
      </c>
      <c r="E792" s="3" t="inlineStr">
        <is>
          <t>Monitoring Visit Follow-up Letter</t>
        </is>
      </c>
      <c r="F792" s="3" t="inlineStr">
        <is>
          <t/>
        </is>
      </c>
      <c r="G792" s="2" t="str">
        <f>HYPERLINK("https://vtmf.veevavault.com/ui/#doc_info/27785052/1/0", "VTMF-22278775")</f>
        <v>VTMF-22278775</v>
      </c>
      <c r="H792" s="3" t="inlineStr">
        <is>
          <t/>
        </is>
      </c>
      <c r="I792" s="3" t="inlineStr">
        <is>
          <t>System</t>
        </is>
      </c>
      <c r="J792" s="3" t="inlineStr">
        <is>
          <t>Admin User Medidata</t>
        </is>
      </c>
      <c r="K792" s="4" t="n">
        <v>45629.016122685185</v>
      </c>
      <c r="L792" s="5" t="n">
        <v>45628.0</v>
      </c>
      <c r="M792" s="3" t="inlineStr">
        <is>
          <t>Approved</t>
        </is>
      </c>
      <c r="N792" s="3" t="inlineStr">
        <is>
          <t>Available for Distribution, CLIX Filing, Not associated to a milestone</t>
        </is>
      </c>
      <c r="O792" s="3" t="inlineStr">
        <is>
          <t>Czech Republic</t>
        </is>
      </c>
      <c r="P792" s="3" t="inlineStr">
        <is>
          <t>Z92-CZ10009</t>
        </is>
      </c>
      <c r="Q792" s="3" t="inlineStr">
        <is>
          <t>77242113UCO2001</t>
        </is>
      </c>
    </row>
    <row r="793">
      <c r="A793" s="2" t="str">
        <f>HYPERLINK("https://vtmf.veevavault.com/ui/#doc_info/26994782/1/0", "77242113UCO2001-CZE-Z92-CZ10009-Monitoring Visit Follow-up Letter-SMVR_FL-13 Aug 2024 (v1.0)")</f>
        <v>77242113UCO2001-CZE-Z92-CZ10009-Monitoring Visit Follow-up Letter-SMVR_FL-13 Aug 2024 (v1.0)</v>
      </c>
      <c r="B793" s="3" t="inlineStr">
        <is>
          <t>Admin User Medidata</t>
        </is>
      </c>
      <c r="C793" s="3" t="inlineStr">
        <is>
          <t>Site Management</t>
        </is>
      </c>
      <c r="D793" s="3" t="inlineStr">
        <is>
          <t>Site Management</t>
        </is>
      </c>
      <c r="E793" s="3" t="inlineStr">
        <is>
          <t>Monitoring Visit Follow-up Letter</t>
        </is>
      </c>
      <c r="F793" s="3" t="inlineStr">
        <is>
          <t/>
        </is>
      </c>
      <c r="G793" s="2" t="str">
        <f>HYPERLINK("https://vtmf.veevavault.com/ui/#doc_info/26994782/1/0", "VTMF-21642415")</f>
        <v>VTMF-21642415</v>
      </c>
      <c r="H793" s="3" t="inlineStr">
        <is>
          <t/>
        </is>
      </c>
      <c r="I793" s="3" t="inlineStr">
        <is>
          <t>System</t>
        </is>
      </c>
      <c r="J793" s="3" t="inlineStr">
        <is>
          <t>Admin User Medidata</t>
        </is>
      </c>
      <c r="K793" s="4" t="n">
        <v>45537.80457175926</v>
      </c>
      <c r="L793" s="5" t="n">
        <v>45537.0</v>
      </c>
      <c r="M793" s="3" t="inlineStr">
        <is>
          <t>Approved</t>
        </is>
      </c>
      <c r="N793" s="3" t="inlineStr">
        <is>
          <t>Available for Distribution, CLIX Filing, Site Close</t>
        </is>
      </c>
      <c r="O793" s="3" t="inlineStr">
        <is>
          <t>Czech Republic</t>
        </is>
      </c>
      <c r="P793" s="3" t="inlineStr">
        <is>
          <t>Z92-CZ10009</t>
        </is>
      </c>
      <c r="Q793" s="3" t="inlineStr">
        <is>
          <t>77242113UCO2001</t>
        </is>
      </c>
    </row>
    <row r="794">
      <c r="A794" s="2" t="str">
        <f>HYPERLINK("https://vtmf.veevavault.com/ui/#doc_info/27131571/1/0", "77242113UCO2001-CZE-Z92-CZ10009-Monitoring Visit Follow-up Letter-SMVR_FL-13 Sep 2024 (v1.0)")</f>
        <v>77242113UCO2001-CZE-Z92-CZ10009-Monitoring Visit Follow-up Letter-SMVR_FL-13 Sep 2024 (v1.0)</v>
      </c>
      <c r="B794" s="3" t="inlineStr">
        <is>
          <t>Admin User Medidata</t>
        </is>
      </c>
      <c r="C794" s="3" t="inlineStr">
        <is>
          <t>Site Management</t>
        </is>
      </c>
      <c r="D794" s="3" t="inlineStr">
        <is>
          <t>Site Management</t>
        </is>
      </c>
      <c r="E794" s="3" t="inlineStr">
        <is>
          <t>Monitoring Visit Follow-up Letter</t>
        </is>
      </c>
      <c r="F794" s="3" t="inlineStr">
        <is>
          <t/>
        </is>
      </c>
      <c r="G794" s="2" t="str">
        <f>HYPERLINK("https://vtmf.veevavault.com/ui/#doc_info/27131571/1/0", "VTMF-21751054")</f>
        <v>VTMF-21751054</v>
      </c>
      <c r="H794" s="3" t="inlineStr">
        <is>
          <t/>
        </is>
      </c>
      <c r="I794" s="3" t="inlineStr">
        <is>
          <t>System</t>
        </is>
      </c>
      <c r="J794" s="3" t="inlineStr">
        <is>
          <t>Admin User Medidata</t>
        </is>
      </c>
      <c r="K794" s="4" t="n">
        <v>45559.59982638889</v>
      </c>
      <c r="L794" s="5" t="n">
        <v>45559.0</v>
      </c>
      <c r="M794" s="3" t="inlineStr">
        <is>
          <t>Approved</t>
        </is>
      </c>
      <c r="N794" s="3" t="inlineStr">
        <is>
          <t>Available for Distribution, CLIX Filing, Site Close</t>
        </is>
      </c>
      <c r="O794" s="3" t="inlineStr">
        <is>
          <t>Czech Republic</t>
        </is>
      </c>
      <c r="P794" s="3" t="inlineStr">
        <is>
          <t>Z92-CZ10009</t>
        </is>
      </c>
      <c r="Q794" s="3" t="inlineStr">
        <is>
          <t>77242113UCO2001</t>
        </is>
      </c>
    </row>
    <row r="795">
      <c r="A795" s="2" t="str">
        <f>HYPERLINK("https://vtmf.veevavault.com/ui/#doc_info/26666586/1/0", "77242113UCO2001-CZE-Z92-CZ10009-Monitoring Visit Follow-up Letter-SMVR_FL-20 Jun 2024 (v1.0)")</f>
        <v>77242113UCO2001-CZE-Z92-CZ10009-Monitoring Visit Follow-up Letter-SMVR_FL-20 Jun 2024 (v1.0)</v>
      </c>
      <c r="B795" s="3" t="inlineStr">
        <is>
          <t>Admin User Medidata</t>
        </is>
      </c>
      <c r="C795" s="3" t="inlineStr">
        <is>
          <t>Site Management</t>
        </is>
      </c>
      <c r="D795" s="3" t="inlineStr">
        <is>
          <t>Site Management</t>
        </is>
      </c>
      <c r="E795" s="3" t="inlineStr">
        <is>
          <t>Monitoring Visit Follow-up Letter</t>
        </is>
      </c>
      <c r="F795" s="3" t="inlineStr">
        <is>
          <t/>
        </is>
      </c>
      <c r="G795" s="2" t="str">
        <f>HYPERLINK("https://vtmf.veevavault.com/ui/#doc_info/26666586/1/0", "VTMF-21363532")</f>
        <v>VTMF-21363532</v>
      </c>
      <c r="H795" s="3" t="inlineStr">
        <is>
          <t/>
        </is>
      </c>
      <c r="I795" s="3" t="inlineStr">
        <is>
          <t>System</t>
        </is>
      </c>
      <c r="J795" s="3" t="inlineStr">
        <is>
          <t>Admin User Medidata</t>
        </is>
      </c>
      <c r="K795" s="4" t="n">
        <v>45481.51615740741</v>
      </c>
      <c r="L795" s="5" t="n">
        <v>45481.0</v>
      </c>
      <c r="M795" s="3" t="inlineStr">
        <is>
          <t>Approved</t>
        </is>
      </c>
      <c r="N795" s="3" t="inlineStr">
        <is>
          <t>Available for Distribution, CLIX Filing, Site Close</t>
        </is>
      </c>
      <c r="O795" s="3" t="inlineStr">
        <is>
          <t>Czech Republic</t>
        </is>
      </c>
      <c r="P795" s="3" t="inlineStr">
        <is>
          <t>Z92-CZ10009</t>
        </is>
      </c>
      <c r="Q795" s="3" t="inlineStr">
        <is>
          <t>77242113UCO2001</t>
        </is>
      </c>
    </row>
    <row r="796">
      <c r="A796" s="2" t="str">
        <f>HYPERLINK("https://vtmf.veevavault.com/ui/#doc_info/26107142/1/0", "77242113UCO2001-CZE-Z92-CZ10009-Monitoring Visit Follow-up Letter-SMVR_FL-20 Mar 2024 (v1.0)")</f>
        <v>77242113UCO2001-CZE-Z92-CZ10009-Monitoring Visit Follow-up Letter-SMVR_FL-20 Mar 2024 (v1.0)</v>
      </c>
      <c r="B796" s="3" t="inlineStr">
        <is>
          <t>Admin User Medidata</t>
        </is>
      </c>
      <c r="C796" s="3" t="inlineStr">
        <is>
          <t>Site Management</t>
        </is>
      </c>
      <c r="D796" s="3" t="inlineStr">
        <is>
          <t>Site Management</t>
        </is>
      </c>
      <c r="E796" s="3" t="inlineStr">
        <is>
          <t>Monitoring Visit Follow-up Letter</t>
        </is>
      </c>
      <c r="F796" s="3" t="inlineStr">
        <is>
          <t/>
        </is>
      </c>
      <c r="G796" s="2" t="str">
        <f>HYPERLINK("https://vtmf.veevavault.com/ui/#doc_info/26107142/1/0", "VTMF-20874643")</f>
        <v>VTMF-20874643</v>
      </c>
      <c r="H796" s="3" t="inlineStr">
        <is>
          <t/>
        </is>
      </c>
      <c r="I796" s="3" t="inlineStr">
        <is>
          <t>System</t>
        </is>
      </c>
      <c r="J796" s="3" t="inlineStr">
        <is>
          <t>Admin User Medidata</t>
        </is>
      </c>
      <c r="K796" s="4" t="n">
        <v>45392.977789351855</v>
      </c>
      <c r="L796" s="5" t="n">
        <v>45392.0</v>
      </c>
      <c r="M796" s="3" t="inlineStr">
        <is>
          <t>Approved</t>
        </is>
      </c>
      <c r="N796" s="3" t="inlineStr">
        <is>
          <t>Available for Distribution, CLIX Filing, Site Close</t>
        </is>
      </c>
      <c r="O796" s="3" t="inlineStr">
        <is>
          <t>Czech Republic</t>
        </is>
      </c>
      <c r="P796" s="3" t="inlineStr">
        <is>
          <t>Z92-CZ10009</t>
        </is>
      </c>
      <c r="Q796" s="3" t="inlineStr">
        <is>
          <t>77242113UCO2001</t>
        </is>
      </c>
    </row>
    <row r="797">
      <c r="A797" s="2" t="str">
        <f>HYPERLINK("https://vtmf.veevavault.com/ui/#doc_info/26482111/1/0", "77242113UCO2001-CZE-Z92-CZ10009-Monitoring Visit Follow-up Letter-SMVR_FL-23 May 2024 (v1.0)")</f>
        <v>77242113UCO2001-CZE-Z92-CZ10009-Monitoring Visit Follow-up Letter-SMVR_FL-23 May 2024 (v1.0)</v>
      </c>
      <c r="B797" s="3" t="inlineStr">
        <is>
          <t>Admin User Medidata</t>
        </is>
      </c>
      <c r="C797" s="3" t="inlineStr">
        <is>
          <t>Site Management</t>
        </is>
      </c>
      <c r="D797" s="3" t="inlineStr">
        <is>
          <t>Site Management</t>
        </is>
      </c>
      <c r="E797" s="3" t="inlineStr">
        <is>
          <t>Monitoring Visit Follow-up Letter</t>
        </is>
      </c>
      <c r="F797" s="3" t="inlineStr">
        <is>
          <t/>
        </is>
      </c>
      <c r="G797" s="2" t="str">
        <f>HYPERLINK("https://vtmf.veevavault.com/ui/#doc_info/26482111/1/0", "VTMF-21201739")</f>
        <v>VTMF-21201739</v>
      </c>
      <c r="H797" s="3" t="inlineStr">
        <is>
          <t/>
        </is>
      </c>
      <c r="I797" s="3" t="inlineStr">
        <is>
          <t>System</t>
        </is>
      </c>
      <c r="J797" s="3" t="inlineStr">
        <is>
          <t>Admin User Medidata</t>
        </is>
      </c>
      <c r="K797" s="4" t="n">
        <v>45451.121145833335</v>
      </c>
      <c r="L797" s="5" t="n">
        <v>45450.0</v>
      </c>
      <c r="M797" s="3" t="inlineStr">
        <is>
          <t>Approved</t>
        </is>
      </c>
      <c r="N797" s="3" t="inlineStr">
        <is>
          <t>Available for Distribution, CLIX Filing, Site Close</t>
        </is>
      </c>
      <c r="O797" s="3" t="inlineStr">
        <is>
          <t>Czech Republic</t>
        </is>
      </c>
      <c r="P797" s="3" t="inlineStr">
        <is>
          <t>Z92-CZ10009</t>
        </is>
      </c>
      <c r="Q797" s="3" t="inlineStr">
        <is>
          <t>77242113UCO2001</t>
        </is>
      </c>
    </row>
    <row r="798">
      <c r="A798" s="2" t="str">
        <f>HYPERLINK("https://vtmf.veevavault.com/ui/#doc_info/28290716/1/0", "77242113UCO2001-CZE-Z92-CZ10009-Monitoring Visit Follow-up Letter-SMVR_FL-24 Jan 2025 (v1.0)")</f>
        <v>77242113UCO2001-CZE-Z92-CZ10009-Monitoring Visit Follow-up Letter-SMVR_FL-24 Jan 2025 (v1.0)</v>
      </c>
      <c r="B798" s="3" t="inlineStr">
        <is>
          <t>Admin User Medidata</t>
        </is>
      </c>
      <c r="C798" s="3" t="inlineStr">
        <is>
          <t>Site Management</t>
        </is>
      </c>
      <c r="D798" s="3" t="inlineStr">
        <is>
          <t>Site Management</t>
        </is>
      </c>
      <c r="E798" s="3" t="inlineStr">
        <is>
          <t>Monitoring Visit Follow-up Letter</t>
        </is>
      </c>
      <c r="F798" s="3" t="inlineStr">
        <is>
          <t/>
        </is>
      </c>
      <c r="G798" s="2" t="str">
        <f>HYPERLINK("https://vtmf.veevavault.com/ui/#doc_info/28290716/1/0", "VTMF-22694507")</f>
        <v>VTMF-22694507</v>
      </c>
      <c r="H798" s="3" t="inlineStr">
        <is>
          <t/>
        </is>
      </c>
      <c r="I798" s="3" t="inlineStr">
        <is>
          <t>System</t>
        </is>
      </c>
      <c r="J798" s="3" t="inlineStr">
        <is>
          <t>Admin User Medidata</t>
        </is>
      </c>
      <c r="K798" s="4" t="n">
        <v>45701.51831018519</v>
      </c>
      <c r="L798" s="5" t="n">
        <v>45701.0</v>
      </c>
      <c r="M798" s="3" t="inlineStr">
        <is>
          <t>Approved</t>
        </is>
      </c>
      <c r="N798" s="3" t="inlineStr">
        <is>
          <t>Available for Distribution, CLIX Filing, Not associated to a milestone</t>
        </is>
      </c>
      <c r="O798" s="3" t="inlineStr">
        <is>
          <t>Czech Republic</t>
        </is>
      </c>
      <c r="P798" s="3" t="inlineStr">
        <is>
          <t>Z92-CZ10009</t>
        </is>
      </c>
      <c r="Q798" s="3" t="inlineStr">
        <is>
          <t>77242113UCO2001</t>
        </is>
      </c>
    </row>
    <row r="799">
      <c r="A799" s="2" t="str">
        <f>HYPERLINK("https://vtmf.veevavault.com/ui/#doc_info/29372407/1/0", "77242113UCO2001-CZE-Z92-CZ10009-Monitoring Visit Follow-up Letter-SMVR_FL-30 May 2025 (v1.0)")</f>
        <v>77242113UCO2001-CZE-Z92-CZ10009-Monitoring Visit Follow-up Letter-SMVR_FL-30 May 2025 (v1.0)</v>
      </c>
      <c r="B799" s="3" t="inlineStr">
        <is>
          <t>Admin User Medidata</t>
        </is>
      </c>
      <c r="C799" s="3" t="inlineStr">
        <is>
          <t>Site Management</t>
        </is>
      </c>
      <c r="D799" s="3" t="inlineStr">
        <is>
          <t>Site Management</t>
        </is>
      </c>
      <c r="E799" s="3" t="inlineStr">
        <is>
          <t>Monitoring Visit Follow-up Letter</t>
        </is>
      </c>
      <c r="F799" s="3" t="inlineStr">
        <is>
          <t/>
        </is>
      </c>
      <c r="G799" s="2" t="str">
        <f>HYPERLINK("https://vtmf.veevavault.com/ui/#doc_info/29372407/1/0", "VTMF-23613644")</f>
        <v>VTMF-23613644</v>
      </c>
      <c r="H799" s="3" t="inlineStr">
        <is>
          <t/>
        </is>
      </c>
      <c r="I799" s="3" t="inlineStr">
        <is>
          <t>System</t>
        </is>
      </c>
      <c r="J799" s="3" t="inlineStr">
        <is>
          <t>Admin User Medidata</t>
        </is>
      </c>
      <c r="K799" s="4" t="n">
        <v>45825.72599537037</v>
      </c>
      <c r="L799" s="5" t="n">
        <v>45825.0</v>
      </c>
      <c r="M799" s="3" t="inlineStr">
        <is>
          <t>Approved</t>
        </is>
      </c>
      <c r="N799" s="3" t="inlineStr">
        <is>
          <t>Available for Distribution, CLIX Filing, Not associated to a milestone</t>
        </is>
      </c>
      <c r="O799" s="3" t="inlineStr">
        <is>
          <t>Czech Republic</t>
        </is>
      </c>
      <c r="P799" s="3" t="inlineStr">
        <is>
          <t>Z92-CZ10009</t>
        </is>
      </c>
      <c r="Q799" s="3" t="inlineStr">
        <is>
          <t>77242113UCO2001</t>
        </is>
      </c>
    </row>
    <row r="800">
      <c r="A800" s="2" t="str">
        <f>HYPERLINK("https://vtmf.veevavault.com/ui/#doc_info/24193457/1/0", "77242113UCO2001-CZE-Z92-CZ10009-Monitoring Visit Follow-up Letter-SQVR_FL-16 May 2023 (v1.0)")</f>
        <v>77242113UCO2001-CZE-Z92-CZ10009-Monitoring Visit Follow-up Letter-SQVR_FL-16 May 2023 (v1.0)</v>
      </c>
      <c r="B800" s="3" t="inlineStr">
        <is>
          <t>Admin User Medidata</t>
        </is>
      </c>
      <c r="C800" s="3" t="inlineStr">
        <is>
          <t>Site Management</t>
        </is>
      </c>
      <c r="D800" s="3" t="inlineStr">
        <is>
          <t>Site Management</t>
        </is>
      </c>
      <c r="E800" s="3" t="inlineStr">
        <is>
          <t>Monitoring Visit Follow-up Letter</t>
        </is>
      </c>
      <c r="F800" s="3" t="inlineStr">
        <is>
          <t/>
        </is>
      </c>
      <c r="G800" s="2" t="str">
        <f>HYPERLINK("https://vtmf.veevavault.com/ui/#doc_info/24193457/1/0", "VTMF-19199988")</f>
        <v>VTMF-19199988</v>
      </c>
      <c r="H800" s="3" t="inlineStr">
        <is>
          <t/>
        </is>
      </c>
      <c r="I800" s="3" t="inlineStr">
        <is>
          <t>System</t>
        </is>
      </c>
      <c r="J800" s="3" t="inlineStr">
        <is>
          <t>Admin User Medidata</t>
        </is>
      </c>
      <c r="K800" s="4" t="n">
        <v>45079.83199074074</v>
      </c>
      <c r="L800" s="5" t="n">
        <v>45079.0</v>
      </c>
      <c r="M800" s="3" t="inlineStr">
        <is>
          <t>Approved</t>
        </is>
      </c>
      <c r="N800" s="3" t="inlineStr">
        <is>
          <t>Available for Distribution, CLIX Filing, Site Close</t>
        </is>
      </c>
      <c r="O800" s="3" t="inlineStr">
        <is>
          <t>Czech Republic</t>
        </is>
      </c>
      <c r="P800" s="3" t="inlineStr">
        <is>
          <t>Z92-CZ10009</t>
        </is>
      </c>
      <c r="Q800" s="3" t="inlineStr">
        <is>
          <t>77242113UCO2001</t>
        </is>
      </c>
    </row>
    <row r="801">
      <c r="A801" s="2" t="str">
        <f>HYPERLINK("https://vtmf.veevavault.com/ui/#doc_info/27317161/1/0", "77242113UCO2001-CZE-Z92-CZ10009-Monitoring Visit Report-01 Oct 2024 (v1.0)")</f>
        <v>77242113UCO2001-CZE-Z92-CZ10009-Monitoring Visit Report-01 Oct 2024 (v1.0)</v>
      </c>
      <c r="B801" s="3" t="inlineStr">
        <is>
          <t>Admin User Medidata</t>
        </is>
      </c>
      <c r="C801" s="3" t="inlineStr">
        <is>
          <t>Site Management</t>
        </is>
      </c>
      <c r="D801" s="3" t="inlineStr">
        <is>
          <t>Site Management</t>
        </is>
      </c>
      <c r="E801" s="3" t="inlineStr">
        <is>
          <t>Monitoring Visit Report</t>
        </is>
      </c>
      <c r="F801" s="3" t="inlineStr">
        <is>
          <t/>
        </is>
      </c>
      <c r="G801" s="2" t="str">
        <f>HYPERLINK("https://vtmf.veevavault.com/ui/#doc_info/27317161/1/0", "VTMF-21911121")</f>
        <v>VTMF-21911121</v>
      </c>
      <c r="H801" s="3" t="inlineStr">
        <is>
          <t/>
        </is>
      </c>
      <c r="I801" s="3" t="inlineStr">
        <is>
          <t>System</t>
        </is>
      </c>
      <c r="J801" s="3" t="inlineStr">
        <is>
          <t>Admin User Medidata</t>
        </is>
      </c>
      <c r="K801" s="4" t="n">
        <v>45588.34806712963</v>
      </c>
      <c r="L801" s="5" t="n">
        <v>45588.0</v>
      </c>
      <c r="M801" s="3" t="inlineStr">
        <is>
          <t>Approved</t>
        </is>
      </c>
      <c r="N801" s="3" t="inlineStr">
        <is>
          <t>Site Close</t>
        </is>
      </c>
      <c r="O801" s="3" t="inlineStr">
        <is>
          <t>Czech Republic</t>
        </is>
      </c>
      <c r="P801" s="3" t="inlineStr">
        <is>
          <t>Z92-CZ10009</t>
        </is>
      </c>
      <c r="Q801" s="3" t="inlineStr">
        <is>
          <t>77242113UCO2001</t>
        </is>
      </c>
    </row>
    <row r="802">
      <c r="A802" s="2" t="str">
        <f>HYPERLINK("https://vtmf.veevavault.com/ui/#doc_info/30845749/1/0", "77242113UCO2001-CZE-Z92-CZ10009-Monitoring Visit Report-06 Jan 2026 (v1.0)")</f>
        <v>77242113UCO2001-CZE-Z92-CZ10009-Monitoring Visit Report-06 Jan 2026 (v1.0)</v>
      </c>
      <c r="B802" s="3" t="inlineStr">
        <is>
          <t>Admin User Medidata</t>
        </is>
      </c>
      <c r="C802" s="3" t="inlineStr">
        <is>
          <t>Site Management</t>
        </is>
      </c>
      <c r="D802" s="3" t="inlineStr">
        <is>
          <t>Site Management</t>
        </is>
      </c>
      <c r="E802" s="3" t="inlineStr">
        <is>
          <t>Monitoring Visit Report</t>
        </is>
      </c>
      <c r="F802" s="3" t="inlineStr">
        <is>
          <t/>
        </is>
      </c>
      <c r="G802" s="2" t="str">
        <f>HYPERLINK("https://vtmf.veevavault.com/ui/#doc_info/30845749/1/0", "VTMF-24858553")</f>
        <v>VTMF-24858553</v>
      </c>
      <c r="H802" s="3" t="inlineStr">
        <is>
          <t/>
        </is>
      </c>
      <c r="I802" s="3" t="inlineStr">
        <is>
          <t>System</t>
        </is>
      </c>
      <c r="J802" s="3" t="inlineStr">
        <is>
          <t>Admin User Medidata</t>
        </is>
      </c>
      <c r="K802" s="4" t="n">
        <v>46048.432546296295</v>
      </c>
      <c r="L802" s="5" t="n">
        <v>46048.0</v>
      </c>
      <c r="M802" s="3" t="inlineStr">
        <is>
          <t>Approved</t>
        </is>
      </c>
      <c r="N802" s="3" t="inlineStr">
        <is>
          <t>Site Close</t>
        </is>
      </c>
      <c r="O802" s="3" t="inlineStr">
        <is>
          <t>Czech Republic</t>
        </is>
      </c>
      <c r="P802" s="3" t="inlineStr">
        <is>
          <t>Z92-CZ10009</t>
        </is>
      </c>
      <c r="Q802" s="3" t="inlineStr">
        <is>
          <t>77242113UCO2001</t>
        </is>
      </c>
    </row>
    <row r="803">
      <c r="A803" s="2" t="str">
        <f>HYPERLINK("https://vtmf.veevavault.com/ui/#doc_info/30170436/1/0", "77242113UCO2001-CZE-Z92-CZ10009-Monitoring Visit Report-10 Oct 2025 (v1.0)")</f>
        <v>77242113UCO2001-CZE-Z92-CZ10009-Monitoring Visit Report-10 Oct 2025 (v1.0)</v>
      </c>
      <c r="B803" s="3" t="inlineStr">
        <is>
          <t>Admin User Medidata</t>
        </is>
      </c>
      <c r="C803" s="3" t="inlineStr">
        <is>
          <t>Site Management</t>
        </is>
      </c>
      <c r="D803" s="3" t="inlineStr">
        <is>
          <t>Site Management</t>
        </is>
      </c>
      <c r="E803" s="3" t="inlineStr">
        <is>
          <t>Monitoring Visit Report</t>
        </is>
      </c>
      <c r="F803" s="3" t="inlineStr">
        <is>
          <t/>
        </is>
      </c>
      <c r="G803" s="2" t="str">
        <f>HYPERLINK("https://vtmf.veevavault.com/ui/#doc_info/30170436/1/0", "VTMF-24290139")</f>
        <v>VTMF-24290139</v>
      </c>
      <c r="H803" s="3" t="inlineStr">
        <is>
          <t/>
        </is>
      </c>
      <c r="I803" s="3" t="inlineStr">
        <is>
          <t>System</t>
        </is>
      </c>
      <c r="J803" s="3" t="inlineStr">
        <is>
          <t>Admin User Medidata</t>
        </is>
      </c>
      <c r="K803" s="4" t="n">
        <v>45946.517175925925</v>
      </c>
      <c r="L803" s="5" t="n">
        <v>45946.0</v>
      </c>
      <c r="M803" s="3" t="inlineStr">
        <is>
          <t>Approved</t>
        </is>
      </c>
      <c r="N803" s="3" t="inlineStr">
        <is>
          <t>Site Close</t>
        </is>
      </c>
      <c r="O803" s="3" t="inlineStr">
        <is>
          <t>Czech Republic</t>
        </is>
      </c>
      <c r="P803" s="3" t="inlineStr">
        <is>
          <t>Z92-CZ10009</t>
        </is>
      </c>
      <c r="Q803" s="3" t="inlineStr">
        <is>
          <t>77242113UCO2001</t>
        </is>
      </c>
    </row>
    <row r="804">
      <c r="A804" s="2" t="str">
        <f>HYPERLINK("https://vtmf.veevavault.com/ui/#doc_info/30658819/1/0", "77242113UCO2001-CZE-Z92-CZ10009-Monitoring Visit Report-11 Dec 2025 (v1.0)")</f>
        <v>77242113UCO2001-CZE-Z92-CZ10009-Monitoring Visit Report-11 Dec 2025 (v1.0)</v>
      </c>
      <c r="B804" s="3" t="inlineStr">
        <is>
          <t>Admin User Medidata</t>
        </is>
      </c>
      <c r="C804" s="3" t="inlineStr">
        <is>
          <t>Site Management</t>
        </is>
      </c>
      <c r="D804" s="3" t="inlineStr">
        <is>
          <t>Site Management</t>
        </is>
      </c>
      <c r="E804" s="3" t="inlineStr">
        <is>
          <t>Monitoring Visit Report</t>
        </is>
      </c>
      <c r="F804" s="3" t="inlineStr">
        <is>
          <t/>
        </is>
      </c>
      <c r="G804" s="2" t="str">
        <f>HYPERLINK("https://vtmf.veevavault.com/ui/#doc_info/30658819/1/0", "VTMF-24705055")</f>
        <v>VTMF-24705055</v>
      </c>
      <c r="H804" s="3" t="inlineStr">
        <is>
          <t/>
        </is>
      </c>
      <c r="I804" s="3" t="inlineStr">
        <is>
          <t>System</t>
        </is>
      </c>
      <c r="J804" s="3" t="inlineStr">
        <is>
          <t>Admin User Medidata</t>
        </is>
      </c>
      <c r="K804" s="4" t="n">
        <v>46013.391701388886</v>
      </c>
      <c r="L804" s="5" t="n">
        <v>46013.0</v>
      </c>
      <c r="M804" s="3" t="inlineStr">
        <is>
          <t>Approved</t>
        </is>
      </c>
      <c r="N804" s="3" t="inlineStr">
        <is>
          <t>Site Close</t>
        </is>
      </c>
      <c r="O804" s="3" t="inlineStr">
        <is>
          <t>Czech Republic</t>
        </is>
      </c>
      <c r="P804" s="3" t="inlineStr">
        <is>
          <t>Z92-CZ10009</t>
        </is>
      </c>
      <c r="Q804" s="3" t="inlineStr">
        <is>
          <t>77242113UCO2001</t>
        </is>
      </c>
    </row>
    <row r="805">
      <c r="A805" s="2" t="str">
        <f>HYPERLINK("https://vtmf.veevavault.com/ui/#doc_info/26784432/1/0", "77242113UCO2001-CZE-Z92-CZ10009-Monitoring Visit Report-12 Jul 2024 (v1.0)")</f>
        <v>77242113UCO2001-CZE-Z92-CZ10009-Monitoring Visit Report-12 Jul 2024 (v1.0)</v>
      </c>
      <c r="B805" s="3" t="inlineStr">
        <is>
          <t>Admin User Medidata</t>
        </is>
      </c>
      <c r="C805" s="3" t="inlineStr">
        <is>
          <t>Site Management</t>
        </is>
      </c>
      <c r="D805" s="3" t="inlineStr">
        <is>
          <t>Site Management</t>
        </is>
      </c>
      <c r="E805" s="3" t="inlineStr">
        <is>
          <t>Monitoring Visit Report</t>
        </is>
      </c>
      <c r="F805" s="3" t="inlineStr">
        <is>
          <t/>
        </is>
      </c>
      <c r="G805" s="2" t="str">
        <f>HYPERLINK("https://vtmf.veevavault.com/ui/#doc_info/26784432/1/0", "VTMF-21465742")</f>
        <v>VTMF-21465742</v>
      </c>
      <c r="H805" s="3" t="inlineStr">
        <is>
          <t/>
        </is>
      </c>
      <c r="I805" s="3" t="inlineStr">
        <is>
          <t>System</t>
        </is>
      </c>
      <c r="J805" s="3" t="inlineStr">
        <is>
          <t>Admin User Medidata</t>
        </is>
      </c>
      <c r="K805" s="4" t="n">
        <v>45502.39165509259</v>
      </c>
      <c r="L805" s="5" t="n">
        <v>45502.0</v>
      </c>
      <c r="M805" s="3" t="inlineStr">
        <is>
          <t>Approved</t>
        </is>
      </c>
      <c r="N805" s="3" t="inlineStr">
        <is>
          <t>Site Close</t>
        </is>
      </c>
      <c r="O805" s="3" t="inlineStr">
        <is>
          <t>Czech Republic</t>
        </is>
      </c>
      <c r="P805" s="3" t="inlineStr">
        <is>
          <t>Z92-CZ10009</t>
        </is>
      </c>
      <c r="Q805" s="3" t="inlineStr">
        <is>
          <t>77242113UCO2001</t>
        </is>
      </c>
    </row>
    <row r="806">
      <c r="A806" s="2" t="str">
        <f>HYPERLINK("https://vtmf.veevavault.com/ui/#doc_info/27769785/1/0", "77242113UCO2001-CZE-Z92-CZ10009-Monitoring Visit Report-12 Nov 2024 (v1.0)")</f>
        <v>77242113UCO2001-CZE-Z92-CZ10009-Monitoring Visit Report-12 Nov 2024 (v1.0)</v>
      </c>
      <c r="B806" s="3" t="inlineStr">
        <is>
          <t>Admin User Medidata</t>
        </is>
      </c>
      <c r="C806" s="3" t="inlineStr">
        <is>
          <t>Site Management</t>
        </is>
      </c>
      <c r="D806" s="3" t="inlineStr">
        <is>
          <t>Site Management</t>
        </is>
      </c>
      <c r="E806" s="3" t="inlineStr">
        <is>
          <t>Monitoring Visit Report</t>
        </is>
      </c>
      <c r="F806" s="3" t="inlineStr">
        <is>
          <t/>
        </is>
      </c>
      <c r="G806" s="2" t="str">
        <f>HYPERLINK("https://vtmf.veevavault.com/ui/#doc_info/27769785/1/0", "VTMF-22267311")</f>
        <v>VTMF-22267311</v>
      </c>
      <c r="H806" s="3" t="inlineStr">
        <is>
          <t/>
        </is>
      </c>
      <c r="I806" s="3" t="inlineStr">
        <is>
          <t>System</t>
        </is>
      </c>
      <c r="J806" s="3" t="inlineStr">
        <is>
          <t>Admin User Medidata</t>
        </is>
      </c>
      <c r="K806" s="4" t="n">
        <v>45625.396574074075</v>
      </c>
      <c r="L806" s="5" t="n">
        <v>45625.0</v>
      </c>
      <c r="M806" s="3" t="inlineStr">
        <is>
          <t>Approved</t>
        </is>
      </c>
      <c r="N806" s="3" t="inlineStr">
        <is>
          <t>Site Close</t>
        </is>
      </c>
      <c r="O806" s="3" t="inlineStr">
        <is>
          <t>Czech Republic</t>
        </is>
      </c>
      <c r="P806" s="3" t="inlineStr">
        <is>
          <t>Z92-CZ10009</t>
        </is>
      </c>
      <c r="Q806" s="3" t="inlineStr">
        <is>
          <t>77242113UCO2001</t>
        </is>
      </c>
    </row>
    <row r="807">
      <c r="A807" s="2" t="str">
        <f>HYPERLINK("https://vtmf.veevavault.com/ui/#doc_info/26991700/1/0", "77242113UCO2001-CZE-Z92-CZ10009-Monitoring Visit Report-13 Aug 2024 (v1.0)")</f>
        <v>77242113UCO2001-CZE-Z92-CZ10009-Monitoring Visit Report-13 Aug 2024 (v1.0)</v>
      </c>
      <c r="B807" s="3" t="inlineStr">
        <is>
          <t>Admin User Medidata</t>
        </is>
      </c>
      <c r="C807" s="3" t="inlineStr">
        <is>
          <t>Site Management</t>
        </is>
      </c>
      <c r="D807" s="3" t="inlineStr">
        <is>
          <t>Site Management</t>
        </is>
      </c>
      <c r="E807" s="3" t="inlineStr">
        <is>
          <t>Monitoring Visit Report</t>
        </is>
      </c>
      <c r="F807" s="3" t="inlineStr">
        <is>
          <t/>
        </is>
      </c>
      <c r="G807" s="2" t="str">
        <f>HYPERLINK("https://vtmf.veevavault.com/ui/#doc_info/26991700/1/0", "VTMF-21639890")</f>
        <v>VTMF-21639890</v>
      </c>
      <c r="H807" s="3" t="inlineStr">
        <is>
          <t/>
        </is>
      </c>
      <c r="I807" s="3" t="inlineStr">
        <is>
          <t>System</t>
        </is>
      </c>
      <c r="J807" s="3" t="inlineStr">
        <is>
          <t>Admin User Medidata</t>
        </is>
      </c>
      <c r="K807" s="4" t="n">
        <v>45537.43630787037</v>
      </c>
      <c r="L807" s="5" t="n">
        <v>45537.0</v>
      </c>
      <c r="M807" s="3" t="inlineStr">
        <is>
          <t>Approved</t>
        </is>
      </c>
      <c r="N807" s="3" t="inlineStr">
        <is>
          <t>Site Close</t>
        </is>
      </c>
      <c r="O807" s="3" t="inlineStr">
        <is>
          <t>Czech Republic</t>
        </is>
      </c>
      <c r="P807" s="3" t="inlineStr">
        <is>
          <t>Z92-CZ10009</t>
        </is>
      </c>
      <c r="Q807" s="3" t="inlineStr">
        <is>
          <t>77242113UCO2001</t>
        </is>
      </c>
    </row>
    <row r="808">
      <c r="A808" s="2" t="str">
        <f>HYPERLINK("https://vtmf.veevavault.com/ui/#doc_info/27139307/1/0", "77242113UCO2001-CZE-Z92-CZ10009-Monitoring Visit Report-13 Sep 2024 (v1.0)")</f>
        <v>77242113UCO2001-CZE-Z92-CZ10009-Monitoring Visit Report-13 Sep 2024 (v1.0)</v>
      </c>
      <c r="B808" s="3" t="inlineStr">
        <is>
          <t>Admin User Medidata</t>
        </is>
      </c>
      <c r="C808" s="3" t="inlineStr">
        <is>
          <t>Site Management</t>
        </is>
      </c>
      <c r="D808" s="3" t="inlineStr">
        <is>
          <t>Site Management</t>
        </is>
      </c>
      <c r="E808" s="3" t="inlineStr">
        <is>
          <t>Monitoring Visit Report</t>
        </is>
      </c>
      <c r="F808" s="3" t="inlineStr">
        <is>
          <t/>
        </is>
      </c>
      <c r="G808" s="2" t="str">
        <f>HYPERLINK("https://vtmf.veevavault.com/ui/#doc_info/27139307/1/0", "VTMF-21757648")</f>
        <v>VTMF-21757648</v>
      </c>
      <c r="H808" s="3" t="inlineStr">
        <is>
          <t/>
        </is>
      </c>
      <c r="I808" s="3" t="inlineStr">
        <is>
          <t>System</t>
        </is>
      </c>
      <c r="J808" s="3" t="inlineStr">
        <is>
          <t>Admin User Medidata</t>
        </is>
      </c>
      <c r="K808" s="4" t="n">
        <v>45560.605208333334</v>
      </c>
      <c r="L808" s="5" t="n">
        <v>45560.0</v>
      </c>
      <c r="M808" s="3" t="inlineStr">
        <is>
          <t>Approved</t>
        </is>
      </c>
      <c r="N808" s="3" t="inlineStr">
        <is>
          <t>Site Close</t>
        </is>
      </c>
      <c r="O808" s="3" t="inlineStr">
        <is>
          <t>Czech Republic</t>
        </is>
      </c>
      <c r="P808" s="3" t="inlineStr">
        <is>
          <t>Z92-CZ10009</t>
        </is>
      </c>
      <c r="Q808" s="3" t="inlineStr">
        <is>
          <t>77242113UCO2001</t>
        </is>
      </c>
    </row>
    <row r="809">
      <c r="A809" s="2" t="str">
        <f>HYPERLINK("https://vtmf.veevavault.com/ui/#doc_info/26617626/1/0", "77242113UCO2001-CZE-Z92-CZ10009-Monitoring Visit Report-20 Jun 2024 (v1.0)")</f>
        <v>77242113UCO2001-CZE-Z92-CZ10009-Monitoring Visit Report-20 Jun 2024 (v1.0)</v>
      </c>
      <c r="B809" s="3" t="inlineStr">
        <is>
          <t>Admin User Medidata</t>
        </is>
      </c>
      <c r="C809" s="3" t="inlineStr">
        <is>
          <t>Site Management</t>
        </is>
      </c>
      <c r="D809" s="3" t="inlineStr">
        <is>
          <t>Site Management</t>
        </is>
      </c>
      <c r="E809" s="3" t="inlineStr">
        <is>
          <t>Monitoring Visit Report</t>
        </is>
      </c>
      <c r="F809" s="3" t="inlineStr">
        <is>
          <t/>
        </is>
      </c>
      <c r="G809" s="2" t="str">
        <f>HYPERLINK("https://vtmf.veevavault.com/ui/#doc_info/26617626/1/0", "VTMF-21320661")</f>
        <v>VTMF-21320661</v>
      </c>
      <c r="H809" s="3" t="inlineStr">
        <is>
          <t/>
        </is>
      </c>
      <c r="I809" s="3" t="inlineStr">
        <is>
          <t>System</t>
        </is>
      </c>
      <c r="J809" s="3" t="inlineStr">
        <is>
          <t>Admin User Medidata</t>
        </is>
      </c>
      <c r="K809" s="4" t="n">
        <v>45471.766909722224</v>
      </c>
      <c r="L809" s="5" t="n">
        <v>45471.0</v>
      </c>
      <c r="M809" s="3" t="inlineStr">
        <is>
          <t>Approved</t>
        </is>
      </c>
      <c r="N809" s="3" t="inlineStr">
        <is>
          <t>Site Close</t>
        </is>
      </c>
      <c r="O809" s="3" t="inlineStr">
        <is>
          <t>Czech Republic</t>
        </is>
      </c>
      <c r="P809" s="3" t="inlineStr">
        <is>
          <t>Z92-CZ10009</t>
        </is>
      </c>
      <c r="Q809" s="3" t="inlineStr">
        <is>
          <t>77242113UCO2001</t>
        </is>
      </c>
    </row>
    <row r="810">
      <c r="A810" s="2" t="str">
        <f>HYPERLINK("https://vtmf.veevavault.com/ui/#doc_info/26019349/1/0", "77242113UCO2001-CZE-Z92-CZ10009-Monitoring Visit Report-20 Mar 2024 (v1.0)")</f>
        <v>77242113UCO2001-CZE-Z92-CZ10009-Monitoring Visit Report-20 Mar 2024 (v1.0)</v>
      </c>
      <c r="B810" s="3" t="inlineStr">
        <is>
          <t>Admin User Medidata</t>
        </is>
      </c>
      <c r="C810" s="3" t="inlineStr">
        <is>
          <t>Site Management</t>
        </is>
      </c>
      <c r="D810" s="3" t="inlineStr">
        <is>
          <t>Site Management</t>
        </is>
      </c>
      <c r="E810" s="3" t="inlineStr">
        <is>
          <t>Monitoring Visit Report</t>
        </is>
      </c>
      <c r="F810" s="3" t="inlineStr">
        <is>
          <t/>
        </is>
      </c>
      <c r="G810" s="2" t="str">
        <f>HYPERLINK("https://vtmf.veevavault.com/ui/#doc_info/26019349/1/0", "VTMF-20796647")</f>
        <v>VTMF-20796647</v>
      </c>
      <c r="H810" s="3" t="inlineStr">
        <is>
          <t/>
        </is>
      </c>
      <c r="I810" s="3" t="inlineStr">
        <is>
          <t>System</t>
        </is>
      </c>
      <c r="J810" s="3" t="inlineStr">
        <is>
          <t>Admin User Medidata</t>
        </is>
      </c>
      <c r="K810" s="4" t="n">
        <v>45379.39032407408</v>
      </c>
      <c r="L810" s="5" t="n">
        <v>45379.0</v>
      </c>
      <c r="M810" s="3" t="inlineStr">
        <is>
          <t>Approved</t>
        </is>
      </c>
      <c r="N810" s="3" t="inlineStr">
        <is>
          <t>Site Close</t>
        </is>
      </c>
      <c r="O810" s="3" t="inlineStr">
        <is>
          <t>Czech Republic</t>
        </is>
      </c>
      <c r="P810" s="3" t="inlineStr">
        <is>
          <t>Z92-CZ10009</t>
        </is>
      </c>
      <c r="Q810" s="3" t="inlineStr">
        <is>
          <t>77242113UCO2001</t>
        </is>
      </c>
    </row>
    <row r="811">
      <c r="A811" s="2" t="str">
        <f>HYPERLINK("https://vtmf.veevavault.com/ui/#doc_info/26456317/1/0", "77242113UCO2001-CZE-Z92-CZ10009-Monitoring Visit Report-23 May 2024 (v1.0)")</f>
        <v>77242113UCO2001-CZE-Z92-CZ10009-Monitoring Visit Report-23 May 2024 (v1.0)</v>
      </c>
      <c r="B811" s="3" t="inlineStr">
        <is>
          <t>Admin User Medidata</t>
        </is>
      </c>
      <c r="C811" s="3" t="inlineStr">
        <is>
          <t>Site Management</t>
        </is>
      </c>
      <c r="D811" s="3" t="inlineStr">
        <is>
          <t>Site Management</t>
        </is>
      </c>
      <c r="E811" s="3" t="inlineStr">
        <is>
          <t>Monitoring Visit Report</t>
        </is>
      </c>
      <c r="F811" s="3" t="inlineStr">
        <is>
          <t/>
        </is>
      </c>
      <c r="G811" s="2" t="str">
        <f>HYPERLINK("https://vtmf.veevavault.com/ui/#doc_info/26456317/1/0", "VTMF-21178984")</f>
        <v>VTMF-21178984</v>
      </c>
      <c r="H811" s="3" t="inlineStr">
        <is>
          <t/>
        </is>
      </c>
      <c r="I811" s="3" t="inlineStr">
        <is>
          <t>System</t>
        </is>
      </c>
      <c r="J811" s="3" t="inlineStr">
        <is>
          <t>Admin User Medidata</t>
        </is>
      </c>
      <c r="K811" s="4" t="n">
        <v>45448.08994212963</v>
      </c>
      <c r="L811" s="5" t="n">
        <v>45447.0</v>
      </c>
      <c r="M811" s="3" t="inlineStr">
        <is>
          <t>Approved</t>
        </is>
      </c>
      <c r="N811" s="3" t="inlineStr">
        <is>
          <t>Site Close</t>
        </is>
      </c>
      <c r="O811" s="3" t="inlineStr">
        <is>
          <t>Czech Republic</t>
        </is>
      </c>
      <c r="P811" s="3" t="inlineStr">
        <is>
          <t>Z92-CZ10009</t>
        </is>
      </c>
      <c r="Q811" s="3" t="inlineStr">
        <is>
          <t>77242113UCO2001</t>
        </is>
      </c>
    </row>
    <row r="812">
      <c r="A812" s="2" t="str">
        <f>HYPERLINK("https://vtmf.veevavault.com/ui/#doc_info/28232092/1/0", "77242113UCO2001-CZE-Z92-CZ10009-Monitoring Visit Report-24 Jan 2025 (v1.0)")</f>
        <v>77242113UCO2001-CZE-Z92-CZ10009-Monitoring Visit Report-24 Jan 2025 (v1.0)</v>
      </c>
      <c r="B812" s="3" t="inlineStr">
        <is>
          <t>Admin User Medidata</t>
        </is>
      </c>
      <c r="C812" s="3" t="inlineStr">
        <is>
          <t>Site Management</t>
        </is>
      </c>
      <c r="D812" s="3" t="inlineStr">
        <is>
          <t>Site Management</t>
        </is>
      </c>
      <c r="E812" s="3" t="inlineStr">
        <is>
          <t>Monitoring Visit Report</t>
        </is>
      </c>
      <c r="F812" s="3" t="inlineStr">
        <is>
          <t/>
        </is>
      </c>
      <c r="G812" s="2" t="str">
        <f>HYPERLINK("https://vtmf.veevavault.com/ui/#doc_info/28232092/1/0", "VTMF-22644042")</f>
        <v>VTMF-22644042</v>
      </c>
      <c r="H812" s="3" t="inlineStr">
        <is>
          <t/>
        </is>
      </c>
      <c r="I812" s="3" t="inlineStr">
        <is>
          <t>System</t>
        </is>
      </c>
      <c r="J812" s="3" t="inlineStr">
        <is>
          <t>Admin User Medidata</t>
        </is>
      </c>
      <c r="K812" s="4" t="n">
        <v>45693.517476851855</v>
      </c>
      <c r="L812" s="5" t="n">
        <v>45693.0</v>
      </c>
      <c r="M812" s="3" t="inlineStr">
        <is>
          <t>Approved</t>
        </is>
      </c>
      <c r="N812" s="3" t="inlineStr">
        <is>
          <t>Site Close</t>
        </is>
      </c>
      <c r="O812" s="3" t="inlineStr">
        <is>
          <t>Czech Republic</t>
        </is>
      </c>
      <c r="P812" s="3" t="inlineStr">
        <is>
          <t>Z92-CZ10009</t>
        </is>
      </c>
      <c r="Q812" s="3" t="inlineStr">
        <is>
          <t>77242113UCO2001</t>
        </is>
      </c>
    </row>
    <row r="813">
      <c r="A813" s="2" t="str">
        <f>HYPERLINK("https://vtmf.veevavault.com/ui/#doc_info/29359335/1/0", "77242113UCO2001-CZE-Z92-CZ10009-Monitoring Visit Report-30 May 2025 (v1.0)")</f>
        <v>77242113UCO2001-CZE-Z92-CZ10009-Monitoring Visit Report-30 May 2025 (v1.0)</v>
      </c>
      <c r="B813" s="3" t="inlineStr">
        <is>
          <t>Admin User Medidata</t>
        </is>
      </c>
      <c r="C813" s="3" t="inlineStr">
        <is>
          <t>Site Management</t>
        </is>
      </c>
      <c r="D813" s="3" t="inlineStr">
        <is>
          <t>Site Management</t>
        </is>
      </c>
      <c r="E813" s="3" t="inlineStr">
        <is>
          <t>Monitoring Visit Report</t>
        </is>
      </c>
      <c r="F813" s="3" t="inlineStr">
        <is>
          <t/>
        </is>
      </c>
      <c r="G813" s="2" t="str">
        <f>HYPERLINK("https://vtmf.veevavault.com/ui/#doc_info/29359335/1/0", "VTMF-23602487")</f>
        <v>VTMF-23602487</v>
      </c>
      <c r="H813" s="3" t="inlineStr">
        <is>
          <t/>
        </is>
      </c>
      <c r="I813" s="3" t="inlineStr">
        <is>
          <t>System</t>
        </is>
      </c>
      <c r="J813" s="3" t="inlineStr">
        <is>
          <t>Admin User Medidata</t>
        </is>
      </c>
      <c r="K813" s="4" t="n">
        <v>45824.47487268518</v>
      </c>
      <c r="L813" s="5" t="n">
        <v>45824.0</v>
      </c>
      <c r="M813" s="3" t="inlineStr">
        <is>
          <t>Approved</t>
        </is>
      </c>
      <c r="N813" s="3" t="inlineStr">
        <is>
          <t>Site Close</t>
        </is>
      </c>
      <c r="O813" s="3" t="inlineStr">
        <is>
          <t>Czech Republic</t>
        </is>
      </c>
      <c r="P813" s="3" t="inlineStr">
        <is>
          <t>Z92-CZ10009</t>
        </is>
      </c>
      <c r="Q813" s="3" t="inlineStr">
        <is>
          <t>77242113UCO2001</t>
        </is>
      </c>
    </row>
    <row r="814">
      <c r="A814" s="2" t="str">
        <f>HYPERLINK("https://vtmf.veevavault.com/ui/#doc_info/31137663/1/0", "77242113UCO2001-CZE-Z92-CZ10009-Non-IP Return Documentation-04 Mar 2026 (v1.0)")</f>
        <v>77242113UCO2001-CZE-Z92-CZ10009-Non-IP Return Documentation-04 Mar 2026 (v1.0)</v>
      </c>
      <c r="B814" s="3" t="inlineStr">
        <is>
          <t>Bela Lukavcová</t>
        </is>
      </c>
      <c r="C814" s="3" t="inlineStr">
        <is>
          <t>IP and Trial Supplies</t>
        </is>
      </c>
      <c r="D814" s="3" t="inlineStr">
        <is>
          <t>Non-IP Documentation</t>
        </is>
      </c>
      <c r="E814" s="3" t="inlineStr">
        <is>
          <t>Non-IP Return Documentation</t>
        </is>
      </c>
      <c r="F814" s="3" t="inlineStr">
        <is>
          <t>Confirmation of Recepit_Meal Vouchers_04Mar2026</t>
        </is>
      </c>
      <c r="G814" s="2" t="str">
        <f>HYPERLINK("https://vtmf.veevavault.com/ui/#doc_info/31137663/1/0", "VTMF-25105205")</f>
        <v>VTMF-25105205</v>
      </c>
      <c r="H814" s="3" t="inlineStr">
        <is>
          <t/>
        </is>
      </c>
      <c r="I814" s="3" t="inlineStr">
        <is>
          <t>System</t>
        </is>
      </c>
      <c r="J814" s="3" t="inlineStr">
        <is>
          <t>Bela Lukavcová</t>
        </is>
      </c>
      <c r="K814" s="4" t="n">
        <v>46090.42697916667</v>
      </c>
      <c r="L814" s="5" t="n">
        <v>46090.0</v>
      </c>
      <c r="M814" s="3" t="inlineStr">
        <is>
          <t>Approved</t>
        </is>
      </c>
      <c r="N814" s="3" t="inlineStr">
        <is>
          <t>CLIX Filing, Country Close, Study Close</t>
        </is>
      </c>
      <c r="O814" s="3" t="inlineStr">
        <is>
          <t>Czech Republic</t>
        </is>
      </c>
      <c r="P814" s="3" t="inlineStr">
        <is>
          <t>Z92-CZ10009</t>
        </is>
      </c>
      <c r="Q814" s="3" t="inlineStr">
        <is>
          <t>77242113UCO2001</t>
        </is>
      </c>
    </row>
    <row r="815">
      <c r="A815" s="2" t="str">
        <f>HYPERLINK("https://vtmf.veevavault.com/ui/#doc_info/30794405/1/0", "77242113UCO2001-CZE-Z92-CZ10009-Non-IP Return Documentation-06 Jan 2026 (v1.0)")</f>
        <v>77242113UCO2001-CZE-Z92-CZ10009-Non-IP Return Documentation-06 Jan 2026 (v1.0)</v>
      </c>
      <c r="B815" s="3" t="inlineStr">
        <is>
          <t>Jitka Kone</t>
        </is>
      </c>
      <c r="C815" s="3" t="inlineStr">
        <is>
          <t>IP and Trial Supplies</t>
        </is>
      </c>
      <c r="D815" s="3" t="inlineStr">
        <is>
          <t>Non-IP Documentation</t>
        </is>
      </c>
      <c r="E815" s="3" t="inlineStr">
        <is>
          <t>Non-IP Return Documentation</t>
        </is>
      </c>
      <c r="F815" s="3" t="inlineStr">
        <is>
          <t>NIPSF return_handheld + tablet</t>
        </is>
      </c>
      <c r="G815" s="2" t="str">
        <f>HYPERLINK("https://vtmf.veevavault.com/ui/#doc_info/30794405/1/0", "VTMF-24815349")</f>
        <v>VTMF-24815349</v>
      </c>
      <c r="H815" s="3" t="inlineStr">
        <is>
          <t/>
        </is>
      </c>
      <c r="I815" s="3" t="inlineStr">
        <is>
          <t>System</t>
        </is>
      </c>
      <c r="J815" s="3" t="inlineStr">
        <is>
          <t>Jitka Kone</t>
        </is>
      </c>
      <c r="K815" s="4" t="n">
        <v>46038.657743055555</v>
      </c>
      <c r="L815" s="5" t="n">
        <v>46038.0</v>
      </c>
      <c r="M815" s="3" t="inlineStr">
        <is>
          <t>Approved</t>
        </is>
      </c>
      <c r="N815" s="3" t="inlineStr">
        <is>
          <t>CLIX Filing, Country Close, Study Close</t>
        </is>
      </c>
      <c r="O815" s="3" t="inlineStr">
        <is>
          <t>Czech Republic</t>
        </is>
      </c>
      <c r="P815" s="3" t="inlineStr">
        <is>
          <t>Z92-CZ10009</t>
        </is>
      </c>
      <c r="Q815" s="3" t="inlineStr">
        <is>
          <t>77242113UCO2001</t>
        </is>
      </c>
    </row>
    <row r="816">
      <c r="A816" s="2" t="str">
        <f>HYPERLINK("https://vtmf.veevavault.com/ui/#doc_info/30794411/1/0", "77242113UCO2001-CZE-Z92-CZ10009-Non-IP Return Documentation-06 Jan 2026 (v1.0)")</f>
        <v>77242113UCO2001-CZE-Z92-CZ10009-Non-IP Return Documentation-06 Jan 2026 (v1.0)</v>
      </c>
      <c r="B816" s="3" t="inlineStr">
        <is>
          <t>Jitka Kone</t>
        </is>
      </c>
      <c r="C816" s="3" t="inlineStr">
        <is>
          <t>IP and Trial Supplies</t>
        </is>
      </c>
      <c r="D816" s="3" t="inlineStr">
        <is>
          <t>Non-IP Documentation</t>
        </is>
      </c>
      <c r="E816" s="3" t="inlineStr">
        <is>
          <t>Non-IP Return Documentation</t>
        </is>
      </c>
      <c r="F816" s="3" t="inlineStr">
        <is>
          <t>Handover protocol_datalogger   return</t>
        </is>
      </c>
      <c r="G816" s="2" t="str">
        <f>HYPERLINK("https://vtmf.veevavault.com/ui/#doc_info/30794411/1/0", "VTMF-24815357")</f>
        <v>VTMF-24815357</v>
      </c>
      <c r="H816" s="3" t="inlineStr">
        <is>
          <t/>
        </is>
      </c>
      <c r="I816" s="3" t="inlineStr">
        <is>
          <t>System</t>
        </is>
      </c>
      <c r="J816" s="3" t="inlineStr">
        <is>
          <t>Jitka Kone</t>
        </is>
      </c>
      <c r="K816" s="4" t="n">
        <v>46038.659421296295</v>
      </c>
      <c r="L816" s="5" t="n">
        <v>46038.0</v>
      </c>
      <c r="M816" s="3" t="inlineStr">
        <is>
          <t>Approved</t>
        </is>
      </c>
      <c r="N816" s="3" t="inlineStr">
        <is>
          <t>CLIX Filing, Country Close, Study Close</t>
        </is>
      </c>
      <c r="O816" s="3" t="inlineStr">
        <is>
          <t>Czech Republic</t>
        </is>
      </c>
      <c r="P816" s="3" t="inlineStr">
        <is>
          <t>Z92-CZ10009</t>
        </is>
      </c>
      <c r="Q816" s="3" t="inlineStr">
        <is>
          <t>77242113UCO2001</t>
        </is>
      </c>
    </row>
    <row r="817">
      <c r="A817" s="2" t="str">
        <f>HYPERLINK("https://vtmf.veevavault.com/ui/#doc_info/30143821/1/0", "77242113UCO2001-CZE-Z92-CZ10009-Non-IP Return Documentation-09 Oct 2025 (v1.0)")</f>
        <v>77242113UCO2001-CZE-Z92-CZ10009-Non-IP Return Documentation-09 Oct 2025 (v1.0)</v>
      </c>
      <c r="B817" s="3" t="inlineStr">
        <is>
          <t>Lucie Hrabalova</t>
        </is>
      </c>
      <c r="C817" s="3" t="inlineStr">
        <is>
          <t>IP and Trial Supplies</t>
        </is>
      </c>
      <c r="D817" s="3" t="inlineStr">
        <is>
          <t>Non-IP Documentation</t>
        </is>
      </c>
      <c r="E817" s="3" t="inlineStr">
        <is>
          <t>Non-IP Return Documentation</t>
        </is>
      </c>
      <c r="F817" s="3" t="inlineStr">
        <is>
          <t>Protocol Handover_Meal Vouchers 23 pcs.</t>
        </is>
      </c>
      <c r="G817" s="2" t="str">
        <f>HYPERLINK("https://vtmf.veevavault.com/ui/#doc_info/30143821/1/0", "VTMF-24267373")</f>
        <v>VTMF-24267373</v>
      </c>
      <c r="H817" s="3" t="inlineStr">
        <is>
          <t/>
        </is>
      </c>
      <c r="I817" s="3" t="inlineStr">
        <is>
          <t>System</t>
        </is>
      </c>
      <c r="J817" s="3" t="inlineStr">
        <is>
          <t>Lucie Hrabalova</t>
        </is>
      </c>
      <c r="K817" s="4" t="n">
        <v>45943.527962962966</v>
      </c>
      <c r="L817" s="5" t="n">
        <v>45943.0</v>
      </c>
      <c r="M817" s="3" t="inlineStr">
        <is>
          <t>Approved</t>
        </is>
      </c>
      <c r="N817" s="3" t="inlineStr">
        <is>
          <t>CLIX Filing, Country Close, Study Close</t>
        </is>
      </c>
      <c r="O817" s="3" t="inlineStr">
        <is>
          <t>Czech Republic</t>
        </is>
      </c>
      <c r="P817" s="3" t="inlineStr">
        <is>
          <t>Z92-CZ10009</t>
        </is>
      </c>
      <c r="Q817" s="3" t="inlineStr">
        <is>
          <t>77242113UCO2001</t>
        </is>
      </c>
    </row>
    <row r="818">
      <c r="A818" s="2" t="str">
        <f>HYPERLINK("https://vtmf.veevavault.com/ui/#doc_info/30144375/1/0", "77242113UCO2001-CZE-Z92-CZ10009-Non-IP Return Documentation-09 Oct 2025 (v1.0)")</f>
        <v>77242113UCO2001-CZE-Z92-CZ10009-Non-IP Return Documentation-09 Oct 2025 (v1.0)</v>
      </c>
      <c r="B818" s="3" t="inlineStr">
        <is>
          <t>Jitka Kone</t>
        </is>
      </c>
      <c r="C818" s="3" t="inlineStr">
        <is>
          <t>IP and Trial Supplies</t>
        </is>
      </c>
      <c r="D818" s="3" t="inlineStr">
        <is>
          <t>Non-IP Documentation</t>
        </is>
      </c>
      <c r="E818" s="3" t="inlineStr">
        <is>
          <t>Non-IP Return Documentation</t>
        </is>
      </c>
      <c r="F818" s="3" t="inlineStr">
        <is>
          <t>Handover protocol_scale S/N 8344482128</t>
        </is>
      </c>
      <c r="G818" s="2" t="str">
        <f>HYPERLINK("https://vtmf.veevavault.com/ui/#doc_info/30144375/1/0", "VTMF-24267935")</f>
        <v>VTMF-24267935</v>
      </c>
      <c r="H818" s="3" t="inlineStr">
        <is>
          <t/>
        </is>
      </c>
      <c r="I818" s="3" t="inlineStr">
        <is>
          <t>System</t>
        </is>
      </c>
      <c r="J818" s="3" t="inlineStr">
        <is>
          <t>Jitka Kone</t>
        </is>
      </c>
      <c r="K818" s="4" t="n">
        <v>45943.607407407406</v>
      </c>
      <c r="L818" s="5" t="n">
        <v>45943.0</v>
      </c>
      <c r="M818" s="3" t="inlineStr">
        <is>
          <t>Approved</t>
        </is>
      </c>
      <c r="N818" s="3" t="inlineStr">
        <is>
          <t>CLIX Filing, Country Close, Study Close</t>
        </is>
      </c>
      <c r="O818" s="3" t="inlineStr">
        <is>
          <t>Czech Republic</t>
        </is>
      </c>
      <c r="P818" s="3" t="inlineStr">
        <is>
          <t>Z92-CZ10009</t>
        </is>
      </c>
      <c r="Q818" s="3" t="inlineStr">
        <is>
          <t>77242113UCO2001</t>
        </is>
      </c>
    </row>
    <row r="819">
      <c r="A819" s="2" t="str">
        <f>HYPERLINK("https://vtmf.veevavault.com/ui/#doc_info/27713670/1/0", "77242113UCO2001-CZE-Z92-CZ10009-Non-IP Return Documentation-12 Nov 2024 (v1.0)")</f>
        <v>77242113UCO2001-CZE-Z92-CZ10009-Non-IP Return Documentation-12 Nov 2024 (v1.0)</v>
      </c>
      <c r="B819" s="3" t="inlineStr">
        <is>
          <t>Jitka Kone</t>
        </is>
      </c>
      <c r="C819" s="3" t="inlineStr">
        <is>
          <t>IP and Trial Supplies</t>
        </is>
      </c>
      <c r="D819" s="3" t="inlineStr">
        <is>
          <t>Non-IP Documentation</t>
        </is>
      </c>
      <c r="E819" s="3" t="inlineStr">
        <is>
          <t>Non-IP Return Documentation</t>
        </is>
      </c>
      <c r="F819" s="3" t="inlineStr">
        <is>
          <t>Handover protocol_meal vouchers return 22 pcs 2024</t>
        </is>
      </c>
      <c r="G819" s="2" t="str">
        <f>HYPERLINK("https://vtmf.veevavault.com/ui/#doc_info/27713670/1/0", "VTMF-22232870")</f>
        <v>VTMF-22232870</v>
      </c>
      <c r="H819" s="3" t="inlineStr">
        <is>
          <t/>
        </is>
      </c>
      <c r="I819" s="3" t="inlineStr">
        <is>
          <t>Anthony Suarez (veeva.com)</t>
        </is>
      </c>
      <c r="J819" s="3" t="inlineStr">
        <is>
          <t>Jitka Kone</t>
        </is>
      </c>
      <c r="K819" s="4" t="n">
        <v>45618.595925925925</v>
      </c>
      <c r="L819" s="5" t="n">
        <v>45618.0</v>
      </c>
      <c r="M819" s="3" t="inlineStr">
        <is>
          <t>Approved</t>
        </is>
      </c>
      <c r="N819" s="3" t="inlineStr">
        <is>
          <t>CLIX Filing, Country Close, Study Close</t>
        </is>
      </c>
      <c r="O819" s="3" t="inlineStr">
        <is>
          <t>Czech Republic</t>
        </is>
      </c>
      <c r="P819" s="3" t="inlineStr">
        <is>
          <t>Z92-CZ10009</t>
        </is>
      </c>
      <c r="Q819" s="3" t="inlineStr">
        <is>
          <t>77242113UCO2001</t>
        </is>
      </c>
    </row>
    <row r="820">
      <c r="A820" s="2" t="str">
        <f>HYPERLINK("https://vtmf.veevavault.com/ui/#doc_info/30818447/1/0", "77242113UCO2001-CZE-Z92-CZ10009-Non-IP Return Documentation-21 Jan 2026 (v1.0)")</f>
        <v>77242113UCO2001-CZE-Z92-CZ10009-Non-IP Return Documentation-21 Jan 2026 (v1.0)</v>
      </c>
      <c r="B820" s="3" t="inlineStr">
        <is>
          <t>Jitka Kone</t>
        </is>
      </c>
      <c r="C820" s="3" t="inlineStr">
        <is>
          <t>IP and Trial Supplies</t>
        </is>
      </c>
      <c r="D820" s="3" t="inlineStr">
        <is>
          <t>Non-IP Documentation</t>
        </is>
      </c>
      <c r="E820" s="3" t="inlineStr">
        <is>
          <t>Non-IP Return Documentation</t>
        </is>
      </c>
      <c r="F820" s="3" t="inlineStr">
        <is>
          <t>Handover protocol_deep freezer return</t>
        </is>
      </c>
      <c r="G820" s="2" t="str">
        <f>HYPERLINK("https://vtmf.veevavault.com/ui/#doc_info/30818447/1/0", "VTMF-24835354")</f>
        <v>VTMF-24835354</v>
      </c>
      <c r="H820" s="3" t="inlineStr">
        <is>
          <t/>
        </is>
      </c>
      <c r="I820" s="3" t="inlineStr">
        <is>
          <t>System</t>
        </is>
      </c>
      <c r="J820" s="3" t="inlineStr">
        <is>
          <t>Jitka Kone</t>
        </is>
      </c>
      <c r="K820" s="4" t="n">
        <v>46043.51832175926</v>
      </c>
      <c r="L820" s="5" t="n">
        <v>46043.0</v>
      </c>
      <c r="M820" s="3" t="inlineStr">
        <is>
          <t>Approved</t>
        </is>
      </c>
      <c r="N820" s="3" t="inlineStr">
        <is>
          <t>CLIX Filing, Country Close, Study Close</t>
        </is>
      </c>
      <c r="O820" s="3" t="inlineStr">
        <is>
          <t>Czech Republic</t>
        </is>
      </c>
      <c r="P820" s="3" t="inlineStr">
        <is>
          <t>Z92-CZ10009</t>
        </is>
      </c>
      <c r="Q820" s="3" t="inlineStr">
        <is>
          <t>77242113UCO2001</t>
        </is>
      </c>
    </row>
    <row r="821">
      <c r="A821" s="2" t="str">
        <f>HYPERLINK("https://vtmf.veevavault.com/ui/#doc_info/29263179/1/0", "77242113UCO2001-CZE-Z92-CZ10009-Non-IP Return Documentation-29 May 2025 (v1.0)")</f>
        <v>77242113UCO2001-CZE-Z92-CZ10009-Non-IP Return Documentation-29 May 2025 (v1.0)</v>
      </c>
      <c r="B821" s="3" t="inlineStr">
        <is>
          <t>Lenka Placha</t>
        </is>
      </c>
      <c r="C821" s="3" t="inlineStr">
        <is>
          <t>IP and Trial Supplies</t>
        </is>
      </c>
      <c r="D821" s="3" t="inlineStr">
        <is>
          <t>Non-IP Documentation</t>
        </is>
      </c>
      <c r="E821" s="3" t="inlineStr">
        <is>
          <t>Non-IP Return Documentation</t>
        </is>
      </c>
      <c r="F821" s="3" t="inlineStr">
        <is>
          <t>Ancillare Returns form_Incubator- site Z92-CZ10009_29May2025</t>
        </is>
      </c>
      <c r="G821" s="2" t="str">
        <f>HYPERLINK("https://vtmf.veevavault.com/ui/#doc_info/29263179/1/0", "VTMF-23520633")</f>
        <v>VTMF-23520633</v>
      </c>
      <c r="H821" s="3" t="inlineStr">
        <is>
          <t/>
        </is>
      </c>
      <c r="I821" s="3" t="inlineStr">
        <is>
          <t>System</t>
        </is>
      </c>
      <c r="J821" s="3" t="inlineStr">
        <is>
          <t>Lenka Placha</t>
        </is>
      </c>
      <c r="K821" s="4" t="n">
        <v>45812.41101851852</v>
      </c>
      <c r="L821" s="5" t="n">
        <v>45812.0</v>
      </c>
      <c r="M821" s="3" t="inlineStr">
        <is>
          <t>Approved</t>
        </is>
      </c>
      <c r="N821" s="3" t="inlineStr">
        <is>
          <t>CLIX Filing, Country Close, Study Close</t>
        </is>
      </c>
      <c r="O821" s="3" t="inlineStr">
        <is>
          <t>Czech Republic</t>
        </is>
      </c>
      <c r="P821" s="3" t="inlineStr">
        <is>
          <t>Z92-CZ10009</t>
        </is>
      </c>
      <c r="Q821" s="3" t="inlineStr">
        <is>
          <t>77242113UCO2001</t>
        </is>
      </c>
    </row>
    <row r="822">
      <c r="A822" s="2" t="str">
        <f>HYPERLINK("https://vtmf.veevavault.com/ui/#doc_info/29058528/1/0", "77242113UCO2001-CZE-Z92-CZ10009-Non-IP Shipment Documentation-06 May 2025 (v1.0)")</f>
        <v>77242113UCO2001-CZE-Z92-CZ10009-Non-IP Shipment Documentation-06 May 2025 (v1.0)</v>
      </c>
      <c r="B822" s="3" t="inlineStr">
        <is>
          <t>Jitka Kone</t>
        </is>
      </c>
      <c r="C822" s="3" t="inlineStr">
        <is>
          <t>IP and Trial Supplies</t>
        </is>
      </c>
      <c r="D822" s="3" t="inlineStr">
        <is>
          <t>Non-IP Documentation</t>
        </is>
      </c>
      <c r="E822" s="3" t="inlineStr">
        <is>
          <t>Non-IP Shipment Documentation</t>
        </is>
      </c>
      <c r="F822" s="3" t="inlineStr">
        <is>
          <t>NIPSF pharmacy resending_IB Ed. 6 + PCI 7.1_ 30-APR-2025</t>
        </is>
      </c>
      <c r="G822" s="2" t="str">
        <f>HYPERLINK("https://vtmf.veevavault.com/ui/#doc_info/29058528/1/0", "VTMF-23348617")</f>
        <v>VTMF-23348617</v>
      </c>
      <c r="H822" s="3" t="inlineStr">
        <is>
          <t/>
        </is>
      </c>
      <c r="I822" s="3" t="inlineStr">
        <is>
          <t>System</t>
        </is>
      </c>
      <c r="J822" s="3" t="inlineStr">
        <is>
          <t>Jitka Kone</t>
        </is>
      </c>
      <c r="K822" s="4" t="n">
        <v>45784.607465277775</v>
      </c>
      <c r="L822" s="5" t="n">
        <v>45784.0</v>
      </c>
      <c r="M822" s="3" t="inlineStr">
        <is>
          <t>Approved</t>
        </is>
      </c>
      <c r="N822" s="3" t="inlineStr">
        <is>
          <t>CLIX Filing, Country Start, Site Start</t>
        </is>
      </c>
      <c r="O822" s="3" t="inlineStr">
        <is>
          <t>Czech Republic</t>
        </is>
      </c>
      <c r="P822" s="3" t="inlineStr">
        <is>
          <t>Z92-CZ10009</t>
        </is>
      </c>
      <c r="Q822" s="3" t="inlineStr">
        <is>
          <t>77242113UCO2001</t>
        </is>
      </c>
    </row>
    <row r="823">
      <c r="A823" s="2" t="str">
        <f>HYPERLINK("https://vtmf.veevavault.com/ui/#doc_info/26273487/1/0", "77242113UCO2001-CZE-Z92-CZ10009-Non-IP Shipment Documentation-07 May 2024 (v1.0)")</f>
        <v>77242113UCO2001-CZE-Z92-CZ10009-Non-IP Shipment Documentation-07 May 2024 (v1.0)</v>
      </c>
      <c r="B823" s="3" t="inlineStr">
        <is>
          <t>Jitka Kone</t>
        </is>
      </c>
      <c r="C823" s="3" t="inlineStr">
        <is>
          <t>IP and Trial Supplies</t>
        </is>
      </c>
      <c r="D823" s="3" t="inlineStr">
        <is>
          <t>Non-IP Documentation</t>
        </is>
      </c>
      <c r="E823" s="3" t="inlineStr">
        <is>
          <t>Non-IP Shipment Documentation</t>
        </is>
      </c>
      <c r="F823" s="3" t="inlineStr">
        <is>
          <t>Handover protocol_meal vouchers 100 pcs 30-APR-2024</t>
        </is>
      </c>
      <c r="G823" s="2" t="str">
        <f>HYPERLINK("https://vtmf.veevavault.com/ui/#doc_info/26273487/1/0", "VTMF-21018727")</f>
        <v>VTMF-21018727</v>
      </c>
      <c r="H823" s="3" t="inlineStr">
        <is>
          <t/>
        </is>
      </c>
      <c r="I823" s="3" t="inlineStr">
        <is>
          <t>Anthony Suarez (veeva.com)</t>
        </is>
      </c>
      <c r="J823" s="3" t="inlineStr">
        <is>
          <t>Jitka Kone</t>
        </is>
      </c>
      <c r="K823" s="4" t="n">
        <v>45419.56628472222</v>
      </c>
      <c r="L823" s="5" t="n">
        <v>45419.0</v>
      </c>
      <c r="M823" s="3" t="inlineStr">
        <is>
          <t>Approved</t>
        </is>
      </c>
      <c r="N823" s="3" t="inlineStr">
        <is>
          <t>Available for Distribution, CLIX Filing, Site Close</t>
        </is>
      </c>
      <c r="O823" s="3" t="inlineStr">
        <is>
          <t>Czech Republic</t>
        </is>
      </c>
      <c r="P823" s="3" t="inlineStr">
        <is>
          <t>Z92-CZ10009</t>
        </is>
      </c>
      <c r="Q823" s="3" t="inlineStr">
        <is>
          <t>77242113UCO2001</t>
        </is>
      </c>
    </row>
    <row r="824">
      <c r="A824" s="2" t="str">
        <f>HYPERLINK("https://vtmf.veevavault.com/ui/#doc_info/26273623/1/0", "77242113UCO2001-CZE-Z92-CZ10009-Non-IP Shipment Documentation-07 May 2024 (v1.0)")</f>
        <v>77242113UCO2001-CZE-Z92-CZ10009-Non-IP Shipment Documentation-07 May 2024 (v1.0)</v>
      </c>
      <c r="B824" s="3" t="inlineStr">
        <is>
          <t>Jitka Kone</t>
        </is>
      </c>
      <c r="C824" s="3" t="inlineStr">
        <is>
          <t>IP and Trial Supplies</t>
        </is>
      </c>
      <c r="D824" s="3" t="inlineStr">
        <is>
          <t>Non-IP Documentation</t>
        </is>
      </c>
      <c r="E824" s="3" t="inlineStr">
        <is>
          <t>Non-IP Shipment Documentation</t>
        </is>
      </c>
      <c r="F824" s="3" t="inlineStr">
        <is>
          <t>Handover protocol_meal vouchers 50 pcs
09-JAN-2024</t>
        </is>
      </c>
      <c r="G824" s="2" t="str">
        <f>HYPERLINK("https://vtmf.veevavault.com/ui/#doc_info/26273623/1/0", "VTMF-21018788")</f>
        <v>VTMF-21018788</v>
      </c>
      <c r="H824" s="3" t="inlineStr">
        <is>
          <t/>
        </is>
      </c>
      <c r="I824" s="3" t="inlineStr">
        <is>
          <t>Anthony Suarez (veeva.com)</t>
        </is>
      </c>
      <c r="J824" s="3" t="inlineStr">
        <is>
          <t>Jitka Kone</t>
        </is>
      </c>
      <c r="K824" s="4" t="n">
        <v>45419.57611111111</v>
      </c>
      <c r="L824" s="5" t="n">
        <v>45419.0</v>
      </c>
      <c r="M824" s="3" t="inlineStr">
        <is>
          <t>Approved</t>
        </is>
      </c>
      <c r="N824" s="3" t="inlineStr">
        <is>
          <t>Available for Distribution, CLIX Filing, Site Close</t>
        </is>
      </c>
      <c r="O824" s="3" t="inlineStr">
        <is>
          <t>Czech Republic</t>
        </is>
      </c>
      <c r="P824" s="3" t="inlineStr">
        <is>
          <t>Z92-CZ10009</t>
        </is>
      </c>
      <c r="Q824" s="3" t="inlineStr">
        <is>
          <t>77242113UCO2001</t>
        </is>
      </c>
    </row>
    <row r="825">
      <c r="A825" s="2" t="str">
        <f>HYPERLINK("https://vtmf.veevavault.com/ui/#doc_info/26056774/1/0", "77242113UCO2001-CZE-Z92-CZ10009-Non-IP Shipment Documentation-11 Jan 2024 (v1.0)")</f>
        <v>77242113UCO2001-CZE-Z92-CZ10009-Non-IP Shipment Documentation-11 Jan 2024 (v1.0)</v>
      </c>
      <c r="B825" s="3" t="inlineStr">
        <is>
          <t>Jitka Kone</t>
        </is>
      </c>
      <c r="C825" s="3" t="inlineStr">
        <is>
          <t>IP and Trial Supplies</t>
        </is>
      </c>
      <c r="D825" s="3" t="inlineStr">
        <is>
          <t>Non-IP Documentation</t>
        </is>
      </c>
      <c r="E825" s="3" t="inlineStr">
        <is>
          <t>Non-IP Shipment Documentation</t>
        </is>
      </c>
      <c r="F825" s="3" t="inlineStr">
        <is>
          <t>NIPSF_Initial_10-JAN-2024</t>
        </is>
      </c>
      <c r="G825" s="2" t="str">
        <f>HYPERLINK("https://vtmf.veevavault.com/ui/#doc_info/26056774/1/0", "VTMF-20829996")</f>
        <v>VTMF-20829996</v>
      </c>
      <c r="H825" s="3" t="inlineStr">
        <is>
          <t/>
        </is>
      </c>
      <c r="I825" s="3" t="inlineStr">
        <is>
          <t>Anthony Suarez (veeva.com)</t>
        </is>
      </c>
      <c r="J825" s="3" t="inlineStr">
        <is>
          <t>Jitka Kone</t>
        </is>
      </c>
      <c r="K825" s="4" t="n">
        <v>45385.6622337963</v>
      </c>
      <c r="L825" s="5" t="n">
        <v>45385.0</v>
      </c>
      <c r="M825" s="3" t="inlineStr">
        <is>
          <t>Approved</t>
        </is>
      </c>
      <c r="N825" s="3" t="inlineStr">
        <is>
          <t>Available for Distribution, CLIX Filing, Site Close</t>
        </is>
      </c>
      <c r="O825" s="3" t="inlineStr">
        <is>
          <t>Czech Republic</t>
        </is>
      </c>
      <c r="P825" s="3" t="inlineStr">
        <is>
          <t>Z92-CZ10009</t>
        </is>
      </c>
      <c r="Q825" s="3" t="inlineStr">
        <is>
          <t>77242113UCO2001</t>
        </is>
      </c>
    </row>
    <row r="826">
      <c r="A826" s="2" t="str">
        <f>HYPERLINK("https://vtmf.veevavault.com/ui/#doc_info/26062874/1/0", "77242113UCO2001-CZE-Z92-CZ10009-Non-IP Shipment Documentation-11 Jan 2024 (v1.0)")</f>
        <v>77242113UCO2001-CZE-Z92-CZ10009-Non-IP Shipment Documentation-11 Jan 2024 (v1.0)</v>
      </c>
      <c r="B826" s="3" t="inlineStr">
        <is>
          <t>Jitka Kone</t>
        </is>
      </c>
      <c r="C826" s="3" t="inlineStr">
        <is>
          <t>IP and Trial Supplies</t>
        </is>
      </c>
      <c r="D826" s="3" t="inlineStr">
        <is>
          <t>Non-IP Documentation</t>
        </is>
      </c>
      <c r="E826" s="3" t="inlineStr">
        <is>
          <t>Non-IP Shipment Documentation</t>
        </is>
      </c>
      <c r="F826" s="3" t="inlineStr">
        <is>
          <t>NIPSF_Pharmacy Initial
10-JAN-2024</t>
        </is>
      </c>
      <c r="G826" s="2" t="str">
        <f>HYPERLINK("https://vtmf.veevavault.com/ui/#doc_info/26062874/1/0", "VTMF-20835440")</f>
        <v>VTMF-20835440</v>
      </c>
      <c r="H826" s="3" t="inlineStr">
        <is>
          <t/>
        </is>
      </c>
      <c r="I826" s="3" t="inlineStr">
        <is>
          <t>Anthony Suarez (veeva.com)</t>
        </is>
      </c>
      <c r="J826" s="3" t="inlineStr">
        <is>
          <t>Jitka Kone</t>
        </is>
      </c>
      <c r="K826" s="4" t="n">
        <v>45386.411041666666</v>
      </c>
      <c r="L826" s="5" t="n">
        <v>45386.0</v>
      </c>
      <c r="M826" s="3" t="inlineStr">
        <is>
          <t>Approved</t>
        </is>
      </c>
      <c r="N826" s="3" t="inlineStr">
        <is>
          <t>Available for Distribution, CLIX Filing, Site Close</t>
        </is>
      </c>
      <c r="O826" s="3" t="inlineStr">
        <is>
          <t>Czech Republic</t>
        </is>
      </c>
      <c r="P826" s="3" t="inlineStr">
        <is>
          <t>Z92-CZ10009</t>
        </is>
      </c>
      <c r="Q826" s="3" t="inlineStr">
        <is>
          <t>77242113UCO2001</t>
        </is>
      </c>
    </row>
    <row r="827">
      <c r="A827" s="2" t="str">
        <f>HYPERLINK("https://vtmf.veevavault.com/ui/#doc_info/27715548/1/0", "77242113UCO2001-CZE-Z92-CZ10009-Non-IP Shipment Documentation-11 Nov 2024 (v1.0)")</f>
        <v>77242113UCO2001-CZE-Z92-CZ10009-Non-IP Shipment Documentation-11 Nov 2024 (v1.0)</v>
      </c>
      <c r="B827" s="3" t="inlineStr">
        <is>
          <t>Jitka Kone</t>
        </is>
      </c>
      <c r="C827" s="3" t="inlineStr">
        <is>
          <t>IP and Trial Supplies</t>
        </is>
      </c>
      <c r="D827" s="3" t="inlineStr">
        <is>
          <t>Non-IP Documentation</t>
        </is>
      </c>
      <c r="E827" s="3" t="inlineStr">
        <is>
          <t>Non-IP Shipment Documentation</t>
        </is>
      </c>
      <c r="F827" s="3" t="inlineStr">
        <is>
          <t>NIPSF_Pr.Am.3 Synopsis_17-OCT-2024</t>
        </is>
      </c>
      <c r="G827" s="2" t="str">
        <f>HYPERLINK("https://vtmf.veevavault.com/ui/#doc_info/27715548/1/0", "VTMF-22233480")</f>
        <v>VTMF-22233480</v>
      </c>
      <c r="H827" s="3" t="inlineStr">
        <is>
          <t/>
        </is>
      </c>
      <c r="I827" s="3" t="inlineStr">
        <is>
          <t>System</t>
        </is>
      </c>
      <c r="J827" s="3" t="inlineStr">
        <is>
          <t>Jitka Kone</t>
        </is>
      </c>
      <c r="K827" s="4" t="n">
        <v>45618.65665509259</v>
      </c>
      <c r="L827" s="5" t="n">
        <v>45618.0</v>
      </c>
      <c r="M827" s="3" t="inlineStr">
        <is>
          <t>Approved</t>
        </is>
      </c>
      <c r="N827" s="3" t="inlineStr">
        <is>
          <t>CLIX Filing, Country Start, Site Start</t>
        </is>
      </c>
      <c r="O827" s="3" t="inlineStr">
        <is>
          <t>Czech Republic</t>
        </is>
      </c>
      <c r="P827" s="3" t="inlineStr">
        <is>
          <t>Z92-CZ10009</t>
        </is>
      </c>
      <c r="Q827" s="3" t="inlineStr">
        <is>
          <t>77242113UCO2001</t>
        </is>
      </c>
    </row>
    <row r="828">
      <c r="A828" s="2" t="str">
        <f>HYPERLINK("https://vtmf.veevavault.com/ui/#doc_info/27662374/1/0", "77242113UCO2001-CZE-Z92-CZ10009-Non-IP Shipment Documentation-12 Nov 2024 (v1.0)")</f>
        <v>77242113UCO2001-CZE-Z92-CZ10009-Non-IP Shipment Documentation-12 Nov 2024 (v1.0)</v>
      </c>
      <c r="B828" s="3" t="inlineStr">
        <is>
          <t>Jitka Kone</t>
        </is>
      </c>
      <c r="C828" s="3" t="inlineStr">
        <is>
          <t>IP and Trial Supplies</t>
        </is>
      </c>
      <c r="D828" s="3" t="inlineStr">
        <is>
          <t>Non-IP Documentation</t>
        </is>
      </c>
      <c r="E828" s="3" t="inlineStr">
        <is>
          <t>Non-IP Shipment Documentation</t>
        </is>
      </c>
      <c r="F828" s="3" t="inlineStr">
        <is>
          <t>Handover protocol_meal vouchers 2025 100 pcs_31-OCT-2024</t>
        </is>
      </c>
      <c r="G828" s="2" t="str">
        <f>HYPERLINK("https://vtmf.veevavault.com/ui/#doc_info/27662374/1/0", "VTMF-22204357")</f>
        <v>VTMF-22204357</v>
      </c>
      <c r="H828" s="3" t="inlineStr">
        <is>
          <t/>
        </is>
      </c>
      <c r="I828" s="3" t="inlineStr">
        <is>
          <t>System</t>
        </is>
      </c>
      <c r="J828" s="3" t="inlineStr">
        <is>
          <t>Jitka Kone</t>
        </is>
      </c>
      <c r="K828" s="4" t="n">
        <v>45617.43099537037</v>
      </c>
      <c r="L828" s="5" t="n">
        <v>45617.0</v>
      </c>
      <c r="M828" s="3" t="inlineStr">
        <is>
          <t>Approved</t>
        </is>
      </c>
      <c r="N828" s="3" t="inlineStr">
        <is>
          <t>CLIX Filing, Country Start, Site Start</t>
        </is>
      </c>
      <c r="O828" s="3" t="inlineStr">
        <is>
          <t>Czech Republic</t>
        </is>
      </c>
      <c r="P828" s="3" t="inlineStr">
        <is>
          <t>Z92-CZ10009</t>
        </is>
      </c>
      <c r="Q828" s="3" t="inlineStr">
        <is>
          <t>77242113UCO2001</t>
        </is>
      </c>
    </row>
    <row r="829">
      <c r="A829" s="2" t="str">
        <f>HYPERLINK("https://vtmf.veevavault.com/ui/#doc_info/27168702/1/0", "77242113UCO2001-CZE-Z92-CZ10009-Non-IP Shipment Documentation-12 Sep 2024 (v1.0)")</f>
        <v>77242113UCO2001-CZE-Z92-CZ10009-Non-IP Shipment Documentation-12 Sep 2024 (v1.0)</v>
      </c>
      <c r="B829" s="3" t="inlineStr">
        <is>
          <t>Jitka Kone</t>
        </is>
      </c>
      <c r="C829" s="3" t="inlineStr">
        <is>
          <t>IP and Trial Supplies</t>
        </is>
      </c>
      <c r="D829" s="3" t="inlineStr">
        <is>
          <t>Non-IP Documentation</t>
        </is>
      </c>
      <c r="E829" s="3" t="inlineStr">
        <is>
          <t>Non-IP Shipment Documentation</t>
        </is>
      </c>
      <c r="F829" s="3" t="inlineStr">
        <is>
          <t>NIPSF-Deep freezer_12-SEP-2024</t>
        </is>
      </c>
      <c r="G829" s="2" t="str">
        <f>HYPERLINK("https://vtmf.veevavault.com/ui/#doc_info/27168702/1/0", "VTMF-21783098")</f>
        <v>VTMF-21783098</v>
      </c>
      <c r="H829" s="3" t="inlineStr">
        <is>
          <t/>
        </is>
      </c>
      <c r="I829" s="3" t="inlineStr">
        <is>
          <t>Anthony Suarez (veeva.com)</t>
        </is>
      </c>
      <c r="J829" s="3" t="inlineStr">
        <is>
          <t>Jitka Kone</t>
        </is>
      </c>
      <c r="K829" s="4" t="n">
        <v>45565.71021990741</v>
      </c>
      <c r="L829" s="5" t="n">
        <v>45565.0</v>
      </c>
      <c r="M829" s="3" t="inlineStr">
        <is>
          <t>Approved</t>
        </is>
      </c>
      <c r="N829" s="3" t="inlineStr">
        <is>
          <t>Available for Distribution, CLIX Filing, Site Close</t>
        </is>
      </c>
      <c r="O829" s="3" t="inlineStr">
        <is>
          <t>Czech Republic</t>
        </is>
      </c>
      <c r="P829" s="3" t="inlineStr">
        <is>
          <t>Z92-CZ10009</t>
        </is>
      </c>
      <c r="Q829" s="3" t="inlineStr">
        <is>
          <t>77242113UCO2001</t>
        </is>
      </c>
    </row>
    <row r="830">
      <c r="A830" s="2" t="str">
        <f>HYPERLINK("https://vtmf.veevavault.com/ui/#doc_info/27176450/1/0", "77242113UCO2001-CZE-Z92-CZ10009-Non-IP Shipment Documentation-13 Sep 2024 (v1.0)")</f>
        <v>77242113UCO2001-CZE-Z92-CZ10009-Non-IP Shipment Documentation-13 Sep 2024 (v1.0)</v>
      </c>
      <c r="B830" s="3" t="inlineStr">
        <is>
          <t>Jitka Kone</t>
        </is>
      </c>
      <c r="C830" s="3" t="inlineStr">
        <is>
          <t>IP and Trial Supplies</t>
        </is>
      </c>
      <c r="D830" s="3" t="inlineStr">
        <is>
          <t>Non-IP Documentation</t>
        </is>
      </c>
      <c r="E830" s="3" t="inlineStr">
        <is>
          <t>Non-IP Shipment Documentation</t>
        </is>
      </c>
      <c r="F830" s="3" t="inlineStr">
        <is>
          <t>Handover protocol_ Datalogger _KLT-24K-7733_13-SEP-2024</t>
        </is>
      </c>
      <c r="G830" s="2" t="str">
        <f>HYPERLINK("https://vtmf.veevavault.com/ui/#doc_info/27176450/1/0", "VTMF-21790177")</f>
        <v>VTMF-21790177</v>
      </c>
      <c r="H830" s="3" t="inlineStr">
        <is>
          <t/>
        </is>
      </c>
      <c r="I830" s="3" t="inlineStr">
        <is>
          <t>Anthony Suarez (veeva.com)</t>
        </is>
      </c>
      <c r="J830" s="3" t="inlineStr">
        <is>
          <t>Jitka Kone</t>
        </is>
      </c>
      <c r="K830" s="4" t="n">
        <v>45566.645474537036</v>
      </c>
      <c r="L830" s="5" t="n">
        <v>45566.0</v>
      </c>
      <c r="M830" s="3" t="inlineStr">
        <is>
          <t>Approved</t>
        </is>
      </c>
      <c r="N830" s="3" t="inlineStr">
        <is>
          <t>Available for Distribution, CLIX Filing, Site Close</t>
        </is>
      </c>
      <c r="O830" s="3" t="inlineStr">
        <is>
          <t>Czech Republic</t>
        </is>
      </c>
      <c r="P830" s="3" t="inlineStr">
        <is>
          <t>Z92-CZ10009</t>
        </is>
      </c>
      <c r="Q830" s="3" t="inlineStr">
        <is>
          <t>77242113UCO2001</t>
        </is>
      </c>
    </row>
    <row r="831">
      <c r="A831" s="2" t="str">
        <f>HYPERLINK("https://vtmf.veevavault.com/ui/#doc_info/26416407/1/0", "77242113UCO2001-CZE-Z92-CZ10009-Non-IP Shipment Documentation-15 Mar 2024 (v1.0)")</f>
        <v>77242113UCO2001-CZE-Z92-CZ10009-Non-IP Shipment Documentation-15 Mar 2024 (v1.0)</v>
      </c>
      <c r="B831" s="3" t="inlineStr">
        <is>
          <t>Jitka Kone</t>
        </is>
      </c>
      <c r="C831" s="3" t="inlineStr">
        <is>
          <t>IP and Trial Supplies</t>
        </is>
      </c>
      <c r="D831" s="3" t="inlineStr">
        <is>
          <t>Non-IP Documentation</t>
        </is>
      </c>
      <c r="E831" s="3" t="inlineStr">
        <is>
          <t>Non-IP Shipment Documentation</t>
        </is>
      </c>
      <c r="F831" s="3" t="inlineStr">
        <is>
          <t>NIPSF_Handheld 2x_12-MAR-2024</t>
        </is>
      </c>
      <c r="G831" s="2" t="str">
        <f>HYPERLINK("https://vtmf.veevavault.com/ui/#doc_info/26416407/1/0", "VTMF-21143456")</f>
        <v>VTMF-21143456</v>
      </c>
      <c r="H831" s="3" t="inlineStr">
        <is>
          <t/>
        </is>
      </c>
      <c r="I831" s="3" t="inlineStr">
        <is>
          <t>Anthony Suarez (veeva.com)</t>
        </is>
      </c>
      <c r="J831" s="3" t="inlineStr">
        <is>
          <t>Jitka Kone</t>
        </is>
      </c>
      <c r="K831" s="4" t="n">
        <v>45441.63793981481</v>
      </c>
      <c r="L831" s="5" t="n">
        <v>45441.0</v>
      </c>
      <c r="M831" s="3" t="inlineStr">
        <is>
          <t>Approved</t>
        </is>
      </c>
      <c r="N831" s="3" t="inlineStr">
        <is>
          <t>Available for Distribution, CLIX Filing, Site Close</t>
        </is>
      </c>
      <c r="O831" s="3" t="inlineStr">
        <is>
          <t>Czech Republic</t>
        </is>
      </c>
      <c r="P831" s="3" t="inlineStr">
        <is>
          <t>Z92-CZ10009</t>
        </is>
      </c>
      <c r="Q831" s="3" t="inlineStr">
        <is>
          <t>77242113UCO2001</t>
        </is>
      </c>
    </row>
    <row r="832">
      <c r="A832" s="2" t="str">
        <f>HYPERLINK("https://vtmf.veevavault.com/ui/#doc_info/27198944/1/0", "77242113UCO2001-CZE-Z92-CZ10009-Non-IP Shipment Documentation-15 Mar 2024 (v1.0)")</f>
        <v>77242113UCO2001-CZE-Z92-CZ10009-Non-IP Shipment Documentation-15 Mar 2024 (v1.0)</v>
      </c>
      <c r="B832" s="3" t="inlineStr">
        <is>
          <t>Jitka Kone</t>
        </is>
      </c>
      <c r="C832" s="3" t="inlineStr">
        <is>
          <t>IP and Trial Supplies</t>
        </is>
      </c>
      <c r="D832" s="3" t="inlineStr">
        <is>
          <t>Non-IP Documentation</t>
        </is>
      </c>
      <c r="E832" s="3" t="inlineStr">
        <is>
          <t>Non-IP Shipment Documentation</t>
        </is>
      </c>
      <c r="F832" s="3" t="inlineStr">
        <is>
          <t>Handover protocol_scale_13-MAR-2024</t>
        </is>
      </c>
      <c r="G832" s="2" t="str">
        <f>HYPERLINK("https://vtmf.veevavault.com/ui/#doc_info/27198944/1/0", "VTMF-21809840")</f>
        <v>VTMF-21809840</v>
      </c>
      <c r="H832" s="3" t="inlineStr">
        <is>
          <t/>
        </is>
      </c>
      <c r="I832" s="3" t="inlineStr">
        <is>
          <t>Anthony Suarez (veeva.com)</t>
        </is>
      </c>
      <c r="J832" s="3" t="inlineStr">
        <is>
          <t>Jitka Kone</t>
        </is>
      </c>
      <c r="K832" s="4" t="n">
        <v>45569.62258101852</v>
      </c>
      <c r="L832" s="5" t="n">
        <v>45569.0</v>
      </c>
      <c r="M832" s="3" t="inlineStr">
        <is>
          <t>Approved</t>
        </is>
      </c>
      <c r="N832" s="3" t="inlineStr">
        <is>
          <t>Available for Distribution, CLIX Filing, Site Close</t>
        </is>
      </c>
      <c r="O832" s="3" t="inlineStr">
        <is>
          <t>Czech Republic</t>
        </is>
      </c>
      <c r="P832" s="3" t="inlineStr">
        <is>
          <t>Z92-CZ10009</t>
        </is>
      </c>
      <c r="Q832" s="3" t="inlineStr">
        <is>
          <t>77242113UCO2001</t>
        </is>
      </c>
    </row>
    <row r="833">
      <c r="A833" s="2" t="str">
        <f>HYPERLINK("https://vtmf.veevavault.com/ui/#doc_info/27189444/1/0", "77242113UCO2001-CZE-Z92-CZ10009-Non-IP Shipment Documentation-16 Aug 2024 (v1.0)")</f>
        <v>77242113UCO2001-CZE-Z92-CZ10009-Non-IP Shipment Documentation-16 Aug 2024 (v1.0)</v>
      </c>
      <c r="B833" s="3" t="inlineStr">
        <is>
          <t>Jitka Kone</t>
        </is>
      </c>
      <c r="C833" s="3" t="inlineStr">
        <is>
          <t>IP and Trial Supplies</t>
        </is>
      </c>
      <c r="D833" s="3" t="inlineStr">
        <is>
          <t>Non-IP Documentation</t>
        </is>
      </c>
      <c r="E833" s="3" t="inlineStr">
        <is>
          <t>Non-IP Shipment Documentation</t>
        </is>
      </c>
      <c r="F833" s="3" t="inlineStr">
        <is>
          <t>Handover protocol_meal vouchers 300 pcs_14-AUG-2024</t>
        </is>
      </c>
      <c r="G833" s="2" t="str">
        <f>HYPERLINK("https://vtmf.veevavault.com/ui/#doc_info/27189444/1/0", "VTMF-21801602")</f>
        <v>VTMF-21801602</v>
      </c>
      <c r="H833" s="3" t="inlineStr">
        <is>
          <t/>
        </is>
      </c>
      <c r="I833" s="3" t="inlineStr">
        <is>
          <t>Anthony Suarez (veeva.com)</t>
        </is>
      </c>
      <c r="J833" s="3" t="inlineStr">
        <is>
          <t>Jitka Kone</t>
        </is>
      </c>
      <c r="K833" s="4" t="n">
        <v>45568.44443287037</v>
      </c>
      <c r="L833" s="5" t="n">
        <v>45568.0</v>
      </c>
      <c r="M833" s="3" t="inlineStr">
        <is>
          <t>Approved</t>
        </is>
      </c>
      <c r="N833" s="3" t="inlineStr">
        <is>
          <t>Available for Distribution, CLIX Filing, Site Close</t>
        </is>
      </c>
      <c r="O833" s="3" t="inlineStr">
        <is>
          <t>Czech Republic</t>
        </is>
      </c>
      <c r="P833" s="3" t="inlineStr">
        <is>
          <t>Z92-CZ10009</t>
        </is>
      </c>
      <c r="Q833" s="3" t="inlineStr">
        <is>
          <t>77242113UCO2001</t>
        </is>
      </c>
    </row>
    <row r="834">
      <c r="A834" s="2" t="str">
        <f>HYPERLINK("https://vtmf.veevavault.com/ui/#doc_info/27189717/1/0", "77242113UCO2001-CZE-Z92-CZ10009-Non-IP Shipment Documentation-16 Jul 2024 (v1.0)")</f>
        <v>77242113UCO2001-CZE-Z92-CZ10009-Non-IP Shipment Documentation-16 Jul 2024 (v1.0)</v>
      </c>
      <c r="B834" s="3" t="inlineStr">
        <is>
          <t>Jitka Kone</t>
        </is>
      </c>
      <c r="C834" s="3" t="inlineStr">
        <is>
          <t>IP and Trial Supplies</t>
        </is>
      </c>
      <c r="D834" s="3" t="inlineStr">
        <is>
          <t>Non-IP Documentation</t>
        </is>
      </c>
      <c r="E834" s="3" t="inlineStr">
        <is>
          <t>Non-IP Shipment Documentation</t>
        </is>
      </c>
      <c r="F834" s="3" t="inlineStr">
        <is>
          <t>NIPSF_Pregnancy tests_12-JUL-2024</t>
        </is>
      </c>
      <c r="G834" s="2" t="str">
        <f>HYPERLINK("https://vtmf.veevavault.com/ui/#doc_info/27189717/1/0", "VTMF-21801734")</f>
        <v>VTMF-21801734</v>
      </c>
      <c r="H834" s="3" t="inlineStr">
        <is>
          <t/>
        </is>
      </c>
      <c r="I834" s="3" t="inlineStr">
        <is>
          <t>Anthony Suarez (veeva.com)</t>
        </is>
      </c>
      <c r="J834" s="3" t="inlineStr">
        <is>
          <t>Jitka Kone</t>
        </is>
      </c>
      <c r="K834" s="4" t="n">
        <v>45568.46775462963</v>
      </c>
      <c r="L834" s="5" t="n">
        <v>45568.0</v>
      </c>
      <c r="M834" s="3" t="inlineStr">
        <is>
          <t>Approved</t>
        </is>
      </c>
      <c r="N834" s="3" t="inlineStr">
        <is>
          <t>Available for Distribution, CLIX Filing, Site Close</t>
        </is>
      </c>
      <c r="O834" s="3" t="inlineStr">
        <is>
          <t>Czech Republic</t>
        </is>
      </c>
      <c r="P834" s="3" t="inlineStr">
        <is>
          <t>Z92-CZ10009</t>
        </is>
      </c>
      <c r="Q834" s="3" t="inlineStr">
        <is>
          <t>77242113UCO2001</t>
        </is>
      </c>
    </row>
    <row r="835">
      <c r="A835" s="2" t="str">
        <f>HYPERLINK("https://vtmf.veevavault.com/ui/#doc_info/24158270/1/0", "77242113UCO2001-CZE-Z92-CZ10009-Non-IP Shipment Documentation-16 May 2023 (v1.0)")</f>
        <v>77242113UCO2001-CZE-Z92-CZ10009-Non-IP Shipment Documentation-16 May 2023 (v1.0)</v>
      </c>
      <c r="B835" s="3" t="inlineStr">
        <is>
          <t>Lucie Duskova</t>
        </is>
      </c>
      <c r="C835" s="3" t="inlineStr">
        <is>
          <t>IP and Trial Supplies</t>
        </is>
      </c>
      <c r="D835" s="3" t="inlineStr">
        <is>
          <t>Non-IP Documentation</t>
        </is>
      </c>
      <c r="E835" s="3" t="inlineStr">
        <is>
          <t>Non-IP Shipment Documentation</t>
        </is>
      </c>
      <c r="F835" s="3" t="inlineStr">
        <is>
          <t>NIPSF_Protocol Original_16MAY2023</t>
        </is>
      </c>
      <c r="G835" s="2" t="str">
        <f>HYPERLINK("https://vtmf.veevavault.com/ui/#doc_info/24158270/1/0", "VTMF-19168915")</f>
        <v>VTMF-19168915</v>
      </c>
      <c r="H835" s="3" t="inlineStr">
        <is>
          <t/>
        </is>
      </c>
      <c r="I835" s="3" t="inlineStr">
        <is>
          <t>Anthony Suarez (veeva.com)</t>
        </is>
      </c>
      <c r="J835" s="3" t="inlineStr">
        <is>
          <t>Lucie Duskova</t>
        </is>
      </c>
      <c r="K835" s="4" t="n">
        <v>45075.6606712963</v>
      </c>
      <c r="L835" s="5" t="n">
        <v>45075.0</v>
      </c>
      <c r="M835" s="3" t="inlineStr">
        <is>
          <t>Approved</t>
        </is>
      </c>
      <c r="N835" s="3" t="inlineStr">
        <is>
          <t>Available for Distribution, CLIX Filing, Site Close</t>
        </is>
      </c>
      <c r="O835" s="3" t="inlineStr">
        <is>
          <t>Czech Republic</t>
        </is>
      </c>
      <c r="P835" s="3" t="inlineStr">
        <is>
          <t>Z92-CZ10009</t>
        </is>
      </c>
      <c r="Q835" s="3" t="inlineStr">
        <is>
          <t>77242113UCO2001</t>
        </is>
      </c>
    </row>
    <row r="836">
      <c r="A836" s="2" t="str">
        <f>HYPERLINK("https://vtmf.veevavault.com/ui/#doc_info/31268622/1/0", "77242113UCO2001-CZE-Z92-CZ10009-Non-IP Shipment Documentation-19 Mar 2026 (v1.0)")</f>
        <v>77242113UCO2001-CZE-Z92-CZ10009-Non-IP Shipment Documentation-19 Mar 2026 (v1.0)</v>
      </c>
      <c r="B836" s="3" t="inlineStr">
        <is>
          <t>Jitka Kone</t>
        </is>
      </c>
      <c r="C836" s="3" t="inlineStr">
        <is>
          <t>IP and Trial Supplies</t>
        </is>
      </c>
      <c r="D836" s="3" t="inlineStr">
        <is>
          <t>Non-IP Documentation</t>
        </is>
      </c>
      <c r="E836" s="3" t="inlineStr">
        <is>
          <t>Non-IP Shipment Documentation</t>
        </is>
      </c>
      <c r="F836" s="3" t="inlineStr">
        <is>
          <t>NIPSF site_USB_16-MAR-2026</t>
        </is>
      </c>
      <c r="G836" s="2" t="str">
        <f>HYPERLINK("https://vtmf.veevavault.com/ui/#doc_info/31268622/1/0", "VTMF-25217337")</f>
        <v>VTMF-25217337</v>
      </c>
      <c r="H836" s="3" t="inlineStr">
        <is>
          <t/>
        </is>
      </c>
      <c r="I836" s="3" t="inlineStr">
        <is>
          <t>System</t>
        </is>
      </c>
      <c r="J836" s="3" t="inlineStr">
        <is>
          <t>Jitka Kone</t>
        </is>
      </c>
      <c r="K836" s="4" t="n">
        <v>46106.437997685185</v>
      </c>
      <c r="L836" s="5" t="n">
        <v>46106.0</v>
      </c>
      <c r="M836" s="3" t="inlineStr">
        <is>
          <t>Approved</t>
        </is>
      </c>
      <c r="N836" s="3" t="inlineStr">
        <is>
          <t>CLIX Filing, Country Start, Site Start</t>
        </is>
      </c>
      <c r="O836" s="3" t="inlineStr">
        <is>
          <t>Czech Republic</t>
        </is>
      </c>
      <c r="P836" s="3" t="inlineStr">
        <is>
          <t>Z92-CZ10009</t>
        </is>
      </c>
      <c r="Q836" s="3" t="inlineStr">
        <is>
          <t>77242113UCO2001</t>
        </is>
      </c>
    </row>
    <row r="837">
      <c r="A837" s="2" t="str">
        <f>HYPERLINK("https://vtmf.veevavault.com/ui/#doc_info/26731080/1/0", "77242113UCO2001-CZE-Z92-CZ10009-Non-IP Shipment Documentation-20 Jun 2024 (v1.0)")</f>
        <v>77242113UCO2001-CZE-Z92-CZ10009-Non-IP Shipment Documentation-20 Jun 2024 (v1.0)</v>
      </c>
      <c r="B837" s="3" t="inlineStr">
        <is>
          <t>Jitka Kone</t>
        </is>
      </c>
      <c r="C837" s="3" t="inlineStr">
        <is>
          <t>IP and Trial Supplies</t>
        </is>
      </c>
      <c r="D837" s="3" t="inlineStr">
        <is>
          <t>Non-IP Documentation</t>
        </is>
      </c>
      <c r="E837" s="3" t="inlineStr">
        <is>
          <t>Non-IP Shipment Documentation</t>
        </is>
      </c>
      <c r="F837" s="3" t="inlineStr">
        <is>
          <t>NIPSF pharmacy_Pr. Am.3 + PCI 3.1, 4.1., 5.1_20-JUN-2024</t>
        </is>
      </c>
      <c r="G837" s="2" t="str">
        <f>HYPERLINK("https://vtmf.veevavault.com/ui/#doc_info/26731080/1/0", "VTMF-21419701")</f>
        <v>VTMF-21419701</v>
      </c>
      <c r="H837" s="3" t="inlineStr">
        <is>
          <t/>
        </is>
      </c>
      <c r="I837" s="3" t="inlineStr">
        <is>
          <t>Anthony Suarez (veeva.com)</t>
        </is>
      </c>
      <c r="J837" s="3" t="inlineStr">
        <is>
          <t>Jitka Kone</t>
        </is>
      </c>
      <c r="K837" s="4" t="n">
        <v>45491.59600694444</v>
      </c>
      <c r="L837" s="5" t="n">
        <v>45491.0</v>
      </c>
      <c r="M837" s="3" t="inlineStr">
        <is>
          <t>Approved</t>
        </is>
      </c>
      <c r="N837" s="3" t="inlineStr">
        <is>
          <t>Available for Distribution, CLIX Filing, Site Close</t>
        </is>
      </c>
      <c r="O837" s="3" t="inlineStr">
        <is>
          <t>Czech Republic</t>
        </is>
      </c>
      <c r="P837" s="3" t="inlineStr">
        <is>
          <t>Z92-CZ10009</t>
        </is>
      </c>
      <c r="Q837" s="3" t="inlineStr">
        <is>
          <t>77242113UCO2001</t>
        </is>
      </c>
    </row>
    <row r="838">
      <c r="A838" s="2" t="str">
        <f>HYPERLINK("https://vtmf.veevavault.com/ui/#doc_info/26731467/1/0", "77242113UCO2001-CZE-Z92-CZ10009-Non-IP Shipment Documentation-20 Jun 2024 (v1.0)")</f>
        <v>77242113UCO2001-CZE-Z92-CZ10009-Non-IP Shipment Documentation-20 Jun 2024 (v1.0)</v>
      </c>
      <c r="B838" s="3" t="inlineStr">
        <is>
          <t>Jitka Kone</t>
        </is>
      </c>
      <c r="C838" s="3" t="inlineStr">
        <is>
          <t>IP and Trial Supplies</t>
        </is>
      </c>
      <c r="D838" s="3" t="inlineStr">
        <is>
          <t>Non-IP Documentation</t>
        </is>
      </c>
      <c r="E838" s="3" t="inlineStr">
        <is>
          <t>Non-IP Shipment Documentation</t>
        </is>
      </c>
      <c r="F838" s="3" t="inlineStr">
        <is>
          <t>NIPSF site_ICFs + Appointment cards + synopsis + insurance_24-MAY-2024</t>
        </is>
      </c>
      <c r="G838" s="2" t="str">
        <f>HYPERLINK("https://vtmf.veevavault.com/ui/#doc_info/26731467/1/0", "VTMF-21420227")</f>
        <v>VTMF-21420227</v>
      </c>
      <c r="H838" s="3" t="inlineStr">
        <is>
          <t/>
        </is>
      </c>
      <c r="I838" s="3" t="inlineStr">
        <is>
          <t>Anthony Suarez (veeva.com)</t>
        </is>
      </c>
      <c r="J838" s="3" t="inlineStr">
        <is>
          <t>Jitka Kone</t>
        </is>
      </c>
      <c r="K838" s="4" t="n">
        <v>45491.645370370374</v>
      </c>
      <c r="L838" s="5" t="n">
        <v>45491.0</v>
      </c>
      <c r="M838" s="3" t="inlineStr">
        <is>
          <t>Approved</t>
        </is>
      </c>
      <c r="N838" s="3" t="inlineStr">
        <is>
          <t>Available for Distribution, CLIX Filing, Site Close</t>
        </is>
      </c>
      <c r="O838" s="3" t="inlineStr">
        <is>
          <t>Czech Republic</t>
        </is>
      </c>
      <c r="P838" s="3" t="inlineStr">
        <is>
          <t>Z92-CZ10009</t>
        </is>
      </c>
      <c r="Q838" s="3" t="inlineStr">
        <is>
          <t>77242113UCO2001</t>
        </is>
      </c>
    </row>
    <row r="839">
      <c r="A839" s="2" t="str">
        <f>HYPERLINK("https://vtmf.veevavault.com/ui/#doc_info/27176951/1/0", "77242113UCO2001-CZE-Z92-CZ10009-Non-IP Shipment Documentation-20 Jun 2024 (v1.0)")</f>
        <v>77242113UCO2001-CZE-Z92-CZ10009-Non-IP Shipment Documentation-20 Jun 2024 (v1.0)</v>
      </c>
      <c r="B839" s="3" t="inlineStr">
        <is>
          <t>Jitka Kone</t>
        </is>
      </c>
      <c r="C839" s="3" t="inlineStr">
        <is>
          <t>IP and Trial Supplies</t>
        </is>
      </c>
      <c r="D839" s="3" t="inlineStr">
        <is>
          <t>Non-IP Documentation</t>
        </is>
      </c>
      <c r="E839" s="3" t="inlineStr">
        <is>
          <t>Non-IP Shipment Documentation</t>
        </is>
      </c>
      <c r="F839" s="3" t="inlineStr">
        <is>
          <t>NIPSF_Site Operational guide + PCI 3x_20-JUN-2024</t>
        </is>
      </c>
      <c r="G839" s="2" t="str">
        <f>HYPERLINK("https://vtmf.veevavault.com/ui/#doc_info/27176951/1/0", "VTMF-21790609")</f>
        <v>VTMF-21790609</v>
      </c>
      <c r="H839" s="3" t="inlineStr">
        <is>
          <t/>
        </is>
      </c>
      <c r="I839" s="3" t="inlineStr">
        <is>
          <t>Anthony Suarez (veeva.com)</t>
        </is>
      </c>
      <c r="J839" s="3" t="inlineStr">
        <is>
          <t>Jitka Kone</t>
        </is>
      </c>
      <c r="K839" s="4" t="n">
        <v>45566.679085648146</v>
      </c>
      <c r="L839" s="5" t="n">
        <v>45566.0</v>
      </c>
      <c r="M839" s="3" t="inlineStr">
        <is>
          <t>Approved</t>
        </is>
      </c>
      <c r="N839" s="3" t="inlineStr">
        <is>
          <t>Available for Distribution, CLIX Filing, Site Close</t>
        </is>
      </c>
      <c r="O839" s="3" t="inlineStr">
        <is>
          <t>Czech Republic</t>
        </is>
      </c>
      <c r="P839" s="3" t="inlineStr">
        <is>
          <t>Z92-CZ10009</t>
        </is>
      </c>
      <c r="Q839" s="3" t="inlineStr">
        <is>
          <t>77242113UCO2001</t>
        </is>
      </c>
    </row>
    <row r="840">
      <c r="A840" s="2" t="str">
        <f>HYPERLINK("https://vtmf.veevavault.com/ui/#doc_info/26338264/1/0", "77242113UCO2001-CZE-Z92-CZ10009-Non-IP Shipment Documentation-20 Mar 2024 (v1.0)")</f>
        <v>77242113UCO2001-CZE-Z92-CZ10009-Non-IP Shipment Documentation-20 Mar 2024 (v1.0)</v>
      </c>
      <c r="B840" s="3" t="inlineStr">
        <is>
          <t>Jitka Kone</t>
        </is>
      </c>
      <c r="C840" s="3" t="inlineStr">
        <is>
          <t>IP and Trial Supplies</t>
        </is>
      </c>
      <c r="D840" s="3" t="inlineStr">
        <is>
          <t>Non-IP Documentation</t>
        </is>
      </c>
      <c r="E840" s="3" t="inlineStr">
        <is>
          <t>Non-IP Shipment Documentation</t>
        </is>
      </c>
      <c r="F840" s="3" t="inlineStr">
        <is>
          <t>NIPSF_Miniprotocols + IE criteria
13-MAR-2024</t>
        </is>
      </c>
      <c r="G840" s="2" t="str">
        <f>HYPERLINK("https://vtmf.veevavault.com/ui/#doc_info/26338264/1/0", "VTMF-21075419")</f>
        <v>VTMF-21075419</v>
      </c>
      <c r="H840" s="3" t="inlineStr">
        <is>
          <t/>
        </is>
      </c>
      <c r="I840" s="3" t="inlineStr">
        <is>
          <t>Anthony Suarez (veeva.com)</t>
        </is>
      </c>
      <c r="J840" s="3" t="inlineStr">
        <is>
          <t>Jitka Kone</t>
        </is>
      </c>
      <c r="K840" s="4" t="n">
        <v>45428.650775462964</v>
      </c>
      <c r="L840" s="5" t="n">
        <v>45428.0</v>
      </c>
      <c r="M840" s="3" t="inlineStr">
        <is>
          <t>Approved</t>
        </is>
      </c>
      <c r="N840" s="3" t="inlineStr">
        <is>
          <t>Available for Distribution, CLIX Filing, Site Close</t>
        </is>
      </c>
      <c r="O840" s="3" t="inlineStr">
        <is>
          <t>Czech Republic</t>
        </is>
      </c>
      <c r="P840" s="3" t="inlineStr">
        <is>
          <t>Z92-CZ10009</t>
        </is>
      </c>
      <c r="Q840" s="3" t="inlineStr">
        <is>
          <t>77242113UCO2001</t>
        </is>
      </c>
    </row>
    <row r="841">
      <c r="A841" s="2" t="str">
        <f>HYPERLINK("https://vtmf.veevavault.com/ui/#doc_info/30237159/1/0", "77242113UCO2001-CZE-Z92-CZ10009-Non-IP Shipment Documentation-22 Oct 2025 (v1.0)")</f>
        <v>77242113UCO2001-CZE-Z92-CZ10009-Non-IP Shipment Documentation-22 Oct 2025 (v1.0)</v>
      </c>
      <c r="B841" s="3" t="inlineStr">
        <is>
          <t>Jitka Kone</t>
        </is>
      </c>
      <c r="C841" s="3" t="inlineStr">
        <is>
          <t>IP and Trial Supplies</t>
        </is>
      </c>
      <c r="D841" s="3" t="inlineStr">
        <is>
          <t>Non-IP Documentation</t>
        </is>
      </c>
      <c r="E841" s="3" t="inlineStr">
        <is>
          <t>Non-IP Shipment Documentation</t>
        </is>
      </c>
      <c r="F841" s="3" t="inlineStr">
        <is>
          <t>Handover protocol_meal vouchers 2026 32 pcs_20-OCT-2025</t>
        </is>
      </c>
      <c r="G841" s="2" t="str">
        <f>HYPERLINK("https://vtmf.veevavault.com/ui/#doc_info/30237159/1/0", "VTMF-24348254")</f>
        <v>VTMF-24348254</v>
      </c>
      <c r="H841" s="3" t="inlineStr">
        <is>
          <t/>
        </is>
      </c>
      <c r="I841" s="3" t="inlineStr">
        <is>
          <t>System</t>
        </is>
      </c>
      <c r="J841" s="3" t="inlineStr">
        <is>
          <t>Jitka Kone</t>
        </is>
      </c>
      <c r="K841" s="4" t="n">
        <v>45957.49228009259</v>
      </c>
      <c r="L841" s="5" t="n">
        <v>45957.0</v>
      </c>
      <c r="M841" s="3" t="inlineStr">
        <is>
          <t>Approved</t>
        </is>
      </c>
      <c r="N841" s="3" t="inlineStr">
        <is>
          <t>CLIX Filing, Country Start, Site Start</t>
        </is>
      </c>
      <c r="O841" s="3" t="inlineStr">
        <is>
          <t>Czech Republic</t>
        </is>
      </c>
      <c r="P841" s="3" t="inlineStr">
        <is>
          <t>Z92-CZ10009</t>
        </is>
      </c>
      <c r="Q841" s="3" t="inlineStr">
        <is>
          <t>77242113UCO2001</t>
        </is>
      </c>
    </row>
    <row r="842">
      <c r="A842" s="2" t="str">
        <f>HYPERLINK("https://vtmf.veevavault.com/ui/#doc_info/26417050/1/0", "77242113UCO2001-CZE-Z92-CZ10009-Non-IP Shipment Documentation-23 May 2024 (v1.0)")</f>
        <v>77242113UCO2001-CZE-Z92-CZ10009-Non-IP Shipment Documentation-23 May 2024 (v1.0)</v>
      </c>
      <c r="B842" s="3" t="inlineStr">
        <is>
          <t>Jitka Kone</t>
        </is>
      </c>
      <c r="C842" s="3" t="inlineStr">
        <is>
          <t>IP and Trial Supplies</t>
        </is>
      </c>
      <c r="D842" s="3" t="inlineStr">
        <is>
          <t>Non-IP Documentation</t>
        </is>
      </c>
      <c r="E842" s="3" t="inlineStr">
        <is>
          <t>Non-IP Shipment Documentation</t>
        </is>
      </c>
      <c r="F842" s="3" t="inlineStr">
        <is>
          <t>NIPSF_Subject Binders_16-MAY-2024</t>
        </is>
      </c>
      <c r="G842" s="2" t="str">
        <f>HYPERLINK("https://vtmf.veevavault.com/ui/#doc_info/26417050/1/0", "VTMF-21144089")</f>
        <v>VTMF-21144089</v>
      </c>
      <c r="H842" s="3" t="inlineStr">
        <is>
          <t/>
        </is>
      </c>
      <c r="I842" s="3" t="inlineStr">
        <is>
          <t>Anthony Suarez (veeva.com)</t>
        </is>
      </c>
      <c r="J842" s="3" t="inlineStr">
        <is>
          <t>Jitka Kone</t>
        </is>
      </c>
      <c r="K842" s="4" t="n">
        <v>45441.687581018516</v>
      </c>
      <c r="L842" s="5" t="n">
        <v>45441.0</v>
      </c>
      <c r="M842" s="3" t="inlineStr">
        <is>
          <t>Approved</t>
        </is>
      </c>
      <c r="N842" s="3" t="inlineStr">
        <is>
          <t>Available for Distribution, CLIX Filing, Site Close</t>
        </is>
      </c>
      <c r="O842" s="3" t="inlineStr">
        <is>
          <t>Czech Republic</t>
        </is>
      </c>
      <c r="P842" s="3" t="inlineStr">
        <is>
          <t>Z92-CZ10009</t>
        </is>
      </c>
      <c r="Q842" s="3" t="inlineStr">
        <is>
          <t>77242113UCO2001</t>
        </is>
      </c>
    </row>
    <row r="843">
      <c r="A843" s="2" t="str">
        <f>HYPERLINK("https://vtmf.veevavault.com/ui/#doc_info/29868310/1/0", "77242113UCO2001-CZE-Z92-CZ10009-Non-IP Shipment Documentation-27 Aug 2025 (v1.0)")</f>
        <v>77242113UCO2001-CZE-Z92-CZ10009-Non-IP Shipment Documentation-27 Aug 2025 (v1.0)</v>
      </c>
      <c r="B843" s="3" t="inlineStr">
        <is>
          <t>Jitka Kone</t>
        </is>
      </c>
      <c r="C843" s="3" t="inlineStr">
        <is>
          <t>IP and Trial Supplies</t>
        </is>
      </c>
      <c r="D843" s="3" t="inlineStr">
        <is>
          <t>Non-IP Documentation</t>
        </is>
      </c>
      <c r="E843" s="3" t="inlineStr">
        <is>
          <t>Non-IP Shipment Documentation</t>
        </is>
      </c>
      <c r="F843" s="3" t="inlineStr">
        <is>
          <t>NIPSF_Datalogger KLT-25K-9093_26-AUG-2025</t>
        </is>
      </c>
      <c r="G843" s="2" t="str">
        <f>HYPERLINK("https://vtmf.veevavault.com/ui/#doc_info/29868310/1/0", "VTMF-24040285")</f>
        <v>VTMF-24040285</v>
      </c>
      <c r="H843" s="3" t="inlineStr">
        <is>
          <t/>
        </is>
      </c>
      <c r="I843" s="3" t="inlineStr">
        <is>
          <t>System</t>
        </is>
      </c>
      <c r="J843" s="3" t="inlineStr">
        <is>
          <t>Jitka Kone</t>
        </is>
      </c>
      <c r="K843" s="4" t="n">
        <v>45901.5171412037</v>
      </c>
      <c r="L843" s="5" t="n">
        <v>45901.0</v>
      </c>
      <c r="M843" s="3" t="inlineStr">
        <is>
          <t>Approved</t>
        </is>
      </c>
      <c r="N843" s="3" t="inlineStr">
        <is>
          <t>CLIX Filing, Country Start, Site Start</t>
        </is>
      </c>
      <c r="O843" s="3" t="inlineStr">
        <is>
          <t>Czech Republic</t>
        </is>
      </c>
      <c r="P843" s="3" t="inlineStr">
        <is>
          <t>Z92-CZ10009</t>
        </is>
      </c>
      <c r="Q843" s="3" t="inlineStr">
        <is>
          <t>77242113UCO2001</t>
        </is>
      </c>
    </row>
    <row r="844">
      <c r="A844" s="2" t="str">
        <f>HYPERLINK("https://vtmf.veevavault.com/ui/#doc_info/31651526/1/0", "77242113UCO2001-CZE-Z92-CZ10009-Non-IP Shipment Documentation-29 Apr 2026 (v1.0)")</f>
        <v>77242113UCO2001-CZE-Z92-CZ10009-Non-IP Shipment Documentation-29 Apr 2026 (v1.0)</v>
      </c>
      <c r="B844" s="3" t="inlineStr">
        <is>
          <t>Jitka Kone</t>
        </is>
      </c>
      <c r="C844" s="3" t="inlineStr">
        <is>
          <t>IP and Trial Supplies</t>
        </is>
      </c>
      <c r="D844" s="3" t="inlineStr">
        <is>
          <t>Non-IP Documentation</t>
        </is>
      </c>
      <c r="E844" s="3" t="inlineStr">
        <is>
          <t>Non-IP Shipment Documentation</t>
        </is>
      </c>
      <c r="F844" s="3" t="inlineStr">
        <is>
          <t>NIPSF_USB final archiving + Final progress report_27-APR-2026</t>
        </is>
      </c>
      <c r="G844" s="2" t="str">
        <f>HYPERLINK("https://vtmf.veevavault.com/ui/#doc_info/31651526/1/0", "VTMF-25546483")</f>
        <v>VTMF-25546483</v>
      </c>
      <c r="H844" s="3" t="inlineStr">
        <is>
          <t/>
        </is>
      </c>
      <c r="I844" s="3" t="inlineStr">
        <is>
          <t>System</t>
        </is>
      </c>
      <c r="J844" s="3" t="inlineStr">
        <is>
          <t>Jitka Kone</t>
        </is>
      </c>
      <c r="K844" s="4" t="n">
        <v>46155.45655092593</v>
      </c>
      <c r="L844" s="5" t="n">
        <v>46155.0</v>
      </c>
      <c r="M844" s="3" t="inlineStr">
        <is>
          <t>Approved</t>
        </is>
      </c>
      <c r="N844" s="3" t="inlineStr">
        <is>
          <t>CLIX Filing, Country Start, Site Start</t>
        </is>
      </c>
      <c r="O844" s="3" t="inlineStr">
        <is>
          <t>Czech Republic</t>
        </is>
      </c>
      <c r="P844" s="3" t="inlineStr">
        <is>
          <t>Z92-CZ10009</t>
        </is>
      </c>
      <c r="Q844" s="3" t="inlineStr">
        <is>
          <t>77242113UCO2001</t>
        </is>
      </c>
    </row>
    <row r="845">
      <c r="A845" s="2" t="str">
        <f>HYPERLINK("https://vtmf.veevavault.com/ui/#doc_info/26414409/1/0", "77242113UCO2001-CZE-Z92-CZ10009-Non-IP Shipment Documentation-29 Jan 2024 (v1.0)")</f>
        <v>77242113UCO2001-CZE-Z92-CZ10009-Non-IP Shipment Documentation-29 Jan 2024 (v1.0)</v>
      </c>
      <c r="B845" s="3" t="inlineStr">
        <is>
          <t>Jitka Kone</t>
        </is>
      </c>
      <c r="C845" s="3" t="inlineStr">
        <is>
          <t>IP and Trial Supplies</t>
        </is>
      </c>
      <c r="D845" s="3" t="inlineStr">
        <is>
          <t>Non-IP Documentation</t>
        </is>
      </c>
      <c r="E845" s="3" t="inlineStr">
        <is>
          <t>Non-IP Shipment Documentation</t>
        </is>
      </c>
      <c r="F845" s="3" t="inlineStr">
        <is>
          <t>NIPSF_Central Laboratory Manual + GPTP + Miniprotocols Am.2 + IE Criteria _24-JAN-2024</t>
        </is>
      </c>
      <c r="G845" s="2" t="str">
        <f>HYPERLINK("https://vtmf.veevavault.com/ui/#doc_info/26414409/1/0", "VTMF-21141711")</f>
        <v>VTMF-21141711</v>
      </c>
      <c r="H845" s="3" t="inlineStr">
        <is>
          <t/>
        </is>
      </c>
      <c r="I845" s="3" t="inlineStr">
        <is>
          <t>Anthony Suarez (veeva.com)</t>
        </is>
      </c>
      <c r="J845" s="3" t="inlineStr">
        <is>
          <t>Jitka Kone</t>
        </is>
      </c>
      <c r="K845" s="4" t="n">
        <v>45441.432546296295</v>
      </c>
      <c r="L845" s="5" t="n">
        <v>45441.0</v>
      </c>
      <c r="M845" s="3" t="inlineStr">
        <is>
          <t>Approved</t>
        </is>
      </c>
      <c r="N845" s="3" t="inlineStr">
        <is>
          <t>Available for Distribution, CLIX Filing, Site Close</t>
        </is>
      </c>
      <c r="O845" s="3" t="inlineStr">
        <is>
          <t>Czech Republic</t>
        </is>
      </c>
      <c r="P845" s="3" t="inlineStr">
        <is>
          <t>Z92-CZ10009</t>
        </is>
      </c>
      <c r="Q845" s="3" t="inlineStr">
        <is>
          <t>77242113UCO2001</t>
        </is>
      </c>
    </row>
    <row r="846">
      <c r="A846" s="2" t="str">
        <f>HYPERLINK("https://vtmf.veevavault.com/ui/#doc_info/31138876/1/0", "77242113UCO2001-CZE-Z92-CZ10009-On-site Drug Inventory and Reconciliation Form-04 Mar 2026 (v1.0)")</f>
        <v>77242113UCO2001-CZE-Z92-CZ10009-On-site Drug Inventory and Reconciliation Form-04 Mar 2026 (v1.0)</v>
      </c>
      <c r="B846" s="3" t="inlineStr">
        <is>
          <t>Bela Lukavcová</t>
        </is>
      </c>
      <c r="C846" s="3" t="inlineStr">
        <is>
          <t>IP and Trial Supplies</t>
        </is>
      </c>
      <c r="D846" s="3" t="inlineStr">
        <is>
          <t>IP Documentation</t>
        </is>
      </c>
      <c r="E846" s="3" t="inlineStr">
        <is>
          <t>On-site Drug Inventory and Reconciliation Form</t>
        </is>
      </c>
      <c r="F846" s="3" t="inlineStr">
        <is>
          <t>On Site Drug Inventory Form_04Mar2026</t>
        </is>
      </c>
      <c r="G846" s="2" t="str">
        <f>HYPERLINK("https://vtmf.veevavault.com/ui/#doc_info/31138876/1/0", "VTMF-25106176")</f>
        <v>VTMF-25106176</v>
      </c>
      <c r="H846" s="3" t="inlineStr">
        <is>
          <t/>
        </is>
      </c>
      <c r="I846" s="3" t="inlineStr">
        <is>
          <t>System</t>
        </is>
      </c>
      <c r="J846" s="3" t="inlineStr">
        <is>
          <t>Bela Lukavcová</t>
        </is>
      </c>
      <c r="K846" s="4" t="n">
        <v>46090.53040509259</v>
      </c>
      <c r="L846" s="5" t="n">
        <v>46090.0</v>
      </c>
      <c r="M846" s="3" t="inlineStr">
        <is>
          <t>Approved</t>
        </is>
      </c>
      <c r="N846" s="3" t="inlineStr">
        <is>
          <t>Available for Distribution, CLIX Filing, Not associated to a milestone</t>
        </is>
      </c>
      <c r="O846" s="3" t="inlineStr">
        <is>
          <t>Czech Republic</t>
        </is>
      </c>
      <c r="P846" s="3" t="inlineStr">
        <is>
          <t>Z92-CZ10009</t>
        </is>
      </c>
      <c r="Q846" s="3" t="inlineStr">
        <is>
          <t>77242113UCO2001</t>
        </is>
      </c>
    </row>
    <row r="847">
      <c r="A847" s="2" t="str">
        <f>HYPERLINK("https://vtmf.veevavault.com/ui/#doc_info/25939350/1/0", "77242113UCO2001-CZE-Z92-CZ10009-Other Curriculum Vitae-04 Jan 2024 (v1.0)")</f>
        <v>77242113UCO2001-CZE-Z92-CZ10009-Other Curriculum Vitae-04 Jan 2024 (v1.0)</v>
      </c>
      <c r="B847" s="3" t="inlineStr">
        <is>
          <t>Lenka Placha</t>
        </is>
      </c>
      <c r="C847" s="3" t="inlineStr">
        <is>
          <t>Site Management</t>
        </is>
      </c>
      <c r="D847" s="3" t="inlineStr">
        <is>
          <t>Site Set-up Documentation</t>
        </is>
      </c>
      <c r="E847" s="3" t="inlineStr">
        <is>
          <t>Other Curriculum Vitae</t>
        </is>
      </c>
      <c r="F847" s="3" t="inlineStr">
        <is>
          <t>CV_SN_EN_ Fricova Zuzana_initial_ 04Jan2024</t>
        </is>
      </c>
      <c r="G847" s="2" t="str">
        <f>HYPERLINK("https://vtmf.veevavault.com/ui/#doc_info/25939350/1/0", "VTMF-20726406")</f>
        <v>VTMF-20726406</v>
      </c>
      <c r="H847" s="3" t="inlineStr">
        <is>
          <t/>
        </is>
      </c>
      <c r="I847" s="3" t="inlineStr">
        <is>
          <t>Anthony Suarez (veeva.com)</t>
        </is>
      </c>
      <c r="J847" s="3" t="inlineStr">
        <is>
          <t>Lenka Placha</t>
        </is>
      </c>
      <c r="K847" s="4" t="n">
        <v>45367.97243055556</v>
      </c>
      <c r="L847" s="5" t="n">
        <v>45367.0</v>
      </c>
      <c r="M847" s="3" t="inlineStr">
        <is>
          <t>Approved</t>
        </is>
      </c>
      <c r="N847" s="3" t="inlineStr">
        <is>
          <t>Available for Distribution, CLIX Filing, Site Close</t>
        </is>
      </c>
      <c r="O847" s="3" t="inlineStr">
        <is>
          <t>Czech Republic</t>
        </is>
      </c>
      <c r="P847" s="3" t="inlineStr">
        <is>
          <t>Z92-CZ10009</t>
        </is>
      </c>
      <c r="Q847" s="3" t="inlineStr">
        <is>
          <t>77242113UCO2001</t>
        </is>
      </c>
    </row>
    <row r="848">
      <c r="A848" s="2" t="str">
        <f>HYPERLINK("https://vtmf.veevavault.com/ui/#doc_info/25939354/1/0", "77242113UCO2001-CZE-Z92-CZ10009-Other Curriculum Vitae-04 Jan 2024 (v1.0)")</f>
        <v>77242113UCO2001-CZE-Z92-CZ10009-Other Curriculum Vitae-04 Jan 2024 (v1.0)</v>
      </c>
      <c r="B848" s="3" t="inlineStr">
        <is>
          <t>Lenka Placha</t>
        </is>
      </c>
      <c r="C848" s="3" t="inlineStr">
        <is>
          <t>Site Management</t>
        </is>
      </c>
      <c r="D848" s="3" t="inlineStr">
        <is>
          <t>Site Set-up Documentation</t>
        </is>
      </c>
      <c r="E848" s="3" t="inlineStr">
        <is>
          <t>Other Curriculum Vitae</t>
        </is>
      </c>
      <c r="F848" s="3" t="inlineStr">
        <is>
          <t>CV_SN_EN_ Matouchova Kamila_initial_ 04Jan2024</t>
        </is>
      </c>
      <c r="G848" s="2" t="str">
        <f>HYPERLINK("https://vtmf.veevavault.com/ui/#doc_info/25939354/1/0", "VTMF-20726408")</f>
        <v>VTMF-20726408</v>
      </c>
      <c r="H848" s="3" t="inlineStr">
        <is>
          <t/>
        </is>
      </c>
      <c r="I848" s="3" t="inlineStr">
        <is>
          <t>Anthony Suarez (veeva.com)</t>
        </is>
      </c>
      <c r="J848" s="3" t="inlineStr">
        <is>
          <t>Lenka Placha</t>
        </is>
      </c>
      <c r="K848" s="4" t="n">
        <v>45367.99030092593</v>
      </c>
      <c r="L848" s="5" t="n">
        <v>45367.0</v>
      </c>
      <c r="M848" s="3" t="inlineStr">
        <is>
          <t>Approved</t>
        </is>
      </c>
      <c r="N848" s="3" t="inlineStr">
        <is>
          <t>Available for Distribution, CLIX Filing, Site Close</t>
        </is>
      </c>
      <c r="O848" s="3" t="inlineStr">
        <is>
          <t>Czech Republic</t>
        </is>
      </c>
      <c r="P848" s="3" t="inlineStr">
        <is>
          <t>Z92-CZ10009</t>
        </is>
      </c>
      <c r="Q848" s="3" t="inlineStr">
        <is>
          <t>77242113UCO2001</t>
        </is>
      </c>
    </row>
    <row r="849">
      <c r="A849" s="2" t="str">
        <f>HYPERLINK("https://vtmf.veevavault.com/ui/#doc_info/25939355/1/0", "77242113UCO2001-CZE-Z92-CZ10009-Other Curriculum Vitae-04 Jan 2024 (v1.0)")</f>
        <v>77242113UCO2001-CZE-Z92-CZ10009-Other Curriculum Vitae-04 Jan 2024 (v1.0)</v>
      </c>
      <c r="B849" s="3" t="inlineStr">
        <is>
          <t>Lenka Placha</t>
        </is>
      </c>
      <c r="C849" s="3" t="inlineStr">
        <is>
          <t>Site Management</t>
        </is>
      </c>
      <c r="D849" s="3" t="inlineStr">
        <is>
          <t>Site Set-up Documentation</t>
        </is>
      </c>
      <c r="E849" s="3" t="inlineStr">
        <is>
          <t>Other Curriculum Vitae</t>
        </is>
      </c>
      <c r="F849" s="3" t="inlineStr">
        <is>
          <t>CV_SN_EN_Prochazkova Veronika_initial_ 04Jan2024</t>
        </is>
      </c>
      <c r="G849" s="2" t="str">
        <f>HYPERLINK("https://vtmf.veevavault.com/ui/#doc_info/25939355/1/0", "VTMF-20726409")</f>
        <v>VTMF-20726409</v>
      </c>
      <c r="H849" s="3" t="inlineStr">
        <is>
          <t/>
        </is>
      </c>
      <c r="I849" s="3" t="inlineStr">
        <is>
          <t>Anthony Suarez (veeva.com)</t>
        </is>
      </c>
      <c r="J849" s="3" t="inlineStr">
        <is>
          <t>Lenka Placha</t>
        </is>
      </c>
      <c r="K849" s="4" t="n">
        <v>45367.99030092593</v>
      </c>
      <c r="L849" s="5" t="n">
        <v>45367.0</v>
      </c>
      <c r="M849" s="3" t="inlineStr">
        <is>
          <t>Approved</t>
        </is>
      </c>
      <c r="N849" s="3" t="inlineStr">
        <is>
          <t>Available for Distribution, CLIX Filing, Site Close</t>
        </is>
      </c>
      <c r="O849" s="3" t="inlineStr">
        <is>
          <t>Czech Republic</t>
        </is>
      </c>
      <c r="P849" s="3" t="inlineStr">
        <is>
          <t>Z92-CZ10009</t>
        </is>
      </c>
      <c r="Q849" s="3" t="inlineStr">
        <is>
          <t>77242113UCO2001</t>
        </is>
      </c>
    </row>
    <row r="850">
      <c r="A850" s="2" t="str">
        <f>HYPERLINK("https://vtmf.veevavault.com/ui/#doc_info/26395185/1/0", "77242113UCO2001-CZE-Z92-CZ10009-Other Curriculum Vitae-05 Jan 2024 (v1.0)")</f>
        <v>77242113UCO2001-CZE-Z92-CZ10009-Other Curriculum Vitae-05 Jan 2024 (v1.0)</v>
      </c>
      <c r="B850" s="3" t="inlineStr">
        <is>
          <t>Lenka Placha</t>
        </is>
      </c>
      <c r="C850" s="3" t="inlineStr">
        <is>
          <t>Site Management</t>
        </is>
      </c>
      <c r="D850" s="3" t="inlineStr">
        <is>
          <t>Site Set-up Documentation</t>
        </is>
      </c>
      <c r="E850" s="3" t="inlineStr">
        <is>
          <t>Other Curriculum Vitae</t>
        </is>
      </c>
      <c r="F850" s="3" t="inlineStr">
        <is>
          <t>CV_pharmacist_EN_ Votava Jakub_initial_ 05Jan2024</t>
        </is>
      </c>
      <c r="G850" s="2" t="str">
        <f>HYPERLINK("https://vtmf.veevavault.com/ui/#doc_info/26395185/1/0", "VTMF-21124786")</f>
        <v>VTMF-21124786</v>
      </c>
      <c r="H850" s="3" t="inlineStr">
        <is>
          <t/>
        </is>
      </c>
      <c r="I850" s="3" t="inlineStr">
        <is>
          <t>Anthony Suarez (veeva.com)</t>
        </is>
      </c>
      <c r="J850" s="3" t="inlineStr">
        <is>
          <t>Lenka Placha</t>
        </is>
      </c>
      <c r="K850" s="4" t="n">
        <v>45436.95118055555</v>
      </c>
      <c r="L850" s="5" t="n">
        <v>45436.0</v>
      </c>
      <c r="M850" s="3" t="inlineStr">
        <is>
          <t>Approved</t>
        </is>
      </c>
      <c r="N850" s="3" t="inlineStr">
        <is>
          <t>Available for Distribution, CLIX Filing, Site Close</t>
        </is>
      </c>
      <c r="O850" s="3" t="inlineStr">
        <is>
          <t>Czech Republic</t>
        </is>
      </c>
      <c r="P850" s="3" t="inlineStr">
        <is>
          <t>Z92-CZ10009</t>
        </is>
      </c>
      <c r="Q850" s="3" t="inlineStr">
        <is>
          <t>77242113UCO2001</t>
        </is>
      </c>
    </row>
    <row r="851">
      <c r="A851" s="2" t="str">
        <f>HYPERLINK("https://vtmf.veevavault.com/ui/#doc_info/25939349/1/0", "77242113UCO2001-CZE-Z92-CZ10009-Other Curriculum Vitae-09 Jan 2024 (v1.0)")</f>
        <v>77242113UCO2001-CZE-Z92-CZ10009-Other Curriculum Vitae-09 Jan 2024 (v1.0)</v>
      </c>
      <c r="B851" s="3" t="inlineStr">
        <is>
          <t>Lenka Placha</t>
        </is>
      </c>
      <c r="C851" s="3" t="inlineStr">
        <is>
          <t>Site Management</t>
        </is>
      </c>
      <c r="D851" s="3" t="inlineStr">
        <is>
          <t>Site Set-up Documentation</t>
        </is>
      </c>
      <c r="E851" s="3" t="inlineStr">
        <is>
          <t>Other Curriculum Vitae</t>
        </is>
      </c>
      <c r="F851" s="3" t="inlineStr">
        <is>
          <t>CV_pharmacist_EN_  Drasnar Tomas_initial_ 09Jan2024</t>
        </is>
      </c>
      <c r="G851" s="2" t="str">
        <f>HYPERLINK("https://vtmf.veevavault.com/ui/#doc_info/25939349/1/0", "VTMF-20726405")</f>
        <v>VTMF-20726405</v>
      </c>
      <c r="H851" s="3" t="inlineStr">
        <is>
          <t/>
        </is>
      </c>
      <c r="I851" s="3" t="inlineStr">
        <is>
          <t>Anthony Suarez (veeva.com)</t>
        </is>
      </c>
      <c r="J851" s="3" t="inlineStr">
        <is>
          <t>Lenka Placha</t>
        </is>
      </c>
      <c r="K851" s="4" t="n">
        <v>45367.96983796296</v>
      </c>
      <c r="L851" s="5" t="n">
        <v>45367.0</v>
      </c>
      <c r="M851" s="3" t="inlineStr">
        <is>
          <t>Approved</t>
        </is>
      </c>
      <c r="N851" s="3" t="inlineStr">
        <is>
          <t>Available for Distribution, CLIX Filing, Site Close</t>
        </is>
      </c>
      <c r="O851" s="3" t="inlineStr">
        <is>
          <t>Czech Republic</t>
        </is>
      </c>
      <c r="P851" s="3" t="inlineStr">
        <is>
          <t>Z92-CZ10009</t>
        </is>
      </c>
      <c r="Q851" s="3" t="inlineStr">
        <is>
          <t>77242113UCO2001</t>
        </is>
      </c>
    </row>
    <row r="852">
      <c r="A852" s="2" t="str">
        <f>HYPERLINK("https://vtmf.veevavault.com/ui/#doc_info/29935379/1/0", "77242113UCO2001-CZE-Z92-CZ10009-Other Curriculum Vitae-15 Apr 2025 (v1.0)")</f>
        <v>77242113UCO2001-CZE-Z92-CZ10009-Other Curriculum Vitae-15 Apr 2025 (v1.0)</v>
      </c>
      <c r="B852" s="3" t="inlineStr">
        <is>
          <t>Lenka Placha</t>
        </is>
      </c>
      <c r="C852" s="3" t="inlineStr">
        <is>
          <t>Site Management</t>
        </is>
      </c>
      <c r="D852" s="3" t="inlineStr">
        <is>
          <t>Site Set-up Documentation</t>
        </is>
      </c>
      <c r="E852" s="3" t="inlineStr">
        <is>
          <t>Other Curriculum Vitae</t>
        </is>
      </c>
      <c r="F852" s="3" t="inlineStr">
        <is>
          <t>CV_pharmacist_EN_Horka Pavlina_initial_15Apr25</t>
        </is>
      </c>
      <c r="G852" s="2" t="str">
        <f>HYPERLINK("https://vtmf.veevavault.com/ui/#doc_info/29935379/1/0", "VTMF-24097822")</f>
        <v>VTMF-24097822</v>
      </c>
      <c r="H852" s="3" t="inlineStr">
        <is>
          <t/>
        </is>
      </c>
      <c r="I852" s="3" t="inlineStr">
        <is>
          <t>System</t>
        </is>
      </c>
      <c r="J852" s="3" t="inlineStr">
        <is>
          <t>Lenka Placha</t>
        </is>
      </c>
      <c r="K852" s="4" t="n">
        <v>45911.64413194444</v>
      </c>
      <c r="L852" s="5" t="n">
        <v>45911.0</v>
      </c>
      <c r="M852" s="3" t="inlineStr">
        <is>
          <t>Approved</t>
        </is>
      </c>
      <c r="N852" s="3" t="inlineStr">
        <is>
          <t>Available for Distribution, CLIX Filing, Site Start</t>
        </is>
      </c>
      <c r="O852" s="3" t="inlineStr">
        <is>
          <t>Czech Republic</t>
        </is>
      </c>
      <c r="P852" s="3" t="inlineStr">
        <is>
          <t>Z92-CZ10009</t>
        </is>
      </c>
      <c r="Q852" s="3" t="inlineStr">
        <is>
          <t>77242113UCO2001</t>
        </is>
      </c>
    </row>
    <row r="853">
      <c r="A853" s="2" t="str">
        <f>HYPERLINK("https://vtmf.veevavault.com/ui/#doc_info/24086568/1/0", "77242113UCO2001-CZE-Z92-CZ10009-Pre Trial Monitoring Report-16 May 2023 (v1.0)")</f>
        <v>77242113UCO2001-CZE-Z92-CZ10009-Pre Trial Monitoring Report-16 May 2023 (v1.0)</v>
      </c>
      <c r="B853" s="3" t="inlineStr">
        <is>
          <t>Admin User Medidata</t>
        </is>
      </c>
      <c r="C853" s="3" t="inlineStr">
        <is>
          <t>Site Management</t>
        </is>
      </c>
      <c r="D853" s="3" t="inlineStr">
        <is>
          <t>Site Selection</t>
        </is>
      </c>
      <c r="E853" s="3" t="inlineStr">
        <is>
          <t>Pre Trial Monitoring Report</t>
        </is>
      </c>
      <c r="F853" s="3" t="inlineStr">
        <is>
          <t/>
        </is>
      </c>
      <c r="G853" s="2" t="str">
        <f>HYPERLINK("https://vtmf.veevavault.com/ui/#doc_info/24086568/1/0", "VTMF-19102554")</f>
        <v>VTMF-19102554</v>
      </c>
      <c r="H853" s="3" t="inlineStr">
        <is>
          <t/>
        </is>
      </c>
      <c r="I853" s="3" t="inlineStr">
        <is>
          <t>System</t>
        </is>
      </c>
      <c r="J853" s="3" t="inlineStr">
        <is>
          <t>Admin User Medidata</t>
        </is>
      </c>
      <c r="K853" s="4" t="n">
        <v>45068.35314814815</v>
      </c>
      <c r="L853" s="5" t="n">
        <v>45068.0</v>
      </c>
      <c r="M853" s="3" t="inlineStr">
        <is>
          <t>Approved</t>
        </is>
      </c>
      <c r="N853" s="3" t="inlineStr">
        <is>
          <t>Available for Distribution, Site Start</t>
        </is>
      </c>
      <c r="O853" s="3" t="inlineStr">
        <is>
          <t>Czech Republic</t>
        </is>
      </c>
      <c r="P853" s="3" t="inlineStr">
        <is>
          <t>Z92-CZ10009</t>
        </is>
      </c>
      <c r="Q853" s="3" t="inlineStr">
        <is>
          <t>77242113UCO2001</t>
        </is>
      </c>
    </row>
    <row r="854">
      <c r="A854" s="2" t="str">
        <f>HYPERLINK("https://vtmf.veevavault.com/ui/#doc_info/25520167/1/0", "77242113UCO2001-CZE-Z92-CZ10009-Principal Investigator Curriculum Vitae-08 Jan 2024 (v1.0)")</f>
        <v>77242113UCO2001-CZE-Z92-CZ10009-Principal Investigator Curriculum Vitae-08 Jan 2024 (v1.0)</v>
      </c>
      <c r="B854" s="3" t="inlineStr">
        <is>
          <t>Lenka Placha</t>
        </is>
      </c>
      <c r="C854" s="3" t="inlineStr">
        <is>
          <t>Site Management</t>
        </is>
      </c>
      <c r="D854" s="3" t="inlineStr">
        <is>
          <t>Site Set-up Documentation</t>
        </is>
      </c>
      <c r="E854" s="3" t="inlineStr">
        <is>
          <t>Principal Investigator Curriculum Vitae</t>
        </is>
      </c>
      <c r="F854" s="3" t="inlineStr">
        <is>
          <t>cv_EN_ Peterka Martin_initial_08Jan24</t>
        </is>
      </c>
      <c r="G854" s="2" t="str">
        <f>HYPERLINK("https://vtmf.veevavault.com/ui/#doc_info/25520167/1/0", "VTMF-20357009")</f>
        <v>VTMF-20357009</v>
      </c>
      <c r="H854" s="3" t="inlineStr">
        <is>
          <t/>
        </is>
      </c>
      <c r="I854" s="3" t="inlineStr">
        <is>
          <t>Anthony Suarez (veeva.com)</t>
        </is>
      </c>
      <c r="J854" s="3" t="inlineStr">
        <is>
          <t>Lenka Placha</t>
        </is>
      </c>
      <c r="K854" s="4" t="n">
        <v>45308.598912037036</v>
      </c>
      <c r="L854" s="5" t="n">
        <v>45308.0</v>
      </c>
      <c r="M854" s="3" t="inlineStr">
        <is>
          <t>Approved</t>
        </is>
      </c>
      <c r="N854" s="3" t="inlineStr">
        <is>
          <t>Available for Distribution, CLIX Filing, Site Close</t>
        </is>
      </c>
      <c r="O854" s="3" t="inlineStr">
        <is>
          <t>Czech Republic</t>
        </is>
      </c>
      <c r="P854" s="3" t="inlineStr">
        <is>
          <t>Z92-CZ10009</t>
        </is>
      </c>
      <c r="Q854" s="3" t="inlineStr">
        <is>
          <t>77242113UCO2001</t>
        </is>
      </c>
    </row>
    <row r="855">
      <c r="A855" s="2" t="str">
        <f>HYPERLINK("https://vtmf.veevavault.com/ui/#doc_info/24374042/1/0", "77242113UCO2001-CZE-Z92-CZ10009-Principal Investigator Curriculum Vitae-30 Jun 2023 (v1.0)")</f>
        <v>77242113UCO2001-CZE-Z92-CZ10009-Principal Investigator Curriculum Vitae-30 Jun 2023 (v1.0)</v>
      </c>
      <c r="B855" s="3" t="inlineStr">
        <is>
          <t>Marketa Zachova</t>
        </is>
      </c>
      <c r="C855" s="3" t="inlineStr">
        <is>
          <t>Site Management</t>
        </is>
      </c>
      <c r="D855" s="3" t="inlineStr">
        <is>
          <t>Site Set-up Documentation</t>
        </is>
      </c>
      <c r="E855" s="3" t="inlineStr">
        <is>
          <t>Principal Investigator Curriculum Vitae</t>
        </is>
      </c>
      <c r="F855" s="3" t="inlineStr">
        <is>
          <t>M1_CV Peterka M_Nemocnice Slany_CZ_CZE_77242113UCO2001_30Jun2023</t>
        </is>
      </c>
      <c r="G855" s="2" t="str">
        <f>HYPERLINK("https://vtmf.veevavault.com/ui/#doc_info/24374042/1/0", "VTMF-19356541")</f>
        <v>VTMF-19356541</v>
      </c>
      <c r="H855" s="3" t="inlineStr">
        <is>
          <t/>
        </is>
      </c>
      <c r="I855" s="3" t="inlineStr">
        <is>
          <t>Anthony Suarez (veeva.com)</t>
        </is>
      </c>
      <c r="J855" s="3" t="inlineStr">
        <is>
          <t>Marketa Zachova</t>
        </is>
      </c>
      <c r="K855" s="4" t="n">
        <v>45110.46082175926</v>
      </c>
      <c r="L855" s="5" t="n">
        <v>45110.0</v>
      </c>
      <c r="M855" s="3" t="inlineStr">
        <is>
          <t>Approved</t>
        </is>
      </c>
      <c r="N855" s="3" t="inlineStr">
        <is>
          <t>Available for Distribution, CLIX Filing, Site Close</t>
        </is>
      </c>
      <c r="O855" s="3" t="inlineStr">
        <is>
          <t>Czech Republic</t>
        </is>
      </c>
      <c r="P855" s="3" t="inlineStr">
        <is>
          <t>Z92-CZ10009</t>
        </is>
      </c>
      <c r="Q855" s="3" t="inlineStr">
        <is>
          <t>77242113UCO2001</t>
        </is>
      </c>
    </row>
    <row r="856">
      <c r="A856" s="2" t="str">
        <f>HYPERLINK("https://vtmf.veevavault.com/ui/#doc_info/24376232/1/0", "77242113UCO2001-CZE-Z92-CZ10009-Principal Investigator Curriculum Vitae-30 Jun 2023 (v1.0)")</f>
        <v>77242113UCO2001-CZE-Z92-CZ10009-Principal Investigator Curriculum Vitae-30 Jun 2023 (v1.0)</v>
      </c>
      <c r="B856" s="3" t="inlineStr">
        <is>
          <t>Jitka Kone</t>
        </is>
      </c>
      <c r="C856" s="3" t="inlineStr">
        <is>
          <t>Site Management</t>
        </is>
      </c>
      <c r="D856" s="3" t="inlineStr">
        <is>
          <t>Site Set-up Documentation</t>
        </is>
      </c>
      <c r="E856" s="3" t="inlineStr">
        <is>
          <t>Principal Investigator Curriculum Vitae</t>
        </is>
      </c>
      <c r="F856" s="3" t="inlineStr">
        <is>
          <t>REDACTED_M1_CV Peterka M_Nemocnice Slany_CZ_CZE_77242113UCO2001_30Jun2023</t>
        </is>
      </c>
      <c r="G856" s="2" t="str">
        <f>HYPERLINK("https://vtmf.veevavault.com/ui/#doc_info/24376232/1/0", "VTMF-19358364")</f>
        <v>VTMF-19358364</v>
      </c>
      <c r="H856" s="3" t="inlineStr">
        <is>
          <t/>
        </is>
      </c>
      <c r="I856" s="3" t="inlineStr">
        <is>
          <t>Anthony Suarez (veeva.com)</t>
        </is>
      </c>
      <c r="J856" s="3" t="inlineStr">
        <is>
          <t>Jitka Kone</t>
        </is>
      </c>
      <c r="K856" s="4" t="n">
        <v>45110.67532407407</v>
      </c>
      <c r="L856" s="5" t="n">
        <v>45110.0</v>
      </c>
      <c r="M856" s="3" t="inlineStr">
        <is>
          <t>Approved</t>
        </is>
      </c>
      <c r="N856" s="3" t="inlineStr">
        <is>
          <t>Available for Distribution, CLIX Filing, Site Close</t>
        </is>
      </c>
      <c r="O856" s="3" t="inlineStr">
        <is>
          <t>Czech Republic</t>
        </is>
      </c>
      <c r="P856" s="3" t="inlineStr">
        <is>
          <t>Z92-CZ10009</t>
        </is>
      </c>
      <c r="Q856" s="3" t="inlineStr">
        <is>
          <t>77242113UCO2001</t>
        </is>
      </c>
    </row>
    <row r="857">
      <c r="A857" s="2" t="str">
        <f>HYPERLINK("https://vtmf.veevavault.com/ui/#doc_info/25520621/1/0", "77242113UCO2001-CZE-Z92-CZ10009-Principal Investigator Financial Disclosure Form-11 Jan 2024 (v1.0)")</f>
        <v>77242113UCO2001-CZE-Z92-CZ10009-Principal Investigator Financial Disclosure Form-11 Jan 2024 (v1.0)</v>
      </c>
      <c r="B857" s="3" t="inlineStr">
        <is>
          <t>Lenka Placha</t>
        </is>
      </c>
      <c r="C857" s="3" t="inlineStr">
        <is>
          <t>Site Management</t>
        </is>
      </c>
      <c r="D857" s="3" t="inlineStr">
        <is>
          <t>Site Set-up Documentation</t>
        </is>
      </c>
      <c r="E857" s="3" t="inlineStr">
        <is>
          <t>Principal Investigator Financial Disclosure Form</t>
        </is>
      </c>
      <c r="F857" s="3" t="inlineStr">
        <is>
          <t>IFDF PI Peterka Martin_initial_11Jan24</t>
        </is>
      </c>
      <c r="G857" s="2" t="str">
        <f>HYPERLINK("https://vtmf.veevavault.com/ui/#doc_info/25520621/1/0", "VTMF-20357397")</f>
        <v>VTMF-20357397</v>
      </c>
      <c r="H857" s="3" t="inlineStr">
        <is>
          <t/>
        </is>
      </c>
      <c r="I857" s="3" t="inlineStr">
        <is>
          <t>Anthony Suarez (veeva.com)</t>
        </is>
      </c>
      <c r="J857" s="3" t="inlineStr">
        <is>
          <t>Lenka Placha</t>
        </is>
      </c>
      <c r="K857" s="4" t="n">
        <v>45308.63675925926</v>
      </c>
      <c r="L857" s="5" t="n">
        <v>45308.0</v>
      </c>
      <c r="M857" s="3" t="inlineStr">
        <is>
          <t>Approved</t>
        </is>
      </c>
      <c r="N857" s="3" t="inlineStr">
        <is>
          <t>Available for Distribution</t>
        </is>
      </c>
      <c r="O857" s="3" t="inlineStr">
        <is>
          <t>Czech Republic</t>
        </is>
      </c>
      <c r="P857" s="3" t="inlineStr">
        <is>
          <t>Z92-CZ10009</t>
        </is>
      </c>
      <c r="Q857" s="3" t="inlineStr">
        <is>
          <t>77242113UCO2001</t>
        </is>
      </c>
    </row>
    <row r="858">
      <c r="A858" s="2" t="str">
        <f>HYPERLINK("https://vtmf.veevavault.com/ui/#doc_info/24364141/1/0", "77242113UCO2001-CZE-Z92-CZ10009-Principal Investigator Financial Disclosure Form-20 Jun 2023 (v1.0)")</f>
        <v>77242113UCO2001-CZE-Z92-CZ10009-Principal Investigator Financial Disclosure Form-20 Jun 2023 (v1.0)</v>
      </c>
      <c r="B858" s="3" t="inlineStr">
        <is>
          <t>Marketa Zachova</t>
        </is>
      </c>
      <c r="C858" s="3" t="inlineStr">
        <is>
          <t>Site Management</t>
        </is>
      </c>
      <c r="D858" s="3" t="inlineStr">
        <is>
          <t>Site Set-up Documentation</t>
        </is>
      </c>
      <c r="E858" s="3" t="inlineStr">
        <is>
          <t>Principal Investigator Financial Disclosure Form</t>
        </is>
      </c>
      <c r="F858" s="3" t="inlineStr">
        <is>
          <t>M2_DoI Peterka M_Nemocnice Slany_CZ_CZE_77242113UCO2001_v1_20Jun2023</t>
        </is>
      </c>
      <c r="G858" s="2" t="str">
        <f>HYPERLINK("https://vtmf.veevavault.com/ui/#doc_info/24364141/1/0", "VTMF-19347995")</f>
        <v>VTMF-19347995</v>
      </c>
      <c r="H858" s="3" t="inlineStr">
        <is>
          <t/>
        </is>
      </c>
      <c r="I858" s="3" t="inlineStr">
        <is>
          <t>System</t>
        </is>
      </c>
      <c r="J858" s="3" t="inlineStr">
        <is>
          <t>Marketa Zachova</t>
        </is>
      </c>
      <c r="K858" s="4" t="n">
        <v>45107.42831018518</v>
      </c>
      <c r="L858" s="5" t="n">
        <v>45107.0</v>
      </c>
      <c r="M858" s="3" t="inlineStr">
        <is>
          <t>Approved</t>
        </is>
      </c>
      <c r="N858" s="3" t="inlineStr">
        <is>
          <t>Available for Distribution</t>
        </is>
      </c>
      <c r="O858" s="3" t="inlineStr">
        <is>
          <t>Czech Republic</t>
        </is>
      </c>
      <c r="P858" s="3" t="inlineStr">
        <is>
          <t>Z92-CZ10009</t>
        </is>
      </c>
      <c r="Q858" s="3" t="inlineStr">
        <is>
          <t>77242113UCO2001</t>
        </is>
      </c>
    </row>
    <row r="859">
      <c r="A859" s="2" t="str">
        <f>HYPERLINK("https://vtmf.veevavault.com/ui/#doc_info/24366295/1/0", "77242113UCO2001-CZE-Z92-CZ10009-Principal Investigator Financial Disclosure Form-20 Jun 2023 (v1.0)")</f>
        <v>77242113UCO2001-CZE-Z92-CZ10009-Principal Investigator Financial Disclosure Form-20 Jun 2023 (v1.0)</v>
      </c>
      <c r="B859" s="3" t="inlineStr">
        <is>
          <t>Jitka Kone</t>
        </is>
      </c>
      <c r="C859" s="3" t="inlineStr">
        <is>
          <t>Site Management</t>
        </is>
      </c>
      <c r="D859" s="3" t="inlineStr">
        <is>
          <t>Site Set-up Documentation</t>
        </is>
      </c>
      <c r="E859" s="3" t="inlineStr">
        <is>
          <t>Principal Investigator Financial Disclosure Form</t>
        </is>
      </c>
      <c r="F859" s="3" t="inlineStr">
        <is>
          <t>REDACTED_M2_DoI Peterka M_Nemocnice Slany_CZ_CZE_77242113UCO2001_v1_20Jun2023</t>
        </is>
      </c>
      <c r="G859" s="2" t="str">
        <f>HYPERLINK("https://vtmf.veevavault.com/ui/#doc_info/24366295/1/0", "VTMF-19349782")</f>
        <v>VTMF-19349782</v>
      </c>
      <c r="H859" s="3" t="inlineStr">
        <is>
          <t/>
        </is>
      </c>
      <c r="I859" s="3" t="inlineStr">
        <is>
          <t>System</t>
        </is>
      </c>
      <c r="J859" s="3" t="inlineStr">
        <is>
          <t>Jitka Kone</t>
        </is>
      </c>
      <c r="K859" s="4" t="n">
        <v>45107.6253125</v>
      </c>
      <c r="L859" s="5" t="n">
        <v>45107.0</v>
      </c>
      <c r="M859" s="3" t="inlineStr">
        <is>
          <t>Approved</t>
        </is>
      </c>
      <c r="N859" s="3" t="inlineStr">
        <is>
          <t>Available for Distribution</t>
        </is>
      </c>
      <c r="O859" s="3" t="inlineStr">
        <is>
          <t>Czech Republic</t>
        </is>
      </c>
      <c r="P859" s="3" t="inlineStr">
        <is>
          <t>Z92-CZ10009</t>
        </is>
      </c>
      <c r="Q859" s="3" t="inlineStr">
        <is>
          <t>77242113UCO2001</t>
        </is>
      </c>
    </row>
    <row r="860">
      <c r="A860" s="2" t="str">
        <f>HYPERLINK("https://vtmf.veevavault.com/ui/#doc_info/25519597/2/0", "77242113UCO2001-CZE-Z92-CZ10009-Protocol Signature Page-11 Jan 2024 (v2.0)")</f>
        <v>77242113UCO2001-CZE-Z92-CZ10009-Protocol Signature Page-11 Jan 2024 (v2.0)</v>
      </c>
      <c r="B860" s="3" t="inlineStr">
        <is>
          <t>Lenka Placha</t>
        </is>
      </c>
      <c r="C860" s="3" t="inlineStr">
        <is>
          <t>Site Management</t>
        </is>
      </c>
      <c r="D860" s="3" t="inlineStr">
        <is>
          <t>Site Set-up Documentation</t>
        </is>
      </c>
      <c r="E860" s="3" t="inlineStr">
        <is>
          <t>Protocol Signature Page</t>
        </is>
      </c>
      <c r="F860" s="3" t="inlineStr">
        <is>
          <t>PSP_Peterka Martin_Protocol Amendment #2 , dated 31Oct2023_ 11Jan24</t>
        </is>
      </c>
      <c r="G860" s="2" t="str">
        <f>HYPERLINK("https://vtmf.veevavault.com/ui/#doc_info/25519597/2/0", "VTMF-20356532")</f>
        <v>VTMF-20356532</v>
      </c>
      <c r="H860" s="3" t="inlineStr">
        <is>
          <t/>
        </is>
      </c>
      <c r="I860" s="3" t="inlineStr">
        <is>
          <t>Anthony Suarez (veeva.com)</t>
        </is>
      </c>
      <c r="J860" s="3" t="inlineStr">
        <is>
          <t>Lenka Placha</t>
        </is>
      </c>
      <c r="K860" s="4" t="n">
        <v>45308.63193287037</v>
      </c>
      <c r="L860" s="5" t="n">
        <v>45308.0</v>
      </c>
      <c r="M860" s="3" t="inlineStr">
        <is>
          <t>Approved</t>
        </is>
      </c>
      <c r="N860" s="3" t="inlineStr">
        <is>
          <t>Available for Distribution, CLIX Filing, Site Close</t>
        </is>
      </c>
      <c r="O860" s="3" t="inlineStr">
        <is>
          <t>Czech Republic</t>
        </is>
      </c>
      <c r="P860" s="3" t="inlineStr">
        <is>
          <t>Z92-CZ10009</t>
        </is>
      </c>
      <c r="Q860" s="3" t="inlineStr">
        <is>
          <t>77242113UCO2001</t>
        </is>
      </c>
    </row>
    <row r="861">
      <c r="A861" s="2" t="str">
        <f>HYPERLINK("https://vtmf.veevavault.com/ui/#doc_info/26726232/1/0", "77242113UCO2001-CZE-Z92-CZ10009-Protocol Signature Page-20 Jun 2024 (v1.0)")</f>
        <v>77242113UCO2001-CZE-Z92-CZ10009-Protocol Signature Page-20 Jun 2024 (v1.0)</v>
      </c>
      <c r="B861" s="3" t="inlineStr">
        <is>
          <t>Lenka Placha</t>
        </is>
      </c>
      <c r="C861" s="3" t="inlineStr">
        <is>
          <t>Site Management</t>
        </is>
      </c>
      <c r="D861" s="3" t="inlineStr">
        <is>
          <t>Site Set-up Documentation</t>
        </is>
      </c>
      <c r="E861" s="3" t="inlineStr">
        <is>
          <t>Protocol Signature Page</t>
        </is>
      </c>
      <c r="F861" s="3" t="inlineStr">
        <is>
          <t>PSP_Peterka Martin_Protocol Amendment #3 , dated 02Apr2024_ 20Jun24</t>
        </is>
      </c>
      <c r="G861" s="2" t="str">
        <f>HYPERLINK("https://vtmf.veevavault.com/ui/#doc_info/26726232/1/0", "VTMF-21415457")</f>
        <v>VTMF-21415457</v>
      </c>
      <c r="H861" s="3" t="inlineStr">
        <is>
          <t/>
        </is>
      </c>
      <c r="I861" s="3" t="inlineStr">
        <is>
          <t>Anthony Suarez (veeva.com)</t>
        </is>
      </c>
      <c r="J861" s="3" t="inlineStr">
        <is>
          <t>Lenka Placha</t>
        </is>
      </c>
      <c r="K861" s="4" t="n">
        <v>45490.839583333334</v>
      </c>
      <c r="L861" s="5" t="n">
        <v>45490.0</v>
      </c>
      <c r="M861" s="3" t="inlineStr">
        <is>
          <t>Approved</t>
        </is>
      </c>
      <c r="N861" s="3" t="inlineStr">
        <is>
          <t>Available for Distribution, CLIX Filing, Site Close</t>
        </is>
      </c>
      <c r="O861" s="3" t="inlineStr">
        <is>
          <t>Czech Republic</t>
        </is>
      </c>
      <c r="P861" s="3" t="inlineStr">
        <is>
          <t>Z92-CZ10009</t>
        </is>
      </c>
      <c r="Q861" s="3" t="inlineStr">
        <is>
          <t>77242113UCO2001</t>
        </is>
      </c>
    </row>
    <row r="862">
      <c r="A862" s="2" t="str">
        <f>HYPERLINK("https://vtmf.veevavault.com/ui/#doc_info/27068059/2/0", "77242113UCO2001-CZE-Z92-CZ10009-Quality Review Documentation-11 Sep 2025 (v2.0)")</f>
        <v>77242113UCO2001-CZE-Z92-CZ10009-Quality Review Documentation-11 Sep 2025 (v2.0)</v>
      </c>
      <c r="B862" s="3" t="inlineStr">
        <is>
          <t>Lenka Placha</t>
        </is>
      </c>
      <c r="C862" s="3" t="inlineStr">
        <is>
          <t>Trial Management</t>
        </is>
      </c>
      <c r="D862" s="3" t="inlineStr">
        <is>
          <t>Trial Oversight</t>
        </is>
      </c>
      <c r="E862" s="3" t="inlineStr">
        <is>
          <t>Quality Review Documentation</t>
        </is>
      </c>
      <c r="F862" s="3" t="inlineStr">
        <is>
          <t>AQR_Evidence Report_Site level_Z92-CZ10009_11Sep25</t>
        </is>
      </c>
      <c r="G862" s="2" t="str">
        <f>HYPERLINK("https://vtmf.veevavault.com/ui/#doc_info/27068059/2/0", "VTMF-21697282")</f>
        <v>VTMF-21697282</v>
      </c>
      <c r="H862" s="3" t="inlineStr">
        <is>
          <t/>
        </is>
      </c>
      <c r="I862" s="3" t="inlineStr">
        <is>
          <t>System</t>
        </is>
      </c>
      <c r="J862" s="3" t="inlineStr">
        <is>
          <t>Lenka Placha</t>
        </is>
      </c>
      <c r="K862" s="4" t="n">
        <v>45911.418125</v>
      </c>
      <c r="L862" s="5" t="n">
        <v>45911.0</v>
      </c>
      <c r="M862" s="3" t="inlineStr">
        <is>
          <t>Approved</t>
        </is>
      </c>
      <c r="N862" s="3" t="inlineStr">
        <is>
          <t>Country Close, Site Close, Study Close</t>
        </is>
      </c>
      <c r="O862" s="3" t="inlineStr">
        <is>
          <t>Czech Republic</t>
        </is>
      </c>
      <c r="P862" s="3" t="inlineStr">
        <is>
          <t>Z92-CZ10009</t>
        </is>
      </c>
      <c r="Q862" s="3" t="inlineStr">
        <is>
          <t>77242113UCO2001</t>
        </is>
      </c>
    </row>
    <row r="863">
      <c r="A863" s="2" t="str">
        <f>HYPERLINK("https://vtmf.veevavault.com/ui/#doc_info/29934505/1/0", "77242113UCO2001-CZE-Z92-CZ10009-Quality Review Documentation-11 Sep 2025 (v1.0)")</f>
        <v>77242113UCO2001-CZE-Z92-CZ10009-Quality Review Documentation-11 Sep 2025 (v1.0)</v>
      </c>
      <c r="B863" s="3" t="inlineStr">
        <is>
          <t>Lenka Placha</t>
        </is>
      </c>
      <c r="C863" s="3" t="inlineStr">
        <is>
          <t>Trial Management</t>
        </is>
      </c>
      <c r="D863" s="3" t="inlineStr">
        <is>
          <t>Trial Oversight</t>
        </is>
      </c>
      <c r="E863" s="3" t="inlineStr">
        <is>
          <t>Quality Review Documentation</t>
        </is>
      </c>
      <c r="F863" s="3" t="inlineStr">
        <is>
          <t>QRC Form_Site level_Site Z92-CZ10009_11Sep2025</t>
        </is>
      </c>
      <c r="G863" s="2" t="str">
        <f>HYPERLINK("https://vtmf.veevavault.com/ui/#doc_info/29934505/1/0", "VTMF-24097095")</f>
        <v>VTMF-24097095</v>
      </c>
      <c r="H863" s="3" t="inlineStr">
        <is>
          <t/>
        </is>
      </c>
      <c r="I863" s="3" t="inlineStr">
        <is>
          <t>System</t>
        </is>
      </c>
      <c r="J863" s="3" t="inlineStr">
        <is>
          <t>Lenka Placha</t>
        </is>
      </c>
      <c r="K863" s="4" t="n">
        <v>45911.54011574074</v>
      </c>
      <c r="L863" s="5" t="n">
        <v>45911.0</v>
      </c>
      <c r="M863" s="3" t="inlineStr">
        <is>
          <t>Approved</t>
        </is>
      </c>
      <c r="N863" s="3" t="inlineStr">
        <is>
          <t>Country Close, Site Close, Study Close</t>
        </is>
      </c>
      <c r="O863" s="3" t="inlineStr">
        <is>
          <t>Czech Republic</t>
        </is>
      </c>
      <c r="P863" s="3" t="inlineStr">
        <is>
          <t>Z92-CZ10009</t>
        </is>
      </c>
      <c r="Q863" s="3" t="inlineStr">
        <is>
          <t>77242113UCO2001</t>
        </is>
      </c>
    </row>
    <row r="864">
      <c r="A864" s="2" t="str">
        <f>HYPERLINK("https://vtmf.veevavault.com/ui/#doc_info/27068050/1/0", "77242113UCO2001-CZE-Z92-CZ10009-Quality Review Documentation-12 Sep 2024 (v1.0)")</f>
        <v>77242113UCO2001-CZE-Z92-CZ10009-Quality Review Documentation-12 Sep 2024 (v1.0)</v>
      </c>
      <c r="B864" s="3" t="inlineStr">
        <is>
          <t>Lenka Placha</t>
        </is>
      </c>
      <c r="C864" s="3" t="inlineStr">
        <is>
          <t>Trial Management</t>
        </is>
      </c>
      <c r="D864" s="3" t="inlineStr">
        <is>
          <t>Trial Oversight</t>
        </is>
      </c>
      <c r="E864" s="3" t="inlineStr">
        <is>
          <t>Quality Review Documentation</t>
        </is>
      </c>
      <c r="F864" s="3" t="inlineStr">
        <is>
          <t>QRC Form_Site level_Site Z92-CZ10009_12Sep2024</t>
        </is>
      </c>
      <c r="G864" s="2" t="str">
        <f>HYPERLINK("https://vtmf.veevavault.com/ui/#doc_info/27068050/1/0", "VTMF-21697260")</f>
        <v>VTMF-21697260</v>
      </c>
      <c r="H864" s="3" t="inlineStr">
        <is>
          <t/>
        </is>
      </c>
      <c r="I864" s="3" t="inlineStr">
        <is>
          <t>System</t>
        </is>
      </c>
      <c r="J864" s="3" t="inlineStr">
        <is>
          <t>Lenka Placha</t>
        </is>
      </c>
      <c r="K864" s="4" t="n">
        <v>45547.89976851852</v>
      </c>
      <c r="L864" s="5" t="n">
        <v>45547.0</v>
      </c>
      <c r="M864" s="3" t="inlineStr">
        <is>
          <t>Approved</t>
        </is>
      </c>
      <c r="N864" s="3" t="inlineStr">
        <is>
          <t>Country Close, Site Close, Study Close</t>
        </is>
      </c>
      <c r="O864" s="3" t="inlineStr">
        <is>
          <t>Czech Republic</t>
        </is>
      </c>
      <c r="P864" s="3" t="inlineStr">
        <is>
          <t>Z92-CZ10009</t>
        </is>
      </c>
      <c r="Q864" s="3" t="inlineStr">
        <is>
          <t>77242113UCO2001</t>
        </is>
      </c>
    </row>
    <row r="865">
      <c r="A865" s="2" t="str">
        <f>HYPERLINK("https://vtmf.veevavault.com/ui/#doc_info/31742715/1/0", "77242113UCO2001-CZE-Z92-CZ10009-Quality Review Documentation-25 May 2026 (v1.0)")</f>
        <v>77242113UCO2001-CZE-Z92-CZ10009-Quality Review Documentation-25 May 2026 (v1.0)</v>
      </c>
      <c r="B865" s="3" t="inlineStr">
        <is>
          <t>Agnesa Ruiz Kajtarova</t>
        </is>
      </c>
      <c r="C865" s="3" t="inlineStr">
        <is>
          <t>Trial Management</t>
        </is>
      </c>
      <c r="D865" s="3" t="inlineStr">
        <is>
          <t>Trial Oversight</t>
        </is>
      </c>
      <c r="E865" s="3" t="inlineStr">
        <is>
          <t>Quality Review Documentation</t>
        </is>
      </c>
      <c r="F865" s="3" t="inlineStr">
        <is>
          <t>Quality Review Evidence_Final_Site Level_12SEP2025/25MAY2026</t>
        </is>
      </c>
      <c r="G865" s="2" t="str">
        <f>HYPERLINK("https://vtmf.veevavault.com/ui/#doc_info/31742715/1/0", "VTMF-25619563")</f>
        <v>VTMF-25619563</v>
      </c>
      <c r="H865" s="3" t="inlineStr">
        <is>
          <t/>
        </is>
      </c>
      <c r="I865" s="3" t="inlineStr">
        <is>
          <t>System</t>
        </is>
      </c>
      <c r="J865" s="3" t="inlineStr">
        <is>
          <t>Agnesa Ruiz Kajtarova</t>
        </is>
      </c>
      <c r="K865" s="4" t="n">
        <v>46167.719930555555</v>
      </c>
      <c r="L865" s="5" t="n">
        <v>46167.0</v>
      </c>
      <c r="M865" s="3" t="inlineStr">
        <is>
          <t>Approved</t>
        </is>
      </c>
      <c r="N865" s="3" t="inlineStr">
        <is>
          <t>Country Close, Site Close, Study Close</t>
        </is>
      </c>
      <c r="O865" s="3" t="inlineStr">
        <is>
          <t>Czech Republic</t>
        </is>
      </c>
      <c r="P865" s="3" t="inlineStr">
        <is>
          <t>Z92-CZ10009</t>
        </is>
      </c>
      <c r="Q865" s="3" t="inlineStr">
        <is>
          <t>77242113UCO2001</t>
        </is>
      </c>
    </row>
    <row r="866">
      <c r="A866" s="2" t="str">
        <f>HYPERLINK("https://vtmf.veevavault.com/ui/#doc_info/31742727/1/0", "77242113UCO2001-CZE-Z92-CZ10009-Quality Review Documentation-25 May 2026 (v1.0)")</f>
        <v>77242113UCO2001-CZE-Z92-CZ10009-Quality Review Documentation-25 May 2026 (v1.0)</v>
      </c>
      <c r="B866" s="3" t="inlineStr">
        <is>
          <t>Agnesa Ruiz Kajtarova</t>
        </is>
      </c>
      <c r="C866" s="3" t="inlineStr">
        <is>
          <t>Trial Management</t>
        </is>
      </c>
      <c r="D866" s="3" t="inlineStr">
        <is>
          <t>Trial Oversight</t>
        </is>
      </c>
      <c r="E866" s="3" t="inlineStr">
        <is>
          <t>Quality Review Documentation</t>
        </is>
      </c>
      <c r="F866" s="3" t="inlineStr">
        <is>
          <t>Quality Review Confirmation Form_Final_12SEP2025/25MAY2026</t>
        </is>
      </c>
      <c r="G866" s="2" t="str">
        <f>HYPERLINK("https://vtmf.veevavault.com/ui/#doc_info/31742727/1/0", "VTMF-25619587")</f>
        <v>VTMF-25619587</v>
      </c>
      <c r="H866" s="3" t="inlineStr">
        <is>
          <t/>
        </is>
      </c>
      <c r="I866" s="3" t="inlineStr">
        <is>
          <t>System</t>
        </is>
      </c>
      <c r="J866" s="3" t="inlineStr">
        <is>
          <t>Agnesa Ruiz Kajtarova</t>
        </is>
      </c>
      <c r="K866" s="4" t="n">
        <v>46167.72553240741</v>
      </c>
      <c r="L866" s="5" t="n">
        <v>46167.0</v>
      </c>
      <c r="M866" s="3" t="inlineStr">
        <is>
          <t>Approved</t>
        </is>
      </c>
      <c r="N866" s="3" t="inlineStr">
        <is>
          <t>Country Close, Site Close, Study Close</t>
        </is>
      </c>
      <c r="O866" s="3" t="inlineStr">
        <is>
          <t>Czech Republic</t>
        </is>
      </c>
      <c r="P866" s="3" t="inlineStr">
        <is>
          <t>Z92-CZ10009</t>
        </is>
      </c>
      <c r="Q866" s="3" t="inlineStr">
        <is>
          <t>77242113UCO2001</t>
        </is>
      </c>
    </row>
    <row r="867">
      <c r="A867" s="2" t="str">
        <f>HYPERLINK("https://vtmf.veevavault.com/ui/#doc_info/25625403/1/0", "77242113UCO2001-CZE-Z92-CZ10009-Recruitment Plan-12 Jan 2024 (v1.0)")</f>
        <v>77242113UCO2001-CZE-Z92-CZ10009-Recruitment Plan-12 Jan 2024 (v1.0)</v>
      </c>
      <c r="B867" s="3" t="inlineStr">
        <is>
          <t>Lenka Placha</t>
        </is>
      </c>
      <c r="C867" s="3" t="inlineStr">
        <is>
          <t>Trial Management</t>
        </is>
      </c>
      <c r="D867" s="3" t="inlineStr">
        <is>
          <t>Trial Oversight</t>
        </is>
      </c>
      <c r="E867" s="3" t="inlineStr">
        <is>
          <t>Recruitment Plan</t>
        </is>
      </c>
      <c r="F867" s="3" t="inlineStr">
        <is>
          <t>Recruitment and Retention Plan_site Z92-CZ10009-12Jan24</t>
        </is>
      </c>
      <c r="G867" s="2" t="str">
        <f>HYPERLINK("https://vtmf.veevavault.com/ui/#doc_info/25625403/1/0", "VTMF-20449143")</f>
        <v>VTMF-20449143</v>
      </c>
      <c r="H867" s="3" t="inlineStr">
        <is>
          <t/>
        </is>
      </c>
      <c r="I867" s="3" t="inlineStr">
        <is>
          <t>Anthony Suarez (veeva.com)</t>
        </is>
      </c>
      <c r="J867" s="3" t="inlineStr">
        <is>
          <t>Lenka Placha</t>
        </is>
      </c>
      <c r="K867" s="4" t="n">
        <v>45323.52045138889</v>
      </c>
      <c r="L867" s="5" t="n">
        <v>45323.0</v>
      </c>
      <c r="M867" s="3" t="inlineStr">
        <is>
          <t>Approved</t>
        </is>
      </c>
      <c r="N867" s="3" t="inlineStr">
        <is>
          <t>Study Start</t>
        </is>
      </c>
      <c r="O867" s="3" t="inlineStr">
        <is>
          <t>Czech Republic</t>
        </is>
      </c>
      <c r="P867" s="3" t="inlineStr">
        <is>
          <t>Z92-CZ10009</t>
        </is>
      </c>
      <c r="Q867" s="3" t="inlineStr">
        <is>
          <t>77242113UCO2001</t>
        </is>
      </c>
    </row>
    <row r="868">
      <c r="A868" s="2" t="str">
        <f>HYPERLINK("https://vtmf.veevavault.com/ui/#doc_info/26856539/1/0", "77242113UCO2001-CZE-Z92-CZ10009-Relevant Communications-01 Aug 2024 (v1.0)")</f>
        <v>77242113UCO2001-CZE-Z92-CZ10009-Relevant Communications-01 Aug 2024 (v1.0)</v>
      </c>
      <c r="B868" s="3" t="inlineStr">
        <is>
          <t>Jitka Kone</t>
        </is>
      </c>
      <c r="C868" s="3" t="inlineStr">
        <is>
          <t>Site Management</t>
        </is>
      </c>
      <c r="D868" s="3" t="inlineStr">
        <is>
          <t>General</t>
        </is>
      </c>
      <c r="E868" s="3" t="inlineStr">
        <is>
          <t>Relevant Communications</t>
        </is>
      </c>
      <c r="F868" s="3" t="inlineStr">
        <is>
          <t>Letter to site_Pr.Am.3 + implementation</t>
        </is>
      </c>
      <c r="G868" s="2" t="str">
        <f>HYPERLINK("https://vtmf.veevavault.com/ui/#doc_info/26856539/1/0", "VTMF-21526008")</f>
        <v>VTMF-21526008</v>
      </c>
      <c r="H868" s="3" t="inlineStr">
        <is>
          <t/>
        </is>
      </c>
      <c r="I868" s="3" t="inlineStr">
        <is>
          <t>System</t>
        </is>
      </c>
      <c r="J868" s="3" t="inlineStr">
        <is>
          <t>Jitka Kone</t>
        </is>
      </c>
      <c r="K868" s="4" t="n">
        <v>45512.67366898148</v>
      </c>
      <c r="L868" s="5" t="n">
        <v>45512.0</v>
      </c>
      <c r="M868" s="3" t="inlineStr">
        <is>
          <t>Approved</t>
        </is>
      </c>
      <c r="N868" s="3" t="inlineStr">
        <is>
          <t>Available for Distribution, Country Close, Site Close, Study Close</t>
        </is>
      </c>
      <c r="O868" s="3" t="inlineStr">
        <is>
          <t>Czech Republic</t>
        </is>
      </c>
      <c r="P868" s="3" t="inlineStr">
        <is>
          <t>Z92-CZ10009</t>
        </is>
      </c>
      <c r="Q868" s="3" t="inlineStr">
        <is>
          <t>77242113UCO2001</t>
        </is>
      </c>
    </row>
    <row r="869">
      <c r="A869" s="2" t="str">
        <f>HYPERLINK("https://vtmf.veevavault.com/ui/#doc_info/25625477/1/0", "77242113UCO2001-CZE-Z92-CZ10009-Relevant Communications-01 Feb 2024 (v1.0)")</f>
        <v>77242113UCO2001-CZE-Z92-CZ10009-Relevant Communications-01 Feb 2024 (v1.0)</v>
      </c>
      <c r="B869" s="3" t="inlineStr">
        <is>
          <t>Lenka Placha</t>
        </is>
      </c>
      <c r="C869" s="3" t="inlineStr">
        <is>
          <t>Site Management</t>
        </is>
      </c>
      <c r="D869" s="3" t="inlineStr">
        <is>
          <t>General</t>
        </is>
      </c>
      <c r="E869" s="3" t="inlineStr">
        <is>
          <t>Relevant Communications</t>
        </is>
      </c>
      <c r="F869" s="3" t="inlineStr">
        <is>
          <t>email 01Feb24- completed recruitment retention plan sent to PI</t>
        </is>
      </c>
      <c r="G869" s="2" t="str">
        <f>HYPERLINK("https://vtmf.veevavault.com/ui/#doc_info/25625477/1/0", "VTMF-20449181")</f>
        <v>VTMF-20449181</v>
      </c>
      <c r="H869" s="3" t="inlineStr">
        <is>
          <t/>
        </is>
      </c>
      <c r="I869" s="3" t="inlineStr">
        <is>
          <t>Lenka Placha</t>
        </is>
      </c>
      <c r="J869" s="3" t="inlineStr">
        <is>
          <t>Lenka Placha</t>
        </is>
      </c>
      <c r="K869" s="4" t="n">
        <v>45323.52612268519</v>
      </c>
      <c r="L869" s="5" t="n">
        <v>45323.0</v>
      </c>
      <c r="M869" s="3" t="inlineStr">
        <is>
          <t>Approved</t>
        </is>
      </c>
      <c r="N869" s="3" t="inlineStr">
        <is>
          <t>Available for Distribution, Country Close, Site Close, Study Close</t>
        </is>
      </c>
      <c r="O869" s="3" t="inlineStr">
        <is>
          <t>Czech Republic</t>
        </is>
      </c>
      <c r="P869" s="3" t="inlineStr">
        <is>
          <t>Z92-CZ10009</t>
        </is>
      </c>
      <c r="Q869" s="3" t="inlineStr">
        <is>
          <t>77242113UCO2001</t>
        </is>
      </c>
    </row>
    <row r="870">
      <c r="A870" s="2" t="str">
        <f>HYPERLINK("https://vtmf.veevavault.com/ui/#doc_info/28222095/1/0", "77242113UCO2001-CZE-Z92-CZ10009-Relevant Communications-03 Feb 2025 (v1.0)")</f>
        <v>77242113UCO2001-CZE-Z92-CZ10009-Relevant Communications-03 Feb 2025 (v1.0)</v>
      </c>
      <c r="B870" s="3" t="inlineStr">
        <is>
          <t>Jitka Kone</t>
        </is>
      </c>
      <c r="C870" s="3" t="inlineStr">
        <is>
          <t>Site Management</t>
        </is>
      </c>
      <c r="D870" s="3" t="inlineStr">
        <is>
          <t>General</t>
        </is>
      </c>
      <c r="E870" s="3" t="inlineStr">
        <is>
          <t>Relevant Communications</t>
        </is>
      </c>
      <c r="F870" s="3" t="inlineStr">
        <is>
          <t>Cover letter_PCI 7.1 + EU CTR documentation</t>
        </is>
      </c>
      <c r="G870" s="2" t="str">
        <f>HYPERLINK("https://vtmf.veevavault.com/ui/#doc_info/28222095/1/0", "VTMF-22635497")</f>
        <v>VTMF-22635497</v>
      </c>
      <c r="H870" s="3" t="inlineStr">
        <is>
          <t/>
        </is>
      </c>
      <c r="I870" s="3" t="inlineStr">
        <is>
          <t>System</t>
        </is>
      </c>
      <c r="J870" s="3" t="inlineStr">
        <is>
          <t>Jitka Kone</t>
        </is>
      </c>
      <c r="K870" s="4" t="n">
        <v>45692.47461805555</v>
      </c>
      <c r="L870" s="5" t="n">
        <v>45692.0</v>
      </c>
      <c r="M870" s="3" t="inlineStr">
        <is>
          <t>Approved</t>
        </is>
      </c>
      <c r="N870" s="3" t="inlineStr">
        <is>
          <t>Available for Distribution, Country Close, Site Close, Study Close</t>
        </is>
      </c>
      <c r="O870" s="3" t="inlineStr">
        <is>
          <t>Czech Republic</t>
        </is>
      </c>
      <c r="P870" s="3" t="inlineStr">
        <is>
          <t>Z92-CZ10009</t>
        </is>
      </c>
      <c r="Q870" s="3" t="inlineStr">
        <is>
          <t>77242113UCO2001</t>
        </is>
      </c>
    </row>
    <row r="871">
      <c r="A871" s="2" t="str">
        <f>HYPERLINK("https://vtmf.veevavault.com/ui/#doc_info/28019743/1/0", "77242113UCO2001-CZE-Z92-CZ10009-Relevant Communications-06 Jan 2025 (v1.0)")</f>
        <v>77242113UCO2001-CZE-Z92-CZ10009-Relevant Communications-06 Jan 2025 (v1.0)</v>
      </c>
      <c r="B871" s="3" t="inlineStr">
        <is>
          <t>Lenka Placha</t>
        </is>
      </c>
      <c r="C871" s="3" t="inlineStr">
        <is>
          <t>Site Management</t>
        </is>
      </c>
      <c r="D871" s="3" t="inlineStr">
        <is>
          <t>General</t>
        </is>
      </c>
      <c r="E871" s="3" t="inlineStr">
        <is>
          <t>Relevant Communications</t>
        </is>
      </c>
      <c r="F871" s="3" t="inlineStr">
        <is>
          <t>email 06Jan25- new SAE form incl.instruction sent to site Z92-CZ10009</t>
        </is>
      </c>
      <c r="G871" s="2" t="str">
        <f>HYPERLINK("https://vtmf.veevavault.com/ui/#doc_info/28019743/1/0", "VTMF-22468816")</f>
        <v>VTMF-22468816</v>
      </c>
      <c r="H871" s="3" t="inlineStr">
        <is>
          <t/>
        </is>
      </c>
      <c r="I871" s="3" t="inlineStr">
        <is>
          <t>System</t>
        </is>
      </c>
      <c r="J871" s="3" t="inlineStr">
        <is>
          <t>Lenka Placha</t>
        </is>
      </c>
      <c r="K871" s="4" t="n">
        <v>45663.61530092593</v>
      </c>
      <c r="L871" s="5" t="n">
        <v>45663.0</v>
      </c>
      <c r="M871" s="3" t="inlineStr">
        <is>
          <t>Approved</t>
        </is>
      </c>
      <c r="N871" s="3" t="inlineStr">
        <is>
          <t>Available for Distribution, Country Close, Site Close, Study Close</t>
        </is>
      </c>
      <c r="O871" s="3" t="inlineStr">
        <is>
          <t>Czech Republic</t>
        </is>
      </c>
      <c r="P871" s="3" t="inlineStr">
        <is>
          <t>Z92-CZ10009</t>
        </is>
      </c>
      <c r="Q871" s="3" t="inlineStr">
        <is>
          <t>77242113UCO2001</t>
        </is>
      </c>
    </row>
    <row r="872">
      <c r="A872" s="2" t="str">
        <f>HYPERLINK("https://vtmf.veevavault.com/ui/#doc_info/26875953/1/0", "77242113UCO2001-CZE-Z92-CZ10009-Relevant Communications-07 Aug 2024 (v1.0)")</f>
        <v>77242113UCO2001-CZE-Z92-CZ10009-Relevant Communications-07 Aug 2024 (v1.0)</v>
      </c>
      <c r="B872" s="3" t="inlineStr">
        <is>
          <t>Lenka Placha</t>
        </is>
      </c>
      <c r="C872" s="3" t="inlineStr">
        <is>
          <t>IP and Trial Supplies</t>
        </is>
      </c>
      <c r="D872" s="3" t="inlineStr">
        <is>
          <t>General</t>
        </is>
      </c>
      <c r="E872" s="3" t="inlineStr">
        <is>
          <t>Relevant Communications</t>
        </is>
      </c>
      <c r="F872" s="3" t="inlineStr">
        <is>
          <t>email _07Aug24_site_Z92-CZ10009_notification to site- near expired IP kits should be stored separately -will be destroyed by SM</t>
        </is>
      </c>
      <c r="G872" s="2" t="str">
        <f>HYPERLINK("https://vtmf.veevavault.com/ui/#doc_info/26875953/1/0", "VTMF-21542956")</f>
        <v>VTMF-21542956</v>
      </c>
      <c r="H872" s="3" t="inlineStr">
        <is>
          <t/>
        </is>
      </c>
      <c r="I872" s="3" t="inlineStr">
        <is>
          <t>System</t>
        </is>
      </c>
      <c r="J872" s="3" t="inlineStr">
        <is>
          <t>Lenka Placha</t>
        </is>
      </c>
      <c r="K872" s="4" t="n">
        <v>45516.735</v>
      </c>
      <c r="L872" s="5" t="n">
        <v>45516.0</v>
      </c>
      <c r="M872" s="3" t="inlineStr">
        <is>
          <t>Approved</t>
        </is>
      </c>
      <c r="N872" s="3" t="inlineStr">
        <is>
          <t>Country Close, Site Close, Study Close</t>
        </is>
      </c>
      <c r="O872" s="3" t="inlineStr">
        <is>
          <t>Czech Republic</t>
        </is>
      </c>
      <c r="P872" s="3" t="inlineStr">
        <is>
          <t>Z92-CZ10009</t>
        </is>
      </c>
      <c r="Q872" s="3" t="inlineStr">
        <is>
          <t>77242113UCO2001</t>
        </is>
      </c>
    </row>
    <row r="873">
      <c r="A873" s="2" t="str">
        <f>HYPERLINK("https://vtmf.veevavault.com/ui/#doc_info/28622285/2/0", "77242113UCO2001-CZE-Z92-CZ10009-Relevant Communications-08 Mar 2025 (v2.0)")</f>
        <v>77242113UCO2001-CZE-Z92-CZ10009-Relevant Communications-08 Mar 2025 (v2.0)</v>
      </c>
      <c r="B873" s="3" t="inlineStr">
        <is>
          <t>Lenka Placha</t>
        </is>
      </c>
      <c r="C873" s="3" t="inlineStr">
        <is>
          <t>Site Management</t>
        </is>
      </c>
      <c r="D873" s="3" t="inlineStr">
        <is>
          <t>General</t>
        </is>
      </c>
      <c r="E873" s="3" t="inlineStr">
        <is>
          <t>Relevant Communications</t>
        </is>
      </c>
      <c r="F873" s="3" t="inlineStr">
        <is>
          <t>email 08Mar25-site Z92-CZ10009-SI confirmation Alimentiv laptop needed</t>
        </is>
      </c>
      <c r="G873" s="2" t="str">
        <f>HYPERLINK("https://vtmf.veevavault.com/ui/#doc_info/28622285/2/0", "VTMF-22989430")</f>
        <v>VTMF-22989430</v>
      </c>
      <c r="H873" s="3" t="inlineStr">
        <is>
          <t/>
        </is>
      </c>
      <c r="I873" s="3" t="inlineStr">
        <is>
          <t>System</t>
        </is>
      </c>
      <c r="J873" s="3" t="inlineStr">
        <is>
          <t>Lenka Placha</t>
        </is>
      </c>
      <c r="K873" s="4" t="n">
        <v>45814.932071759256</v>
      </c>
      <c r="L873" s="5" t="n">
        <v>45814.0</v>
      </c>
      <c r="M873" s="3" t="inlineStr">
        <is>
          <t>Approved</t>
        </is>
      </c>
      <c r="N873" s="3" t="inlineStr">
        <is>
          <t>Available for Distribution, Country Close, Site Close, Study Close</t>
        </is>
      </c>
      <c r="O873" s="3" t="inlineStr">
        <is>
          <t>Czech Republic</t>
        </is>
      </c>
      <c r="P873" s="3" t="inlineStr">
        <is>
          <t>Z92-CZ10009</t>
        </is>
      </c>
      <c r="Q873" s="3" t="inlineStr">
        <is>
          <t>77242113UCO2001</t>
        </is>
      </c>
    </row>
    <row r="874">
      <c r="A874" s="2" t="str">
        <f>HYPERLINK("https://vtmf.veevavault.com/ui/#doc_info/29935766/1/0", "77242113UCO2001-CZE-Z92-CZ10009-Relevant Communications-11 Sep 2025 (v1.0)")</f>
        <v>77242113UCO2001-CZE-Z92-CZ10009-Relevant Communications-11 Sep 2025 (v1.0)</v>
      </c>
      <c r="B874" s="3" t="inlineStr">
        <is>
          <t>Agnesa Ruiz Kajtarova</t>
        </is>
      </c>
      <c r="C874" s="3" t="inlineStr">
        <is>
          <t>Site Management</t>
        </is>
      </c>
      <c r="D874" s="3" t="inlineStr">
        <is>
          <t>General</t>
        </is>
      </c>
      <c r="E874" s="3" t="inlineStr">
        <is>
          <t>Relevant Communications</t>
        </is>
      </c>
      <c r="F874" s="3" t="inlineStr">
        <is>
          <t>Relevant Communication_New Site Manager from 11SEP2025_11SEP2025</t>
        </is>
      </c>
      <c r="G874" s="2" t="str">
        <f>HYPERLINK("https://vtmf.veevavault.com/ui/#doc_info/29935766/1/0", "VTMF-24098155")</f>
        <v>VTMF-24098155</v>
      </c>
      <c r="H874" s="3" t="inlineStr">
        <is>
          <t/>
        </is>
      </c>
      <c r="I874" s="3" t="inlineStr">
        <is>
          <t>System</t>
        </is>
      </c>
      <c r="J874" s="3" t="inlineStr">
        <is>
          <t>Agnesa Ruiz Kajtarova</t>
        </is>
      </c>
      <c r="K874" s="4" t="n">
        <v>45911.67859953704</v>
      </c>
      <c r="L874" s="5" t="n">
        <v>45911.0</v>
      </c>
      <c r="M874" s="3" t="inlineStr">
        <is>
          <t>Approved</t>
        </is>
      </c>
      <c r="N874" s="3" t="inlineStr">
        <is>
          <t>Available for Distribution, Country Close, Site Close, Study Close</t>
        </is>
      </c>
      <c r="O874" s="3" t="inlineStr">
        <is>
          <t>Czech Republic</t>
        </is>
      </c>
      <c r="P874" s="3" t="inlineStr">
        <is>
          <t>Z92-CZ10009</t>
        </is>
      </c>
      <c r="Q874" s="3" t="inlineStr">
        <is>
          <t>77242113UCO2001</t>
        </is>
      </c>
    </row>
    <row r="875">
      <c r="A875" s="2" t="str">
        <f>HYPERLINK("https://vtmf.veevavault.com/ui/#doc_info/26877140/1/0", "77242113UCO2001-CZE-Z92-CZ10009-Relevant Communications-12 Aug 2024 (v1.0)")</f>
        <v>77242113UCO2001-CZE-Z92-CZ10009-Relevant Communications-12 Aug 2024 (v1.0)</v>
      </c>
      <c r="B875" s="3" t="inlineStr">
        <is>
          <t>Lenka Placha</t>
        </is>
      </c>
      <c r="C875" s="3" t="inlineStr">
        <is>
          <t>Site Management</t>
        </is>
      </c>
      <c r="D875" s="3" t="inlineStr">
        <is>
          <t>General</t>
        </is>
      </c>
      <c r="E875" s="3" t="inlineStr">
        <is>
          <t>Relevant Communications</t>
        </is>
      </c>
      <c r="F875" s="3" t="inlineStr">
        <is>
          <t>email 12Aug24- site Z92-CZ10009- request to collect and sent full stool sample- pt.Z92-CZ10009, the first from Wk12 was discarded</t>
        </is>
      </c>
      <c r="G875" s="2" t="str">
        <f>HYPERLINK("https://vtmf.veevavault.com/ui/#doc_info/26877140/1/0", "VTMF-21543987")</f>
        <v>VTMF-21543987</v>
      </c>
      <c r="H875" s="3" t="inlineStr">
        <is>
          <t/>
        </is>
      </c>
      <c r="I875" s="3" t="inlineStr">
        <is>
          <t>System</t>
        </is>
      </c>
      <c r="J875" s="3" t="inlineStr">
        <is>
          <t>Lenka Placha</t>
        </is>
      </c>
      <c r="K875" s="4" t="n">
        <v>45516.90962962963</v>
      </c>
      <c r="L875" s="5" t="n">
        <v>45516.0</v>
      </c>
      <c r="M875" s="3" t="inlineStr">
        <is>
          <t>Approved</t>
        </is>
      </c>
      <c r="N875" s="3" t="inlineStr">
        <is>
          <t>Available for Distribution, Country Close, Site Close, Study Close</t>
        </is>
      </c>
      <c r="O875" s="3" t="inlineStr">
        <is>
          <t>Czech Republic</t>
        </is>
      </c>
      <c r="P875" s="3" t="inlineStr">
        <is>
          <t>Z92-CZ10009</t>
        </is>
      </c>
      <c r="Q875" s="3" t="inlineStr">
        <is>
          <t>77242113UCO2001</t>
        </is>
      </c>
    </row>
    <row r="876">
      <c r="A876" s="2" t="str">
        <f>HYPERLINK("https://vtmf.veevavault.com/ui/#doc_info/26877408/1/0", "77242113UCO2001-CZE-Z92-CZ10009-Relevant Communications-12 Aug 2024 (v1.0)")</f>
        <v>77242113UCO2001-CZE-Z92-CZ10009-Relevant Communications-12 Aug 2024 (v1.0)</v>
      </c>
      <c r="B876" s="3" t="inlineStr">
        <is>
          <t>Lenka Placha</t>
        </is>
      </c>
      <c r="C876" s="3" t="inlineStr">
        <is>
          <t>Site Management</t>
        </is>
      </c>
      <c r="D876" s="3" t="inlineStr">
        <is>
          <t>General</t>
        </is>
      </c>
      <c r="E876" s="3" t="inlineStr">
        <is>
          <t>Relevant Communications</t>
        </is>
      </c>
      <c r="F876" s="3" t="inlineStr">
        <is>
          <t>email 12Aug24- information to site- process during early discontinuation of pt.CZ100090001</t>
        </is>
      </c>
      <c r="G876" s="2" t="str">
        <f>HYPERLINK("https://vtmf.veevavault.com/ui/#doc_info/26877408/1/0", "VTMF-21544160")</f>
        <v>VTMF-21544160</v>
      </c>
      <c r="H876" s="3" t="inlineStr">
        <is>
          <t/>
        </is>
      </c>
      <c r="I876" s="3" t="inlineStr">
        <is>
          <t>System</t>
        </is>
      </c>
      <c r="J876" s="3" t="inlineStr">
        <is>
          <t>Lenka Placha</t>
        </is>
      </c>
      <c r="K876" s="4" t="n">
        <v>45516.955879629626</v>
      </c>
      <c r="L876" s="5" t="n">
        <v>45516.0</v>
      </c>
      <c r="M876" s="3" t="inlineStr">
        <is>
          <t>Approved</t>
        </is>
      </c>
      <c r="N876" s="3" t="inlineStr">
        <is>
          <t>Available for Distribution, Country Close, Site Close, Study Close</t>
        </is>
      </c>
      <c r="O876" s="3" t="inlineStr">
        <is>
          <t>Czech Republic</t>
        </is>
      </c>
      <c r="P876" s="3" t="inlineStr">
        <is>
          <t>Z92-CZ10009</t>
        </is>
      </c>
      <c r="Q876" s="3" t="inlineStr">
        <is>
          <t>77242113UCO2001</t>
        </is>
      </c>
    </row>
    <row r="877">
      <c r="A877" s="2" t="str">
        <f>HYPERLINK("https://vtmf.veevavault.com/ui/#doc_info/28700024/1/0", "77242113UCO2001-CZE-Z92-CZ10009-Relevant Communications-12 Mar 2025 (v1.0)")</f>
        <v>77242113UCO2001-CZE-Z92-CZ10009-Relevant Communications-12 Mar 2025 (v1.0)</v>
      </c>
      <c r="B877" s="3" t="inlineStr">
        <is>
          <t>Lenka Placha</t>
        </is>
      </c>
      <c r="C877" s="3" t="inlineStr">
        <is>
          <t>Site Management</t>
        </is>
      </c>
      <c r="D877" s="3" t="inlineStr">
        <is>
          <t>General</t>
        </is>
      </c>
      <c r="E877" s="3" t="inlineStr">
        <is>
          <t>Relevant Communications</t>
        </is>
      </c>
      <c r="F877" s="3" t="inlineStr">
        <is>
          <t>email 12Mar25-clinical team confirmation no action needed for missing Mayo score during Wk36 of pt.CZ100090003</t>
        </is>
      </c>
      <c r="G877" s="2" t="str">
        <f>HYPERLINK("https://vtmf.veevavault.com/ui/#doc_info/28700024/1/0", "VTMF-23054873")</f>
        <v>VTMF-23054873</v>
      </c>
      <c r="H877" s="3" t="inlineStr">
        <is>
          <t/>
        </is>
      </c>
      <c r="I877" s="3" t="inlineStr">
        <is>
          <t>System</t>
        </is>
      </c>
      <c r="J877" s="3" t="inlineStr">
        <is>
          <t>Lenka Placha</t>
        </is>
      </c>
      <c r="K877" s="4" t="n">
        <v>45735.4844212963</v>
      </c>
      <c r="L877" s="5" t="n">
        <v>45735.0</v>
      </c>
      <c r="M877" s="3" t="inlineStr">
        <is>
          <t>Approved</t>
        </is>
      </c>
      <c r="N877" s="3" t="inlineStr">
        <is>
          <t>Available for Distribution, Country Close, Site Close, Study Close</t>
        </is>
      </c>
      <c r="O877" s="3" t="inlineStr">
        <is>
          <t>Czech Republic</t>
        </is>
      </c>
      <c r="P877" s="3" t="inlineStr">
        <is>
          <t>Z92-CZ10009</t>
        </is>
      </c>
      <c r="Q877" s="3" t="inlineStr">
        <is>
          <t>77242113UCO2001</t>
        </is>
      </c>
    </row>
    <row r="878">
      <c r="A878" s="2" t="str">
        <f>HYPERLINK("https://vtmf.veevavault.com/ui/#doc_info/28700041/1/0", "77242113UCO2001-CZE-Z92-CZ10009-Relevant Communications-12 Mar 2025 (v1.0)")</f>
        <v>77242113UCO2001-CZE-Z92-CZ10009-Relevant Communications-12 Mar 2025 (v1.0)</v>
      </c>
      <c r="B878" s="3" t="inlineStr">
        <is>
          <t>Lenka Placha</t>
        </is>
      </c>
      <c r="C878" s="3" t="inlineStr">
        <is>
          <t>Site Management</t>
        </is>
      </c>
      <c r="D878" s="3" t="inlineStr">
        <is>
          <t>General</t>
        </is>
      </c>
      <c r="E878" s="3" t="inlineStr">
        <is>
          <t>Relevant Communications</t>
        </is>
      </c>
      <c r="F878" s="3" t="inlineStr">
        <is>
          <t>email 12Mar25- PI and SI retraining due to missing Mayo score result during visit Wk36 of ptCZ100090003</t>
        </is>
      </c>
      <c r="G878" s="2" t="str">
        <f>HYPERLINK("https://vtmf.veevavault.com/ui/#doc_info/28700041/1/0", "VTMF-23054910")</f>
        <v>VTMF-23054910</v>
      </c>
      <c r="H878" s="3" t="inlineStr">
        <is>
          <t/>
        </is>
      </c>
      <c r="I878" s="3" t="inlineStr">
        <is>
          <t>System</t>
        </is>
      </c>
      <c r="J878" s="3" t="inlineStr">
        <is>
          <t>Lenka Placha</t>
        </is>
      </c>
      <c r="K878" s="4" t="n">
        <v>45735.4890625</v>
      </c>
      <c r="L878" s="5" t="n">
        <v>45735.0</v>
      </c>
      <c r="M878" s="3" t="inlineStr">
        <is>
          <t>Approved</t>
        </is>
      </c>
      <c r="N878" s="3" t="inlineStr">
        <is>
          <t>Available for Distribution, Country Close, Site Close, Study Close</t>
        </is>
      </c>
      <c r="O878" s="3" t="inlineStr">
        <is>
          <t>Czech Republic</t>
        </is>
      </c>
      <c r="P878" s="3" t="inlineStr">
        <is>
          <t>Z92-CZ10009</t>
        </is>
      </c>
      <c r="Q878" s="3" t="inlineStr">
        <is>
          <t>77242113UCO2001</t>
        </is>
      </c>
    </row>
    <row r="879">
      <c r="A879" s="2" t="str">
        <f>HYPERLINK("https://vtmf.veevavault.com/ui/#doc_info/25523288/1/0", "77242113UCO2001-CZE-Z92-CZ10009-Relevant Communications-13 Jan 2024 (v1.0)")</f>
        <v>77242113UCO2001-CZE-Z92-CZ10009-Relevant Communications-13 Jan 2024 (v1.0)</v>
      </c>
      <c r="B879" s="3" t="inlineStr">
        <is>
          <t>Lenka Placha</t>
        </is>
      </c>
      <c r="C879" s="3" t="inlineStr">
        <is>
          <t>Site Management</t>
        </is>
      </c>
      <c r="D879" s="3" t="inlineStr">
        <is>
          <t>General</t>
        </is>
      </c>
      <c r="E879" s="3" t="inlineStr">
        <is>
          <t>Relevant Communications</t>
        </is>
      </c>
      <c r="F879" s="3" t="inlineStr">
        <is>
          <t>email 13Jan24-SI confirmation availability of accesses fro study ANTHEM_site Z92-CZ10009</t>
        </is>
      </c>
      <c r="G879" s="2" t="str">
        <f>HYPERLINK("https://vtmf.veevavault.com/ui/#doc_info/25523288/1/0", "VTMF-20359712")</f>
        <v>VTMF-20359712</v>
      </c>
      <c r="H879" s="3" t="inlineStr">
        <is>
          <t/>
        </is>
      </c>
      <c r="I879" s="3" t="inlineStr">
        <is>
          <t>System</t>
        </is>
      </c>
      <c r="J879" s="3" t="inlineStr">
        <is>
          <t>Lenka Placha</t>
        </is>
      </c>
      <c r="K879" s="4" t="n">
        <v>45308.93269675926</v>
      </c>
      <c r="L879" s="5" t="n">
        <v>45308.0</v>
      </c>
      <c r="M879" s="3" t="inlineStr">
        <is>
          <t>Approved</t>
        </is>
      </c>
      <c r="N879" s="3" t="inlineStr">
        <is>
          <t>Available for Distribution, Country Close, Site Close, Study Close</t>
        </is>
      </c>
      <c r="O879" s="3" t="inlineStr">
        <is>
          <t>Czech Republic</t>
        </is>
      </c>
      <c r="P879" s="3" t="inlineStr">
        <is>
          <t>Z92-CZ10009</t>
        </is>
      </c>
      <c r="Q879" s="3" t="inlineStr">
        <is>
          <t>77242113UCO2001</t>
        </is>
      </c>
    </row>
    <row r="880">
      <c r="A880" s="2" t="str">
        <f>HYPERLINK("https://vtmf.veevavault.com/ui/#doc_info/27509529/1/0", "77242113UCO2001-CZE-Z92-CZ10009-Relevant Communications-13 Nov 2024 (v1.0)")</f>
        <v>77242113UCO2001-CZE-Z92-CZ10009-Relevant Communications-13 Nov 2024 (v1.0)</v>
      </c>
      <c r="B880" s="3" t="inlineStr">
        <is>
          <t>Lenka Placha</t>
        </is>
      </c>
      <c r="C880" s="3" t="inlineStr">
        <is>
          <t>Site Management</t>
        </is>
      </c>
      <c r="D880" s="3" t="inlineStr">
        <is>
          <t>General</t>
        </is>
      </c>
      <c r="E880" s="3" t="inlineStr">
        <is>
          <t>Relevant Communications</t>
        </is>
      </c>
      <c r="F880" s="3" t="inlineStr">
        <is>
          <t>email 12Nov24-information to study team  site Z92-CZ10009- pt. CZ100090002- Wk28- not evaluable Mayo score</t>
        </is>
      </c>
      <c r="G880" s="2" t="str">
        <f>HYPERLINK("https://vtmf.veevavault.com/ui/#doc_info/27509529/1/0", "VTMF-22064921")</f>
        <v>VTMF-22064921</v>
      </c>
      <c r="H880" s="3" t="inlineStr">
        <is>
          <t/>
        </is>
      </c>
      <c r="I880" s="3" t="inlineStr">
        <is>
          <t>System</t>
        </is>
      </c>
      <c r="J880" s="3" t="inlineStr">
        <is>
          <t>Lenka Placha</t>
        </is>
      </c>
      <c r="K880" s="4" t="n">
        <v>45614.9596875</v>
      </c>
      <c r="L880" s="5" t="n">
        <v>45615.0</v>
      </c>
      <c r="M880" s="3" t="inlineStr">
        <is>
          <t>Approved</t>
        </is>
      </c>
      <c r="N880" s="3" t="inlineStr">
        <is>
          <t>Available for Distribution, Country Close, Site Close, Study Close</t>
        </is>
      </c>
      <c r="O880" s="3" t="inlineStr">
        <is>
          <t>Czech Republic</t>
        </is>
      </c>
      <c r="P880" s="3" t="inlineStr">
        <is>
          <t>Z92-CZ10009</t>
        </is>
      </c>
      <c r="Q880" s="3" t="inlineStr">
        <is>
          <t>77242113UCO2001</t>
        </is>
      </c>
    </row>
    <row r="881">
      <c r="A881" s="2" t="str">
        <f>HYPERLINK("https://vtmf.veevavault.com/ui/#doc_info/26706693/1/0", "77242113UCO2001-CZE-Z92-CZ10009-Relevant Communications-14 Jul 2024 (v1.0)")</f>
        <v>77242113UCO2001-CZE-Z92-CZ10009-Relevant Communications-14 Jul 2024 (v1.0)</v>
      </c>
      <c r="B881" s="3" t="inlineStr">
        <is>
          <t>Lenka Placha</t>
        </is>
      </c>
      <c r="C881" s="3" t="inlineStr">
        <is>
          <t>Site Management</t>
        </is>
      </c>
      <c r="D881" s="3" t="inlineStr">
        <is>
          <t>General</t>
        </is>
      </c>
      <c r="E881" s="3" t="inlineStr">
        <is>
          <t>Relevant Communications</t>
        </is>
      </c>
      <c r="F881" s="3" t="inlineStr">
        <is>
          <t>email 14Jul24- open items after MV- site Z92-CZ10009</t>
        </is>
      </c>
      <c r="G881" s="2" t="str">
        <f>HYPERLINK("https://vtmf.veevavault.com/ui/#doc_info/26706693/1/0", "VTMF-21398864")</f>
        <v>VTMF-21398864</v>
      </c>
      <c r="H881" s="3" t="inlineStr">
        <is>
          <t/>
        </is>
      </c>
      <c r="I881" s="3" t="inlineStr">
        <is>
          <t>System</t>
        </is>
      </c>
      <c r="J881" s="3" t="inlineStr">
        <is>
          <t>Lenka Placha</t>
        </is>
      </c>
      <c r="K881" s="4" t="n">
        <v>45488.394953703704</v>
      </c>
      <c r="L881" s="5" t="n">
        <v>45488.0</v>
      </c>
      <c r="M881" s="3" t="inlineStr">
        <is>
          <t>Approved</t>
        </is>
      </c>
      <c r="N881" s="3" t="inlineStr">
        <is>
          <t>Available for Distribution, Country Close, Site Close, Study Close</t>
        </is>
      </c>
      <c r="O881" s="3" t="inlineStr">
        <is>
          <t>Czech Republic</t>
        </is>
      </c>
      <c r="P881" s="3" t="inlineStr">
        <is>
          <t>Z92-CZ10009</t>
        </is>
      </c>
      <c r="Q881" s="3" t="inlineStr">
        <is>
          <t>77242113UCO2001</t>
        </is>
      </c>
    </row>
    <row r="882">
      <c r="A882" s="2" t="str">
        <f>HYPERLINK("https://vtmf.veevavault.com/ui/#doc_info/26523118/1/0", "77242113UCO2001-CZE-Z92-CZ10009-Relevant Communications-14 Jun 2024 (v1.0)")</f>
        <v>77242113UCO2001-CZE-Z92-CZ10009-Relevant Communications-14 Jun 2024 (v1.0)</v>
      </c>
      <c r="B882" s="3" t="inlineStr">
        <is>
          <t>Lenka Placha</t>
        </is>
      </c>
      <c r="C882" s="3" t="inlineStr">
        <is>
          <t>Site Management</t>
        </is>
      </c>
      <c r="D882" s="3" t="inlineStr">
        <is>
          <t>General</t>
        </is>
      </c>
      <c r="E882" s="3" t="inlineStr">
        <is>
          <t>Relevant Communications</t>
        </is>
      </c>
      <c r="F882" s="3" t="inlineStr">
        <is>
          <t>email site Z92-CZ10009- info to site- expired lab kits need to be ordered new one_14Jun24</t>
        </is>
      </c>
      <c r="G882" s="2" t="str">
        <f>HYPERLINK("https://vtmf.veevavault.com/ui/#doc_info/26523118/1/0", "VTMF-21237952")</f>
        <v>VTMF-21237952</v>
      </c>
      <c r="H882" s="3" t="inlineStr">
        <is>
          <t/>
        </is>
      </c>
      <c r="I882" s="3" t="inlineStr">
        <is>
          <t>System</t>
        </is>
      </c>
      <c r="J882" s="3" t="inlineStr">
        <is>
          <t>Lenka Placha</t>
        </is>
      </c>
      <c r="K882" s="4" t="n">
        <v>45457.52591435185</v>
      </c>
      <c r="L882" s="5" t="n">
        <v>45457.0</v>
      </c>
      <c r="M882" s="3" t="inlineStr">
        <is>
          <t>Approved</t>
        </is>
      </c>
      <c r="N882" s="3" t="inlineStr">
        <is>
          <t>Available for Distribution, Country Close, Site Close, Study Close</t>
        </is>
      </c>
      <c r="O882" s="3" t="inlineStr">
        <is>
          <t>Czech Republic</t>
        </is>
      </c>
      <c r="P882" s="3" t="inlineStr">
        <is>
          <t>Z92-CZ10009</t>
        </is>
      </c>
      <c r="Q882" s="3" t="inlineStr">
        <is>
          <t>77242113UCO2001</t>
        </is>
      </c>
    </row>
    <row r="883">
      <c r="A883" s="2" t="str">
        <f>HYPERLINK("https://vtmf.veevavault.com/ui/#doc_info/30067188/1/0", "77242113UCO2001-CZE-Z92-CZ10009-Relevant Communications-18 Sep 2025 (v1.0)")</f>
        <v>77242113UCO2001-CZE-Z92-CZ10009-Relevant Communications-18 Sep 2025 (v1.0)</v>
      </c>
      <c r="B883" s="3" t="inlineStr">
        <is>
          <t>Agnesa Ruiz Kajtarova</t>
        </is>
      </c>
      <c r="C883" s="3" t="inlineStr">
        <is>
          <t>Site Management</t>
        </is>
      </c>
      <c r="D883" s="3" t="inlineStr">
        <is>
          <t>General</t>
        </is>
      </c>
      <c r="E883" s="3" t="inlineStr">
        <is>
          <t>Relevant Communications</t>
        </is>
      </c>
      <c r="F883" s="3" t="inlineStr">
        <is>
          <t>Relevant Communication_New Lab Manual ver. 5.1_18Sep2025</t>
        </is>
      </c>
      <c r="G883" s="2" t="str">
        <f>HYPERLINK("https://vtmf.veevavault.com/ui/#doc_info/30067188/1/0", "VTMF-24201346")</f>
        <v>VTMF-24201346</v>
      </c>
      <c r="H883" s="3" t="inlineStr">
        <is>
          <t/>
        </is>
      </c>
      <c r="I883" s="3" t="inlineStr">
        <is>
          <t>System</t>
        </is>
      </c>
      <c r="J883" s="3" t="inlineStr">
        <is>
          <t>Agnesa Ruiz Kajtarova</t>
        </is>
      </c>
      <c r="K883" s="4" t="n">
        <v>45930.715775462966</v>
      </c>
      <c r="L883" s="5" t="n">
        <v>45930.0</v>
      </c>
      <c r="M883" s="3" t="inlineStr">
        <is>
          <t>Approved</t>
        </is>
      </c>
      <c r="N883" s="3" t="inlineStr">
        <is>
          <t>Available for Distribution, Country Close, Site Close, Study Close</t>
        </is>
      </c>
      <c r="O883" s="3" t="inlineStr">
        <is>
          <t>Czech Republic</t>
        </is>
      </c>
      <c r="P883" s="3" t="inlineStr">
        <is>
          <t>Z92-CZ10009</t>
        </is>
      </c>
      <c r="Q883" s="3" t="inlineStr">
        <is>
          <t>77242113UCO2001</t>
        </is>
      </c>
    </row>
    <row r="884">
      <c r="A884" s="2" t="str">
        <f>HYPERLINK("https://vtmf.veevavault.com/ui/#doc_info/28204558/1/0", "77242113UCO2001-CZE-Z92-CZ10009-Relevant Communications-20 Jan 2025 (v1.0)")</f>
        <v>77242113UCO2001-CZE-Z92-CZ10009-Relevant Communications-20 Jan 2025 (v1.0)</v>
      </c>
      <c r="B884" s="3" t="inlineStr">
        <is>
          <t>Lenka Placha</t>
        </is>
      </c>
      <c r="C884" s="3" t="inlineStr">
        <is>
          <t>Site Management</t>
        </is>
      </c>
      <c r="D884" s="3" t="inlineStr">
        <is>
          <t>General</t>
        </is>
      </c>
      <c r="E884" s="3" t="inlineStr">
        <is>
          <t>Relevant Communications</t>
        </is>
      </c>
      <c r="F884" s="3" t="inlineStr">
        <is>
          <t>email 20Jan25- information to Investigator about noncompliance in pt. visit planning_site Z92-CZ10009</t>
        </is>
      </c>
      <c r="G884" s="2" t="str">
        <f>HYPERLINK("https://vtmf.veevavault.com/ui/#doc_info/28204558/1/0", "VTMF-22620119")</f>
        <v>VTMF-22620119</v>
      </c>
      <c r="H884" s="3" t="inlineStr">
        <is>
          <t/>
        </is>
      </c>
      <c r="I884" s="3" t="inlineStr">
        <is>
          <t>System</t>
        </is>
      </c>
      <c r="J884" s="3" t="inlineStr">
        <is>
          <t>Lenka Placha</t>
        </is>
      </c>
      <c r="K884" s="4" t="n">
        <v>45688.901770833334</v>
      </c>
      <c r="L884" s="5" t="n">
        <v>45688.0</v>
      </c>
      <c r="M884" s="3" t="inlineStr">
        <is>
          <t>Approved</t>
        </is>
      </c>
      <c r="N884" s="3" t="inlineStr">
        <is>
          <t>Available for Distribution, Country Close, Site Close, Study Close</t>
        </is>
      </c>
      <c r="O884" s="3" t="inlineStr">
        <is>
          <t>Czech Republic</t>
        </is>
      </c>
      <c r="P884" s="3" t="inlineStr">
        <is>
          <t>Z92-CZ10009</t>
        </is>
      </c>
      <c r="Q884" s="3" t="inlineStr">
        <is>
          <t>77242113UCO2001</t>
        </is>
      </c>
    </row>
    <row r="885">
      <c r="A885" s="2" t="str">
        <f>HYPERLINK("https://vtmf.veevavault.com/ui/#doc_info/26726185/1/0", "77242113UCO2001-CZE-Z92-CZ10009-Relevant Communications-20 Jun 2024 (v1.0)")</f>
        <v>77242113UCO2001-CZE-Z92-CZ10009-Relevant Communications-20 Jun 2024 (v1.0)</v>
      </c>
      <c r="B885" s="3" t="inlineStr">
        <is>
          <t>Lenka Placha</t>
        </is>
      </c>
      <c r="C885" s="3" t="inlineStr">
        <is>
          <t>Site Management</t>
        </is>
      </c>
      <c r="D885" s="3" t="inlineStr">
        <is>
          <t>General</t>
        </is>
      </c>
      <c r="E885" s="3" t="inlineStr">
        <is>
          <t>Relevant Communications</t>
        </is>
      </c>
      <c r="F885" s="3" t="inlineStr">
        <is>
          <t>Cover letter_ICF-CZ-3 dat. 25Jan2024_site Z92-CZ10009-20Jun2024</t>
        </is>
      </c>
      <c r="G885" s="2" t="str">
        <f>HYPERLINK("https://vtmf.veevavault.com/ui/#doc_info/26726185/1/0", "VTMF-21415502")</f>
        <v>VTMF-21415502</v>
      </c>
      <c r="H885" s="3" t="inlineStr">
        <is>
          <t/>
        </is>
      </c>
      <c r="I885" s="3" t="inlineStr">
        <is>
          <t>Anthony Suarez (veeva.com)</t>
        </is>
      </c>
      <c r="J885" s="3" t="inlineStr">
        <is>
          <t>Lenka Placha</t>
        </is>
      </c>
      <c r="K885" s="4" t="n">
        <v>45490.84875</v>
      </c>
      <c r="L885" s="5" t="n">
        <v>45490.0</v>
      </c>
      <c r="M885" s="3" t="inlineStr">
        <is>
          <t>Approved</t>
        </is>
      </c>
      <c r="N885" s="3" t="inlineStr">
        <is>
          <t>Available for Distribution, Country Close, Site Close, Study Close</t>
        </is>
      </c>
      <c r="O885" s="3" t="inlineStr">
        <is>
          <t>Czech Republic</t>
        </is>
      </c>
      <c r="P885" s="3" t="inlineStr">
        <is>
          <t>Z92-CZ10009</t>
        </is>
      </c>
      <c r="Q885" s="3" t="inlineStr">
        <is>
          <t>77242113UCO2001</t>
        </is>
      </c>
    </row>
    <row r="886">
      <c r="A886" s="2" t="str">
        <f>HYPERLINK("https://vtmf.veevavault.com/ui/#doc_info/26610918/1/0", "77242113UCO2001-CZE-Z92-CZ10009-Relevant Communications-21 Jun 2024 (v1.0)")</f>
        <v>77242113UCO2001-CZE-Z92-CZ10009-Relevant Communications-21 Jun 2024 (v1.0)</v>
      </c>
      <c r="B886" s="3" t="inlineStr">
        <is>
          <t>Lenka Placha</t>
        </is>
      </c>
      <c r="C886" s="3" t="inlineStr">
        <is>
          <t>Site Management</t>
        </is>
      </c>
      <c r="D886" s="3" t="inlineStr">
        <is>
          <t>General</t>
        </is>
      </c>
      <c r="E886" s="3" t="inlineStr">
        <is>
          <t>Relevant Communications</t>
        </is>
      </c>
      <c r="F886" s="3" t="inlineStr">
        <is>
          <t>email 21Jun24-site Z92-CZ10009- issue with freezer- query for processing biopsy samples</t>
        </is>
      </c>
      <c r="G886" s="2" t="str">
        <f>HYPERLINK("https://vtmf.veevavault.com/ui/#doc_info/26610918/1/0", "VTMF-21314778")</f>
        <v>VTMF-21314778</v>
      </c>
      <c r="H886" s="3" t="inlineStr">
        <is>
          <t/>
        </is>
      </c>
      <c r="I886" s="3" t="inlineStr">
        <is>
          <t>System</t>
        </is>
      </c>
      <c r="J886" s="3" t="inlineStr">
        <is>
          <t>Lenka Placha</t>
        </is>
      </c>
      <c r="K886" s="4" t="n">
        <v>45470.9765625</v>
      </c>
      <c r="L886" s="5" t="n">
        <v>45470.0</v>
      </c>
      <c r="M886" s="3" t="inlineStr">
        <is>
          <t>Approved</t>
        </is>
      </c>
      <c r="N886" s="3" t="inlineStr">
        <is>
          <t>Available for Distribution, Country Close, Site Close, Study Close</t>
        </is>
      </c>
      <c r="O886" s="3" t="inlineStr">
        <is>
          <t>Czech Republic</t>
        </is>
      </c>
      <c r="P886" s="3" t="inlineStr">
        <is>
          <t>Z92-CZ10009</t>
        </is>
      </c>
      <c r="Q886" s="3" t="inlineStr">
        <is>
          <t>77242113UCO2001</t>
        </is>
      </c>
    </row>
    <row r="887">
      <c r="A887" s="2" t="str">
        <f>HYPERLINK("https://vtmf.veevavault.com/ui/#doc_info/26373016/1/0", "77242113UCO2001-CZE-Z92-CZ10009-Relevant Communications-22 May 2024 (v1.0)")</f>
        <v>77242113UCO2001-CZE-Z92-CZ10009-Relevant Communications-22 May 2024 (v1.0)</v>
      </c>
      <c r="B887" s="3" t="inlineStr">
        <is>
          <t>Vladimir Buzalka</t>
        </is>
      </c>
      <c r="C887" s="3" t="inlineStr">
        <is>
          <t>Site Management</t>
        </is>
      </c>
      <c r="D887" s="3" t="inlineStr">
        <is>
          <t>General</t>
        </is>
      </c>
      <c r="E887" s="3" t="inlineStr">
        <is>
          <t>Relevant Communications</t>
        </is>
      </c>
      <c r="F887" s="3" t="inlineStr">
        <is>
          <t>Principal Investigator (PI) Serious Breach reporting responsibilities under EU CTR notification; 22MAY2024</t>
        </is>
      </c>
      <c r="G887" s="2" t="str">
        <f>HYPERLINK("https://vtmf.veevavault.com/ui/#doc_info/26373016/1/0", "VTMF-21105605")</f>
        <v>VTMF-21105605</v>
      </c>
      <c r="H887" s="3" t="inlineStr">
        <is>
          <t/>
        </is>
      </c>
      <c r="I887" s="3" t="inlineStr">
        <is>
          <t>System</t>
        </is>
      </c>
      <c r="J887" s="3" t="inlineStr">
        <is>
          <t>Vladimir Buzalka</t>
        </is>
      </c>
      <c r="K887" s="4" t="n">
        <v>45434.49275462963</v>
      </c>
      <c r="L887" s="5" t="n">
        <v>45434.0</v>
      </c>
      <c r="M887" s="3" t="inlineStr">
        <is>
          <t>Approved</t>
        </is>
      </c>
      <c r="N887" s="3" t="inlineStr">
        <is>
          <t>Available for Distribution, Country Close, Site Close, Study Close</t>
        </is>
      </c>
      <c r="O887" s="3" t="inlineStr">
        <is>
          <t>Czech Republic</t>
        </is>
      </c>
      <c r="P887" s="3" t="inlineStr">
        <is>
          <t>Z92-CZ10009</t>
        </is>
      </c>
      <c r="Q887" s="3" t="inlineStr">
        <is>
          <t>77242113UCO2001</t>
        </is>
      </c>
    </row>
    <row r="888">
      <c r="A888" s="2" t="str">
        <f>HYPERLINK("https://vtmf.veevavault.com/ui/#doc_info/26379611/1/0", "77242113UCO2001-CZE-Z92-CZ10009-Relevant Communications-22 May 2024 (v1.0)")</f>
        <v>77242113UCO2001-CZE-Z92-CZ10009-Relevant Communications-22 May 2024 (v1.0)</v>
      </c>
      <c r="B888" s="3" t="inlineStr">
        <is>
          <t>Lenka Placha</t>
        </is>
      </c>
      <c r="C888" s="3" t="inlineStr">
        <is>
          <t>Site Management</t>
        </is>
      </c>
      <c r="D888" s="3" t="inlineStr">
        <is>
          <t>General</t>
        </is>
      </c>
      <c r="E888" s="3" t="inlineStr">
        <is>
          <t>Relevant Communications</t>
        </is>
      </c>
      <c r="F888" s="3" t="inlineStr">
        <is>
          <t>email 22May24- site confirmed that they are able to read CDs_site Z92-CZ10009</t>
        </is>
      </c>
      <c r="G888" s="2" t="str">
        <f>HYPERLINK("https://vtmf.veevavault.com/ui/#doc_info/26379611/1/0", "VTMF-21111219")</f>
        <v>VTMF-21111219</v>
      </c>
      <c r="H888" s="3" t="inlineStr">
        <is>
          <t/>
        </is>
      </c>
      <c r="I888" s="3" t="inlineStr">
        <is>
          <t>System</t>
        </is>
      </c>
      <c r="J888" s="3" t="inlineStr">
        <is>
          <t>Lenka Placha</t>
        </is>
      </c>
      <c r="K888" s="4" t="n">
        <v>45435.32585648148</v>
      </c>
      <c r="L888" s="5" t="n">
        <v>45435.0</v>
      </c>
      <c r="M888" s="3" t="inlineStr">
        <is>
          <t>Approved</t>
        </is>
      </c>
      <c r="N888" s="3" t="inlineStr">
        <is>
          <t>Available for Distribution, Country Close, Site Close, Study Close</t>
        </is>
      </c>
      <c r="O888" s="3" t="inlineStr">
        <is>
          <t>Czech Republic</t>
        </is>
      </c>
      <c r="P888" s="3" t="inlineStr">
        <is>
          <t>Z92-CZ10009</t>
        </is>
      </c>
      <c r="Q888" s="3" t="inlineStr">
        <is>
          <t>77242113UCO2001</t>
        </is>
      </c>
    </row>
    <row r="889">
      <c r="A889" s="2" t="str">
        <f>HYPERLINK("https://vtmf.veevavault.com/ui/#doc_info/26388908/1/0", "77242113UCO2001-CZE-Z92-CZ10009-Relevant Communications-23 May 2024 (v1.0)")</f>
        <v>77242113UCO2001-CZE-Z92-CZ10009-Relevant Communications-23 May 2024 (v1.0)</v>
      </c>
      <c r="B889" s="3" t="inlineStr">
        <is>
          <t>Lenka Placha</t>
        </is>
      </c>
      <c r="C889" s="3" t="inlineStr">
        <is>
          <t>Site Management</t>
        </is>
      </c>
      <c r="D889" s="3" t="inlineStr">
        <is>
          <t>General</t>
        </is>
      </c>
      <c r="E889" s="3" t="inlineStr">
        <is>
          <t>Relevant Communications</t>
        </is>
      </c>
      <c r="F889" s="3" t="inlineStr">
        <is>
          <t>email 23May24- pharmacy information that they are not able to read CDs_site Z92-CZ10009</t>
        </is>
      </c>
      <c r="G889" s="2" t="str">
        <f>HYPERLINK("https://vtmf.veevavault.com/ui/#doc_info/26388908/1/0", "VTMF-21119448")</f>
        <v>VTMF-21119448</v>
      </c>
      <c r="H889" s="3" t="inlineStr">
        <is>
          <t/>
        </is>
      </c>
      <c r="I889" s="3" t="inlineStr">
        <is>
          <t>System</t>
        </is>
      </c>
      <c r="J889" s="3" t="inlineStr">
        <is>
          <t>Lenka Placha</t>
        </is>
      </c>
      <c r="K889" s="4" t="n">
        <v>45436.348912037036</v>
      </c>
      <c r="L889" s="5" t="n">
        <v>45436.0</v>
      </c>
      <c r="M889" s="3" t="inlineStr">
        <is>
          <t>Approved</t>
        </is>
      </c>
      <c r="N889" s="3" t="inlineStr">
        <is>
          <t>Available for Distribution, Country Close, Site Close, Study Close</t>
        </is>
      </c>
      <c r="O889" s="3" t="inlineStr">
        <is>
          <t>Czech Republic</t>
        </is>
      </c>
      <c r="P889" s="3" t="inlineStr">
        <is>
          <t>Z92-CZ10009</t>
        </is>
      </c>
      <c r="Q889" s="3" t="inlineStr">
        <is>
          <t>77242113UCO2001</t>
        </is>
      </c>
    </row>
    <row r="890">
      <c r="A890" s="2" t="str">
        <f>HYPERLINK("https://vtmf.veevavault.com/ui/#doc_info/28989981/1/0", "77242113UCO2001-CZE-Z92-CZ10009-Relevant Communications-25 Apr 2025 (v1.0)")</f>
        <v>77242113UCO2001-CZE-Z92-CZ10009-Relevant Communications-25 Apr 2025 (v1.0)</v>
      </c>
      <c r="B890" s="3" t="inlineStr">
        <is>
          <t>Lenka Placha</t>
        </is>
      </c>
      <c r="C890" s="3" t="inlineStr">
        <is>
          <t>Site Management</t>
        </is>
      </c>
      <c r="D890" s="3" t="inlineStr">
        <is>
          <t>General</t>
        </is>
      </c>
      <c r="E890" s="3" t="inlineStr">
        <is>
          <t>Relevant Communications</t>
        </is>
      </c>
      <c r="F890" s="3" t="inlineStr">
        <is>
          <t>TCR_retraining SI Dr.Falc- ED visit -protocol procedures_25Apr25</t>
        </is>
      </c>
      <c r="G890" s="2" t="str">
        <f>HYPERLINK("https://vtmf.veevavault.com/ui/#doc_info/28989981/1/0", "VTMF-23289192")</f>
        <v>VTMF-23289192</v>
      </c>
      <c r="H890" s="3" t="inlineStr">
        <is>
          <t/>
        </is>
      </c>
      <c r="I890" s="3" t="inlineStr">
        <is>
          <t>System</t>
        </is>
      </c>
      <c r="J890" s="3" t="inlineStr">
        <is>
          <t>Lenka Placha</t>
        </is>
      </c>
      <c r="K890" s="4" t="n">
        <v>45775.39207175926</v>
      </c>
      <c r="L890" s="5" t="n">
        <v>45775.0</v>
      </c>
      <c r="M890" s="3" t="inlineStr">
        <is>
          <t>Approved</t>
        </is>
      </c>
      <c r="N890" s="3" t="inlineStr">
        <is>
          <t>Available for Distribution, Country Close, Site Close, Study Close</t>
        </is>
      </c>
      <c r="O890" s="3" t="inlineStr">
        <is>
          <t>Czech Republic</t>
        </is>
      </c>
      <c r="P890" s="3" t="inlineStr">
        <is>
          <t>Z92-CZ10009</t>
        </is>
      </c>
      <c r="Q890" s="3" t="inlineStr">
        <is>
          <t>77242113UCO2001</t>
        </is>
      </c>
    </row>
    <row r="891">
      <c r="A891" s="2" t="str">
        <f>HYPERLINK("https://vtmf.veevavault.com/ui/#doc_info/28736620/1/0", "77242113UCO2001-CZE-Z92-CZ10009-Relevant Communications-25 Mar 2025 (v1.0)")</f>
        <v>77242113UCO2001-CZE-Z92-CZ10009-Relevant Communications-25 Mar 2025 (v1.0)</v>
      </c>
      <c r="B891" s="3" t="inlineStr">
        <is>
          <t>Lenka Placha</t>
        </is>
      </c>
      <c r="C891" s="3" t="inlineStr">
        <is>
          <t>Site Management</t>
        </is>
      </c>
      <c r="D891" s="3" t="inlineStr">
        <is>
          <t>General</t>
        </is>
      </c>
      <c r="E891" s="3" t="inlineStr">
        <is>
          <t>Relevant Communications</t>
        </is>
      </c>
      <c r="F891" s="3" t="inlineStr">
        <is>
          <t>email 25Mar25- SM sent to site updated Safety data sheet, PQR and TOR instruction_site Z92-CZ10009</t>
        </is>
      </c>
      <c r="G891" s="2" t="str">
        <f>HYPERLINK("https://vtmf.veevavault.com/ui/#doc_info/28736620/1/0", "VTMF-23086478")</f>
        <v>VTMF-23086478</v>
      </c>
      <c r="H891" s="3" t="inlineStr">
        <is>
          <t/>
        </is>
      </c>
      <c r="I891" s="3" t="inlineStr">
        <is>
          <t>System</t>
        </is>
      </c>
      <c r="J891" s="3" t="inlineStr">
        <is>
          <t>Lenka Placha</t>
        </is>
      </c>
      <c r="K891" s="4" t="n">
        <v>45741.57011574074</v>
      </c>
      <c r="L891" s="5" t="n">
        <v>45741.0</v>
      </c>
      <c r="M891" s="3" t="inlineStr">
        <is>
          <t>Approved</t>
        </is>
      </c>
      <c r="N891" s="3" t="inlineStr">
        <is>
          <t>Available for Distribution, Country Close, Site Close, Study Close</t>
        </is>
      </c>
      <c r="O891" s="3" t="inlineStr">
        <is>
          <t>Czech Republic</t>
        </is>
      </c>
      <c r="P891" s="3" t="inlineStr">
        <is>
          <t>Z92-CZ10009</t>
        </is>
      </c>
      <c r="Q891" s="3" t="inlineStr">
        <is>
          <t>77242113UCO2001</t>
        </is>
      </c>
    </row>
    <row r="892">
      <c r="A892" s="2" t="str">
        <f>HYPERLINK("https://vtmf.veevavault.com/ui/#doc_info/28992496/1/0", "77242113UCO2001-CZE-Z92-CZ10009-Relevant Communications-28 Apr 2025 (v1.0)")</f>
        <v>77242113UCO2001-CZE-Z92-CZ10009-Relevant Communications-28 Apr 2025 (v1.0)</v>
      </c>
      <c r="B892" s="3" t="inlineStr">
        <is>
          <t>Lenka Placha</t>
        </is>
      </c>
      <c r="C892" s="3" t="inlineStr">
        <is>
          <t>Site Management</t>
        </is>
      </c>
      <c r="D892" s="3" t="inlineStr">
        <is>
          <t>General</t>
        </is>
      </c>
      <c r="E892" s="3" t="inlineStr">
        <is>
          <t>Relevant Communications</t>
        </is>
      </c>
      <c r="F892" s="3" t="inlineStr">
        <is>
          <t>email 28Apr25- PI confirmation of loss of IB Ed6 shipment to pharmacy from 03Feb25</t>
        </is>
      </c>
      <c r="G892" s="2" t="str">
        <f>HYPERLINK("https://vtmf.veevavault.com/ui/#doc_info/28992496/1/0", "VTMF-23291311")</f>
        <v>VTMF-23291311</v>
      </c>
      <c r="H892" s="3" t="inlineStr">
        <is>
          <t/>
        </is>
      </c>
      <c r="I892" s="3" t="inlineStr">
        <is>
          <t>System</t>
        </is>
      </c>
      <c r="J892" s="3" t="inlineStr">
        <is>
          <t>Lenka Placha</t>
        </is>
      </c>
      <c r="K892" s="4" t="n">
        <v>45775.632997685185</v>
      </c>
      <c r="L892" s="5" t="n">
        <v>45775.0</v>
      </c>
      <c r="M892" s="3" t="inlineStr">
        <is>
          <t>Approved</t>
        </is>
      </c>
      <c r="N892" s="3" t="inlineStr">
        <is>
          <t>Available for Distribution, Country Close, Site Close, Study Close</t>
        </is>
      </c>
      <c r="O892" s="3" t="inlineStr">
        <is>
          <t>Czech Republic</t>
        </is>
      </c>
      <c r="P892" s="3" t="inlineStr">
        <is>
          <t>Z92-CZ10009</t>
        </is>
      </c>
      <c r="Q892" s="3" t="inlineStr">
        <is>
          <t>77242113UCO2001</t>
        </is>
      </c>
    </row>
    <row r="893">
      <c r="A893" s="2" t="str">
        <f>HYPERLINK("https://vtmf.veevavault.com/ui/#doc_info/25600056/1/0", "77242113UCO2001-CZE-Z92-CZ10009-Relevant Communications-29 Jan 2024 (v1.0)")</f>
        <v>77242113UCO2001-CZE-Z92-CZ10009-Relevant Communications-29 Jan 2024 (v1.0)</v>
      </c>
      <c r="B893" s="3" t="inlineStr">
        <is>
          <t>Lenka Placha</t>
        </is>
      </c>
      <c r="C893" s="3" t="inlineStr">
        <is>
          <t>Site Management</t>
        </is>
      </c>
      <c r="D893" s="3" t="inlineStr">
        <is>
          <t>General</t>
        </is>
      </c>
      <c r="E893" s="3" t="inlineStr">
        <is>
          <t>Relevant Communications</t>
        </is>
      </c>
      <c r="F893" s="3" t="inlineStr">
        <is>
          <t>email 29Jan24_site Z92-CZ10009- important information to PI about pharmacokinetics and using spare IP tbl</t>
        </is>
      </c>
      <c r="G893" s="2" t="str">
        <f>HYPERLINK("https://vtmf.veevavault.com/ui/#doc_info/25600056/1/0", "VTMF-20426795")</f>
        <v>VTMF-20426795</v>
      </c>
      <c r="H893" s="3" t="inlineStr">
        <is>
          <t/>
        </is>
      </c>
      <c r="I893" s="3" t="inlineStr">
        <is>
          <t>System</t>
        </is>
      </c>
      <c r="J893" s="3" t="inlineStr">
        <is>
          <t>Lenka Placha</t>
        </is>
      </c>
      <c r="K893" s="4" t="n">
        <v>45320.987233796295</v>
      </c>
      <c r="L893" s="5" t="n">
        <v>45320.0</v>
      </c>
      <c r="M893" s="3" t="inlineStr">
        <is>
          <t>Approved</t>
        </is>
      </c>
      <c r="N893" s="3" t="inlineStr">
        <is>
          <t>Available for Distribution, Country Close, Site Close, Study Close</t>
        </is>
      </c>
      <c r="O893" s="3" t="inlineStr">
        <is>
          <t>Czech Republic</t>
        </is>
      </c>
      <c r="P893" s="3" t="inlineStr">
        <is>
          <t>Z92-CZ10009</t>
        </is>
      </c>
      <c r="Q893" s="3" t="inlineStr">
        <is>
          <t>77242113UCO2001</t>
        </is>
      </c>
    </row>
    <row r="894">
      <c r="A894" s="2" t="str">
        <f>HYPERLINK("https://vtmf.veevavault.com/ui/#doc_info/26376742/1/0", "77242113UCO2001-CZE-Z92-CZ10009-Relevant Communications-30 Apr 2024 (v1.0)")</f>
        <v>77242113UCO2001-CZE-Z92-CZ10009-Relevant Communications-30 Apr 2024 (v1.0)</v>
      </c>
      <c r="B894" s="3" t="inlineStr">
        <is>
          <t>Lenka Placha</t>
        </is>
      </c>
      <c r="C894" s="3" t="inlineStr">
        <is>
          <t>Site Management</t>
        </is>
      </c>
      <c r="D894" s="3" t="inlineStr">
        <is>
          <t>General</t>
        </is>
      </c>
      <c r="E894" s="3" t="inlineStr">
        <is>
          <t>Relevant Communications</t>
        </is>
      </c>
      <c r="F894" s="3" t="inlineStr">
        <is>
          <t>email 30Apr 24- information to site- SRP approval- pt.CZ100090002 can continue in study even if she  doesn't meet IC No.3_site Z92-CZ10009</t>
        </is>
      </c>
      <c r="G894" s="2" t="str">
        <f>HYPERLINK("https://vtmf.veevavault.com/ui/#doc_info/26376742/1/0", "VTMF-21108885")</f>
        <v>VTMF-21108885</v>
      </c>
      <c r="H894" s="3" t="inlineStr">
        <is>
          <t/>
        </is>
      </c>
      <c r="I894" s="3" t="inlineStr">
        <is>
          <t>Lenka Placha</t>
        </is>
      </c>
      <c r="J894" s="3" t="inlineStr">
        <is>
          <t>Lenka Placha</t>
        </is>
      </c>
      <c r="K894" s="4" t="n">
        <v>45434.87327546296</v>
      </c>
      <c r="L894" s="5" t="n">
        <v>45434.0</v>
      </c>
      <c r="M894" s="3" t="inlineStr">
        <is>
          <t>Approved</t>
        </is>
      </c>
      <c r="N894" s="3" t="inlineStr">
        <is>
          <t>Available for Distribution, Country Close, Site Close, Study Close</t>
        </is>
      </c>
      <c r="O894" s="3" t="inlineStr">
        <is>
          <t>Czech Republic</t>
        </is>
      </c>
      <c r="P894" s="3" t="inlineStr">
        <is>
          <t>Z92-CZ10009</t>
        </is>
      </c>
      <c r="Q894" s="3" t="inlineStr">
        <is>
          <t>77242113UCO2001</t>
        </is>
      </c>
    </row>
    <row r="895">
      <c r="A895" s="2" t="str">
        <f>HYPERLINK("https://vtmf.veevavault.com/ui/#doc_info/26376951/1/0", "77242113UCO2001-CZE-Z92-CZ10009-Relevant Communications-30 Apr 2024 (v1.0)")</f>
        <v>77242113UCO2001-CZE-Z92-CZ10009-Relevant Communications-30 Apr 2024 (v1.0)</v>
      </c>
      <c r="B895" s="3" t="inlineStr">
        <is>
          <t>Lenka Placha</t>
        </is>
      </c>
      <c r="C895" s="3" t="inlineStr">
        <is>
          <t>Site Management</t>
        </is>
      </c>
      <c r="D895" s="3" t="inlineStr">
        <is>
          <t>General</t>
        </is>
      </c>
      <c r="E895" s="3" t="inlineStr">
        <is>
          <t>Relevant Communications</t>
        </is>
      </c>
      <c r="F895" s="3" t="inlineStr">
        <is>
          <t>30Apr24- SRP approval pt.CZ100090002 to continue in the study even if she  doesn't meet IC No.3</t>
        </is>
      </c>
      <c r="G895" s="2" t="str">
        <f>HYPERLINK("https://vtmf.veevavault.com/ui/#doc_info/26376951/1/0", "VTMF-21108931")</f>
        <v>VTMF-21108931</v>
      </c>
      <c r="H895" s="3" t="inlineStr">
        <is>
          <t/>
        </is>
      </c>
      <c r="I895" s="3" t="inlineStr">
        <is>
          <t>System</t>
        </is>
      </c>
      <c r="J895" s="3" t="inlineStr">
        <is>
          <t>Lenka Placha</t>
        </is>
      </c>
      <c r="K895" s="4" t="n">
        <v>45434.8812962963</v>
      </c>
      <c r="L895" s="5" t="n">
        <v>45434.0</v>
      </c>
      <c r="M895" s="3" t="inlineStr">
        <is>
          <t>Approved</t>
        </is>
      </c>
      <c r="N895" s="3" t="inlineStr">
        <is>
          <t>Available for Distribution, Country Close, Site Close, Study Close</t>
        </is>
      </c>
      <c r="O895" s="3" t="inlineStr">
        <is>
          <t>Czech Republic</t>
        </is>
      </c>
      <c r="P895" s="3" t="inlineStr">
        <is>
          <t>Z92-CZ10009</t>
        </is>
      </c>
      <c r="Q895" s="3" t="inlineStr">
        <is>
          <t>77242113UCO2001</t>
        </is>
      </c>
    </row>
    <row r="896">
      <c r="A896" s="2" t="str">
        <f>HYPERLINK("https://vtmf.veevavault.com/ui/#doc_info/25613846/1/0", "77242113UCO2001-CZE-Z92-CZ10009-RTSM System Faxes or RTSM System Emails-20 Jan 2024 (v1.0)")</f>
        <v>77242113UCO2001-CZE-Z92-CZ10009-RTSM System Faxes or RTSM System Emails-20 Jan 2024 (v1.0)</v>
      </c>
      <c r="B896" s="3" t="inlineStr">
        <is>
          <t>Lenka Placha</t>
        </is>
      </c>
      <c r="C896" s="3" t="inlineStr">
        <is>
          <t>IP and Trial Supplies</t>
        </is>
      </c>
      <c r="D896" s="3" t="inlineStr">
        <is>
          <t>Interactive Response Technology</t>
        </is>
      </c>
      <c r="E896" s="3" t="inlineStr">
        <is>
          <t>RTSM System Faxes or RTSM System Emails</t>
        </is>
      </c>
      <c r="F896" s="3" t="inlineStr">
        <is>
          <t>IWRS email- site activation-20Jan24</t>
        </is>
      </c>
      <c r="G896" s="2" t="str">
        <f>HYPERLINK("https://vtmf.veevavault.com/ui/#doc_info/25613846/1/0", "VTMF-20438771")</f>
        <v>VTMF-20438771</v>
      </c>
      <c r="H896" s="3" t="inlineStr">
        <is>
          <t/>
        </is>
      </c>
      <c r="I896" s="3" t="inlineStr">
        <is>
          <t>Anthony Suarez (veeva.com)</t>
        </is>
      </c>
      <c r="J896" s="3" t="inlineStr">
        <is>
          <t>Lenka Placha</t>
        </is>
      </c>
      <c r="K896" s="4" t="n">
        <v>45322.52326388889</v>
      </c>
      <c r="L896" s="5" t="n">
        <v>45322.0</v>
      </c>
      <c r="M896" s="3" t="inlineStr">
        <is>
          <t>Approved</t>
        </is>
      </c>
      <c r="N896" s="3" t="inlineStr">
        <is>
          <t>Not associated to a milestone</t>
        </is>
      </c>
      <c r="O896" s="3" t="inlineStr">
        <is>
          <t>Czech Republic</t>
        </is>
      </c>
      <c r="P896" s="3" t="inlineStr">
        <is>
          <t>Z92-CZ10009</t>
        </is>
      </c>
      <c r="Q896" s="3" t="inlineStr">
        <is>
          <t>77242113UCO2001</t>
        </is>
      </c>
    </row>
    <row r="897">
      <c r="A897" s="2" t="str">
        <f>HYPERLINK("https://vtmf.veevavault.com/ui/#doc_info/26916405/1/0", "77242113UCO2001-CZE-Z92-CZ10009-Serious Adverse Event (SAE) JEISR Package (v1.0)")</f>
        <v>77242113UCO2001-CZE-Z92-CZ10009-Serious Adverse Event (SAE) JEISR Package (v1.0)</v>
      </c>
      <c r="B897" s="3" t="inlineStr">
        <is>
          <t>vi-1156 Bot</t>
        </is>
      </c>
      <c r="C897" s="3" t="inlineStr">
        <is>
          <t>Safety Reporting</t>
        </is>
      </c>
      <c r="D897" s="3" t="inlineStr">
        <is>
          <t>Trial Status Reporting</t>
        </is>
      </c>
      <c r="E897" s="3" t="inlineStr">
        <is>
          <t>Serious Adverse Event (SAE) JEISR Package</t>
        </is>
      </c>
      <c r="F897" s="3" t="inlineStr">
        <is>
          <t>SAE Package_CZ100090001_CZE-Z92-CZ10009-2024-77242113UCO2001000001_WORSENING OF UC_Initial_20240813</t>
        </is>
      </c>
      <c r="G897" s="2" t="str">
        <f>HYPERLINK("https://vtmf.veevavault.com/ui/#doc_info/26916405/1/0", "VTMF-21576405")</f>
        <v>VTMF-21576405</v>
      </c>
      <c r="H897" s="3" t="inlineStr">
        <is>
          <t/>
        </is>
      </c>
      <c r="I897" s="3" t="inlineStr">
        <is>
          <t>Emma Hanmer (veeva.com)</t>
        </is>
      </c>
      <c r="J897" s="3" t="inlineStr">
        <is>
          <t>vi-1156 Bot</t>
        </is>
      </c>
      <c r="K897" s="4" t="n">
        <v>45524.23253472222</v>
      </c>
      <c r="L897" s="5" t="n">
        <v>45524.0</v>
      </c>
      <c r="M897" s="3" t="inlineStr">
        <is>
          <t>Approved</t>
        </is>
      </c>
      <c r="N897" s="3" t="inlineStr">
        <is>
          <t>Available for Distribution, CLIX Filing, Site Close</t>
        </is>
      </c>
      <c r="O897" s="3" t="inlineStr">
        <is>
          <t>Czech Republic</t>
        </is>
      </c>
      <c r="P897" s="3" t="inlineStr">
        <is>
          <t>Z92-CZ10009</t>
        </is>
      </c>
      <c r="Q897" s="3" t="inlineStr">
        <is>
          <t>77242113UCO2001</t>
        </is>
      </c>
    </row>
    <row r="898">
      <c r="A898" s="2" t="str">
        <f>HYPERLINK("https://vtmf.veevavault.com/ui/#doc_info/26931154/1/0", "77242113UCO2001-CZE-Z92-CZ10009-Serious Adverse Event (SAE) JEISR Package (v1.0)")</f>
        <v>77242113UCO2001-CZE-Z92-CZ10009-Serious Adverse Event (SAE) JEISR Package (v1.0)</v>
      </c>
      <c r="B898" s="3" t="inlineStr">
        <is>
          <t>vi-1156 Bot</t>
        </is>
      </c>
      <c r="C898" s="3" t="inlineStr">
        <is>
          <t>Safety Reporting</t>
        </is>
      </c>
      <c r="D898" s="3" t="inlineStr">
        <is>
          <t>Trial Status Reporting</t>
        </is>
      </c>
      <c r="E898" s="3" t="inlineStr">
        <is>
          <t>Serious Adverse Event (SAE) JEISR Package</t>
        </is>
      </c>
      <c r="F898" s="3" t="inlineStr">
        <is>
          <t>SAE Package_CZ100090001_CZE-Z92-CZ10009-2024-77242113UCO2001000001_no serious adverse event_Follow up 1_</t>
        </is>
      </c>
      <c r="G898" s="2" t="str">
        <f>HYPERLINK("https://vtmf.veevavault.com/ui/#doc_info/26931154/1/0", "VTMF-21588342")</f>
        <v>VTMF-21588342</v>
      </c>
      <c r="H898" s="3" t="inlineStr">
        <is>
          <t/>
        </is>
      </c>
      <c r="I898" s="3" t="inlineStr">
        <is>
          <t>Emma Hanmer (veeva.com)</t>
        </is>
      </c>
      <c r="J898" s="3" t="inlineStr">
        <is>
          <t>vi-1156 Bot</t>
        </is>
      </c>
      <c r="K898" s="4" t="n">
        <v>45526.130740740744</v>
      </c>
      <c r="L898" s="5" t="n">
        <v>45526.0</v>
      </c>
      <c r="M898" s="3" t="inlineStr">
        <is>
          <t>Approved</t>
        </is>
      </c>
      <c r="N898" s="3" t="inlineStr">
        <is>
          <t>Available for Distribution, CLIX Filing, Site Close</t>
        </is>
      </c>
      <c r="O898" s="3" t="inlineStr">
        <is>
          <t>Czech Republic</t>
        </is>
      </c>
      <c r="P898" s="3" t="inlineStr">
        <is>
          <t>Z92-CZ10009</t>
        </is>
      </c>
      <c r="Q898" s="3" t="inlineStr">
        <is>
          <t>77242113UCO2001</t>
        </is>
      </c>
    </row>
    <row r="899">
      <c r="A899" s="2" t="str">
        <f>HYPERLINK("https://vtmf.veevavault.com/ui/#doc_info/31138996/1/0", "77242113UCO2001-CZE-Z92-CZ10009-Shipment Records-08 Jan 2026 (v1.0)")</f>
        <v>77242113UCO2001-CZE-Z92-CZ10009-Shipment Records-08 Jan 2026 (v1.0)</v>
      </c>
      <c r="B899" s="3" t="inlineStr">
        <is>
          <t>Bela Lukavcová</t>
        </is>
      </c>
      <c r="C899" s="3" t="inlineStr">
        <is>
          <t>Centralized Testing</t>
        </is>
      </c>
      <c r="D899" s="3" t="inlineStr">
        <is>
          <t>Sample Documentation</t>
        </is>
      </c>
      <c r="E899" s="3" t="inlineStr">
        <is>
          <t>Shipment Records</t>
        </is>
      </c>
      <c r="F899" s="3" t="inlineStr">
        <is>
          <t>Biological Sample Storage and Shipment Form_CZ10009003_08Dec2026</t>
        </is>
      </c>
      <c r="G899" s="2" t="str">
        <f>HYPERLINK("https://vtmf.veevavault.com/ui/#doc_info/31138996/1/0", "VTMF-25106327")</f>
        <v>VTMF-25106327</v>
      </c>
      <c r="H899" s="3" t="inlineStr">
        <is>
          <t/>
        </is>
      </c>
      <c r="I899" s="3" t="inlineStr">
        <is>
          <t>Bela Lukavcová</t>
        </is>
      </c>
      <c r="J899" s="3" t="inlineStr">
        <is>
          <t>Bela Lukavcová</t>
        </is>
      </c>
      <c r="K899" s="4" t="n">
        <v>46090.55086805556</v>
      </c>
      <c r="L899" s="5" t="n">
        <v>46090.0</v>
      </c>
      <c r="M899" s="3" t="inlineStr">
        <is>
          <t>Approved</t>
        </is>
      </c>
      <c r="N899" s="3" t="inlineStr">
        <is>
          <t>Study Start</t>
        </is>
      </c>
      <c r="O899" s="3" t="inlineStr">
        <is>
          <t>Czech Republic</t>
        </is>
      </c>
      <c r="P899" s="3" t="inlineStr">
        <is>
          <t>Z92-CZ10009</t>
        </is>
      </c>
      <c r="Q899" s="3" t="inlineStr">
        <is>
          <t>77242113UCO2001</t>
        </is>
      </c>
    </row>
    <row r="900">
      <c r="A900" s="2" t="str">
        <f>HYPERLINK("https://vtmf.veevavault.com/ui/#doc_info/31139105/1/0", "77242113UCO2001-CZE-Z92-CZ10009-Shipment Records-13 Oct 2025 (v1.0)")</f>
        <v>77242113UCO2001-CZE-Z92-CZ10009-Shipment Records-13 Oct 2025 (v1.0)</v>
      </c>
      <c r="B900" s="3" t="inlineStr">
        <is>
          <t>Bela Lukavcová</t>
        </is>
      </c>
      <c r="C900" s="3" t="inlineStr">
        <is>
          <t>Centralized Testing</t>
        </is>
      </c>
      <c r="D900" s="3" t="inlineStr">
        <is>
          <t>Sample Documentation</t>
        </is>
      </c>
      <c r="E900" s="3" t="inlineStr">
        <is>
          <t>Shipment Records</t>
        </is>
      </c>
      <c r="F900" s="3" t="inlineStr">
        <is>
          <t>Biological Sample Storage and Shipment Form_CZ10009002_13Oct2025</t>
        </is>
      </c>
      <c r="G900" s="2" t="str">
        <f>HYPERLINK("https://vtmf.veevavault.com/ui/#doc_info/31139105/1/0", "VTMF-25106350")</f>
        <v>VTMF-25106350</v>
      </c>
      <c r="H900" s="3" t="inlineStr">
        <is>
          <t/>
        </is>
      </c>
      <c r="I900" s="3" t="inlineStr">
        <is>
          <t>Bela Lukavcová</t>
        </is>
      </c>
      <c r="J900" s="3" t="inlineStr">
        <is>
          <t>Bela Lukavcová</t>
        </is>
      </c>
      <c r="K900" s="4" t="n">
        <v>46090.55394675926</v>
      </c>
      <c r="L900" s="5" t="n">
        <v>46090.0</v>
      </c>
      <c r="M900" s="3" t="inlineStr">
        <is>
          <t>Approved</t>
        </is>
      </c>
      <c r="N900" s="3" t="inlineStr">
        <is>
          <t>Study Start</t>
        </is>
      </c>
      <c r="O900" s="3" t="inlineStr">
        <is>
          <t>Czech Republic</t>
        </is>
      </c>
      <c r="P900" s="3" t="inlineStr">
        <is>
          <t>Z92-CZ10009</t>
        </is>
      </c>
      <c r="Q900" s="3" t="inlineStr">
        <is>
          <t>77242113UCO2001</t>
        </is>
      </c>
    </row>
    <row r="901">
      <c r="A901" s="2" t="str">
        <f>HYPERLINK("https://vtmf.veevavault.com/ui/#doc_info/31138991/1/0", "77242113UCO2001-CZE-Z92-CZ10009-Shipment Records-25 Sep 2025 (v1.0)")</f>
        <v>77242113UCO2001-CZE-Z92-CZ10009-Shipment Records-25 Sep 2025 (v1.0)</v>
      </c>
      <c r="B901" s="3" t="inlineStr">
        <is>
          <t>Bela Lukavcová</t>
        </is>
      </c>
      <c r="C901" s="3" t="inlineStr">
        <is>
          <t>Centralized Testing</t>
        </is>
      </c>
      <c r="D901" s="3" t="inlineStr">
        <is>
          <t>Sample Documentation</t>
        </is>
      </c>
      <c r="E901" s="3" t="inlineStr">
        <is>
          <t>Shipment Records</t>
        </is>
      </c>
      <c r="F901" s="3" t="inlineStr">
        <is>
          <t>Biological Sample Storage Shipment Form_CZ10009004_25Sep2025</t>
        </is>
      </c>
      <c r="G901" s="2" t="str">
        <f>HYPERLINK("https://vtmf.veevavault.com/ui/#doc_info/31138991/1/0", "VTMF-25106307")</f>
        <v>VTMF-25106307</v>
      </c>
      <c r="H901" s="3" t="inlineStr">
        <is>
          <t/>
        </is>
      </c>
      <c r="I901" s="3" t="inlineStr">
        <is>
          <t>Bela Lukavcová</t>
        </is>
      </c>
      <c r="J901" s="3" t="inlineStr">
        <is>
          <t>Bela Lukavcová</t>
        </is>
      </c>
      <c r="K901" s="4" t="n">
        <v>46090.54760416667</v>
      </c>
      <c r="L901" s="5" t="n">
        <v>46090.0</v>
      </c>
      <c r="M901" s="3" t="inlineStr">
        <is>
          <t>Approved</t>
        </is>
      </c>
      <c r="N901" s="3" t="inlineStr">
        <is>
          <t>Study Start</t>
        </is>
      </c>
      <c r="O901" s="3" t="inlineStr">
        <is>
          <t>Czech Republic</t>
        </is>
      </c>
      <c r="P901" s="3" t="inlineStr">
        <is>
          <t>Z92-CZ10009</t>
        </is>
      </c>
      <c r="Q901" s="3" t="inlineStr">
        <is>
          <t>77242113UCO2001</t>
        </is>
      </c>
    </row>
    <row r="902">
      <c r="A902" s="2" t="str">
        <f>HYPERLINK("https://vtmf.veevavault.com/ui/#doc_info/31137708/1/0", "77242113UCO2001-CZE-Z92-CZ10009-Shipment Records-28 Sep 2025 (v1.0)")</f>
        <v>77242113UCO2001-CZE-Z92-CZ10009-Shipment Records-28 Sep 2025 (v1.0)</v>
      </c>
      <c r="B902" s="3" t="inlineStr">
        <is>
          <t>Bela Lukavcová</t>
        </is>
      </c>
      <c r="C902" s="3" t="inlineStr">
        <is>
          <t>Centralized Testing</t>
        </is>
      </c>
      <c r="D902" s="3" t="inlineStr">
        <is>
          <t>Sample Documentation</t>
        </is>
      </c>
      <c r="E902" s="3" t="inlineStr">
        <is>
          <t>Shipment Records</t>
        </is>
      </c>
      <c r="F902" s="3" t="inlineStr">
        <is>
          <t>Biological Sample Storage and Shipment Form_28Sep2025</t>
        </is>
      </c>
      <c r="G902" s="2" t="str">
        <f>HYPERLINK("https://vtmf.veevavault.com/ui/#doc_info/31137708/1/0", "VTMF-25105184")</f>
        <v>VTMF-25105184</v>
      </c>
      <c r="H902" s="3" t="inlineStr">
        <is>
          <t/>
        </is>
      </c>
      <c r="I902" s="3" t="inlineStr">
        <is>
          <t>Bela Lukavcová</t>
        </is>
      </c>
      <c r="J902" s="3" t="inlineStr">
        <is>
          <t>Bela Lukavcová</t>
        </is>
      </c>
      <c r="K902" s="4" t="n">
        <v>46090.42413194444</v>
      </c>
      <c r="L902" s="5" t="n">
        <v>46090.0</v>
      </c>
      <c r="M902" s="3" t="inlineStr">
        <is>
          <t>Approved</t>
        </is>
      </c>
      <c r="N902" s="3" t="inlineStr">
        <is>
          <t>Study Start</t>
        </is>
      </c>
      <c r="O902" s="3" t="inlineStr">
        <is>
          <t>Czech Republic</t>
        </is>
      </c>
      <c r="P902" s="3" t="inlineStr">
        <is>
          <t>Z92-CZ10009</t>
        </is>
      </c>
      <c r="Q902" s="3" t="inlineStr">
        <is>
          <t>77242113UCO2001</t>
        </is>
      </c>
    </row>
    <row r="903">
      <c r="A903" s="2" t="str">
        <f>HYPERLINK("https://vtmf.veevavault.com/ui/#doc_info/24158348/1/0", "77242113UCO2001-CZE-Z92-CZ10009-Site Confirmation Letter-- (v1.0)")</f>
        <v>77242113UCO2001-CZE-Z92-CZ10009-Site Confirmation Letter-- (v1.0)</v>
      </c>
      <c r="B903" s="3" t="inlineStr">
        <is>
          <t>Lucie Duskova</t>
        </is>
      </c>
      <c r="C903" s="3" t="inlineStr">
        <is>
          <t>Site Management</t>
        </is>
      </c>
      <c r="D903" s="3" t="inlineStr">
        <is>
          <t>Site Management</t>
        </is>
      </c>
      <c r="E903" s="3" t="inlineStr">
        <is>
          <t>Site Confirmation Letter</t>
        </is>
      </c>
      <c r="F903" s="3" t="inlineStr">
        <is>
          <t>Site Qualification visit confirmation letter_Peterka Martin_16MAY2023</t>
        </is>
      </c>
      <c r="G903" s="2" t="str">
        <f>HYPERLINK("https://vtmf.veevavault.com/ui/#doc_info/24158348/1/0", "VTMF-19168974")</f>
        <v>VTMF-19168974</v>
      </c>
      <c r="H903" s="3" t="inlineStr">
        <is>
          <t/>
        </is>
      </c>
      <c r="I903" s="3" t="inlineStr">
        <is>
          <t>Anthony Suarez (veeva.com)</t>
        </is>
      </c>
      <c r="J903" s="3" t="inlineStr">
        <is>
          <t>Lucie Duskova</t>
        </is>
      </c>
      <c r="K903" s="4" t="n">
        <v>45075.668391203704</v>
      </c>
      <c r="L903" s="5" t="n">
        <v>45075.0</v>
      </c>
      <c r="M903" s="3" t="inlineStr">
        <is>
          <t>Approved</t>
        </is>
      </c>
      <c r="N903" s="3" t="inlineStr">
        <is>
          <t>Available for Distribution, CLIX Filing, Site Close</t>
        </is>
      </c>
      <c r="O903" s="3" t="inlineStr">
        <is>
          <t>Czech Republic</t>
        </is>
      </c>
      <c r="P903" s="3" t="inlineStr">
        <is>
          <t>Z92-CZ10009</t>
        </is>
      </c>
      <c r="Q903" s="3" t="inlineStr">
        <is>
          <t>77242113UCO2001</t>
        </is>
      </c>
    </row>
    <row r="904">
      <c r="A904" s="2" t="str">
        <f>HYPERLINK("https://vtmf.veevavault.com/ui/#doc_info/26489399/1/0", "77242113UCO2001-CZE-Z92-CZ10009-Site Confirmation Letter--20 Jun 2024 (v1.0)")</f>
        <v>77242113UCO2001-CZE-Z92-CZ10009-Site Confirmation Letter--20 Jun 2024 (v1.0)</v>
      </c>
      <c r="B904" s="3" t="inlineStr">
        <is>
          <t>Lenka Placha</t>
        </is>
      </c>
      <c r="C904" s="3" t="inlineStr">
        <is>
          <t>Site Management</t>
        </is>
      </c>
      <c r="D904" s="3" t="inlineStr">
        <is>
          <t>Site Management</t>
        </is>
      </c>
      <c r="E904" s="3" t="inlineStr">
        <is>
          <t>Site Confirmation Letter</t>
        </is>
      </c>
      <c r="F904" s="3" t="inlineStr">
        <is>
          <t>Confirmation letter_77242113UCO2001_site Z92-CZ10009_MV 20Jun24</t>
        </is>
      </c>
      <c r="G904" s="2" t="str">
        <f>HYPERLINK("https://vtmf.veevavault.com/ui/#doc_info/26489399/1/0", "VTMF-21208649")</f>
        <v>VTMF-21208649</v>
      </c>
      <c r="H904" s="3" t="inlineStr">
        <is>
          <t/>
        </is>
      </c>
      <c r="I904" s="3" t="inlineStr">
        <is>
          <t>Anthony Suarez (veeva.com)</t>
        </is>
      </c>
      <c r="J904" s="3" t="inlineStr">
        <is>
          <t>Lenka Placha</t>
        </is>
      </c>
      <c r="K904" s="4" t="n">
        <v>45453.48811342593</v>
      </c>
      <c r="L904" s="5" t="n">
        <v>45453.0</v>
      </c>
      <c r="M904" s="3" t="inlineStr">
        <is>
          <t>Approved</t>
        </is>
      </c>
      <c r="N904" s="3" t="inlineStr">
        <is>
          <t>Available for Distribution, CLIX Filing, Site Close</t>
        </is>
      </c>
      <c r="O904" s="3" t="inlineStr">
        <is>
          <t>Czech Republic</t>
        </is>
      </c>
      <c r="P904" s="3" t="inlineStr">
        <is>
          <t>Z92-CZ10009</t>
        </is>
      </c>
      <c r="Q904" s="3" t="inlineStr">
        <is>
          <t>77242113UCO2001</t>
        </is>
      </c>
    </row>
    <row r="905">
      <c r="A905" s="2" t="str">
        <f>HYPERLINK("https://vtmf.veevavault.com/ui/#doc_info/31050586/1/0", "77242113UCO2001-CZE-Z92-CZ10009-Site Confirmation Letter-SCVR_CL-04 Mar 2026 (v1.0)")</f>
        <v>77242113UCO2001-CZE-Z92-CZ10009-Site Confirmation Letter-SCVR_CL-04 Mar 2026 (v1.0)</v>
      </c>
      <c r="B905" s="3" t="inlineStr">
        <is>
          <t>Admin User Medidata</t>
        </is>
      </c>
      <c r="C905" s="3" t="inlineStr">
        <is>
          <t>Site Management</t>
        </is>
      </c>
      <c r="D905" s="3" t="inlineStr">
        <is>
          <t>Site Management</t>
        </is>
      </c>
      <c r="E905" s="3" t="inlineStr">
        <is>
          <t>Site Confirmation Letter</t>
        </is>
      </c>
      <c r="F905" s="3" t="inlineStr">
        <is>
          <t/>
        </is>
      </c>
      <c r="G905" s="2" t="str">
        <f>HYPERLINK("https://vtmf.veevavault.com/ui/#doc_info/31050586/1/0", "VTMF-25032405")</f>
        <v>VTMF-25032405</v>
      </c>
      <c r="H905" s="3" t="inlineStr">
        <is>
          <t/>
        </is>
      </c>
      <c r="I905" s="3" t="inlineStr">
        <is>
          <t>System</t>
        </is>
      </c>
      <c r="J905" s="3" t="inlineStr">
        <is>
          <t>Admin User Medidata</t>
        </is>
      </c>
      <c r="K905" s="4" t="n">
        <v>46077.55862268519</v>
      </c>
      <c r="L905" s="5" t="n">
        <v>46077.0</v>
      </c>
      <c r="M905" s="3" t="inlineStr">
        <is>
          <t>Approved</t>
        </is>
      </c>
      <c r="N905" s="3" t="inlineStr">
        <is>
          <t>Available for Distribution, CLIX Filing, Not associated to a milestone</t>
        </is>
      </c>
      <c r="O905" s="3" t="inlineStr">
        <is>
          <t>Czech Republic</t>
        </is>
      </c>
      <c r="P905" s="3" t="inlineStr">
        <is>
          <t>Z92-CZ10009</t>
        </is>
      </c>
      <c r="Q905" s="3" t="inlineStr">
        <is>
          <t>77242113UCO2001</t>
        </is>
      </c>
    </row>
    <row r="906">
      <c r="A906" s="2" t="str">
        <f>HYPERLINK("https://vtmf.veevavault.com/ui/#doc_info/25465269/1/0", "77242113UCO2001-CZE-Z92-CZ10009-Site Confirmation Letter-SIVR_CL-11 Jan 2024 (v1.0)")</f>
        <v>77242113UCO2001-CZE-Z92-CZ10009-Site Confirmation Letter-SIVR_CL-11 Jan 2024 (v1.0)</v>
      </c>
      <c r="B906" s="3" t="inlineStr">
        <is>
          <t>Admin User Medidata</t>
        </is>
      </c>
      <c r="C906" s="3" t="inlineStr">
        <is>
          <t>Site Management</t>
        </is>
      </c>
      <c r="D906" s="3" t="inlineStr">
        <is>
          <t>Site Management</t>
        </is>
      </c>
      <c r="E906" s="3" t="inlineStr">
        <is>
          <t>Site Confirmation Letter</t>
        </is>
      </c>
      <c r="F906" s="3" t="inlineStr">
        <is>
          <t/>
        </is>
      </c>
      <c r="G906" s="2" t="str">
        <f>HYPERLINK("https://vtmf.veevavault.com/ui/#doc_info/25465269/1/0", "VTMF-20309819")</f>
        <v>VTMF-20309819</v>
      </c>
      <c r="H906" s="3" t="inlineStr">
        <is>
          <t/>
        </is>
      </c>
      <c r="I906" s="3" t="inlineStr">
        <is>
          <t>System</t>
        </is>
      </c>
      <c r="J906" s="3" t="inlineStr">
        <is>
          <t>Admin User Medidata</t>
        </is>
      </c>
      <c r="K906" s="4" t="n">
        <v>45299.85194444445</v>
      </c>
      <c r="L906" s="5" t="n">
        <v>45299.0</v>
      </c>
      <c r="M906" s="3" t="inlineStr">
        <is>
          <t>Approved</t>
        </is>
      </c>
      <c r="N906" s="3" t="inlineStr">
        <is>
          <t>Available for Distribution, CLIX Filing, Site Close</t>
        </is>
      </c>
      <c r="O906" s="3" t="inlineStr">
        <is>
          <t>Czech Republic</t>
        </is>
      </c>
      <c r="P906" s="3" t="inlineStr">
        <is>
          <t>Z92-CZ10009</t>
        </is>
      </c>
      <c r="Q906" s="3" t="inlineStr">
        <is>
          <t>77242113UCO2001</t>
        </is>
      </c>
    </row>
    <row r="907">
      <c r="A907" s="2" t="str">
        <f>HYPERLINK("https://vtmf.veevavault.com/ui/#doc_info/27134403/1/0", "77242113UCO2001-CZE-Z92-CZ10009-Site Confirmation Letter-SMVR_CL-01 Oct 2024 (v1.0)")</f>
        <v>77242113UCO2001-CZE-Z92-CZ10009-Site Confirmation Letter-SMVR_CL-01 Oct 2024 (v1.0)</v>
      </c>
      <c r="B907" s="3" t="inlineStr">
        <is>
          <t>Admin User Medidata</t>
        </is>
      </c>
      <c r="C907" s="3" t="inlineStr">
        <is>
          <t>Site Management</t>
        </is>
      </c>
      <c r="D907" s="3" t="inlineStr">
        <is>
          <t>Site Management</t>
        </is>
      </c>
      <c r="E907" s="3" t="inlineStr">
        <is>
          <t>Site Confirmation Letter</t>
        </is>
      </c>
      <c r="F907" s="3" t="inlineStr">
        <is>
          <t/>
        </is>
      </c>
      <c r="G907" s="2" t="str">
        <f>HYPERLINK("https://vtmf.veevavault.com/ui/#doc_info/27134403/1/0", "VTMF-21753350")</f>
        <v>VTMF-21753350</v>
      </c>
      <c r="H907" s="3" t="inlineStr">
        <is>
          <t/>
        </is>
      </c>
      <c r="I907" s="3" t="inlineStr">
        <is>
          <t>System</t>
        </is>
      </c>
      <c r="J907" s="3" t="inlineStr">
        <is>
          <t>Admin User Medidata</t>
        </is>
      </c>
      <c r="K907" s="4" t="n">
        <v>45559.89711805555</v>
      </c>
      <c r="L907" s="5" t="n">
        <v>45559.0</v>
      </c>
      <c r="M907" s="3" t="inlineStr">
        <is>
          <t>Approved</t>
        </is>
      </c>
      <c r="N907" s="3" t="inlineStr">
        <is>
          <t>Available for Distribution, CLIX Filing, Site Close</t>
        </is>
      </c>
      <c r="O907" s="3" t="inlineStr">
        <is>
          <t>Czech Republic</t>
        </is>
      </c>
      <c r="P907" s="3" t="inlineStr">
        <is>
          <t>Z92-CZ10009</t>
        </is>
      </c>
      <c r="Q907" s="3" t="inlineStr">
        <is>
          <t>77242113UCO2001</t>
        </is>
      </c>
    </row>
    <row r="908">
      <c r="A908" s="2" t="str">
        <f>HYPERLINK("https://vtmf.veevavault.com/ui/#doc_info/30709175/1/0", "77242113UCO2001-CZE-Z92-CZ10009-Site Confirmation Letter-SMVR_CL-06 Jan 2026 (v1.0)")</f>
        <v>77242113UCO2001-CZE-Z92-CZ10009-Site Confirmation Letter-SMVR_CL-06 Jan 2026 (v1.0)</v>
      </c>
      <c r="B908" s="3" t="inlineStr">
        <is>
          <t>Admin User Medidata</t>
        </is>
      </c>
      <c r="C908" s="3" t="inlineStr">
        <is>
          <t>Site Management</t>
        </is>
      </c>
      <c r="D908" s="3" t="inlineStr">
        <is>
          <t>Site Management</t>
        </is>
      </c>
      <c r="E908" s="3" t="inlineStr">
        <is>
          <t>Site Confirmation Letter</t>
        </is>
      </c>
      <c r="F908" s="3" t="inlineStr">
        <is>
          <t/>
        </is>
      </c>
      <c r="G908" s="2" t="str">
        <f>HYPERLINK("https://vtmf.veevavault.com/ui/#doc_info/30709175/1/0", "VTMF-24744669")</f>
        <v>VTMF-24744669</v>
      </c>
      <c r="H908" s="3" t="inlineStr">
        <is>
          <t/>
        </is>
      </c>
      <c r="I908" s="3" t="inlineStr">
        <is>
          <t>System</t>
        </is>
      </c>
      <c r="J908" s="3" t="inlineStr">
        <is>
          <t>Admin User Medidata</t>
        </is>
      </c>
      <c r="K908" s="4" t="n">
        <v>46024.725023148145</v>
      </c>
      <c r="L908" s="5" t="n">
        <v>46024.0</v>
      </c>
      <c r="M908" s="3" t="inlineStr">
        <is>
          <t>Approved</t>
        </is>
      </c>
      <c r="N908" s="3" t="inlineStr">
        <is>
          <t>Available for Distribution, CLIX Filing, Not associated to a milestone</t>
        </is>
      </c>
      <c r="O908" s="3" t="inlineStr">
        <is>
          <t>Czech Republic</t>
        </is>
      </c>
      <c r="P908" s="3" t="inlineStr">
        <is>
          <t>Z92-CZ10009</t>
        </is>
      </c>
      <c r="Q908" s="3" t="inlineStr">
        <is>
          <t>77242113UCO2001</t>
        </is>
      </c>
    </row>
    <row r="909">
      <c r="A909" s="2" t="str">
        <f>HYPERLINK("https://vtmf.veevavault.com/ui/#doc_info/30075174/1/0", "77242113UCO2001-CZE-Z92-CZ10009-Site Confirmation Letter-SMVR_CL-09 Oct 2025 (v1.0)")</f>
        <v>77242113UCO2001-CZE-Z92-CZ10009-Site Confirmation Letter-SMVR_CL-09 Oct 2025 (v1.0)</v>
      </c>
      <c r="B909" s="3" t="inlineStr">
        <is>
          <t>Admin User Medidata</t>
        </is>
      </c>
      <c r="C909" s="3" t="inlineStr">
        <is>
          <t>Site Management</t>
        </is>
      </c>
      <c r="D909" s="3" t="inlineStr">
        <is>
          <t>Site Management</t>
        </is>
      </c>
      <c r="E909" s="3" t="inlineStr">
        <is>
          <t>Site Confirmation Letter</t>
        </is>
      </c>
      <c r="F909" s="3" t="inlineStr">
        <is>
          <t/>
        </is>
      </c>
      <c r="G909" s="2" t="str">
        <f>HYPERLINK("https://vtmf.veevavault.com/ui/#doc_info/30075174/1/0", "VTMF-24208194")</f>
        <v>VTMF-24208194</v>
      </c>
      <c r="H909" s="3" t="inlineStr">
        <is>
          <t/>
        </is>
      </c>
      <c r="I909" s="3" t="inlineStr">
        <is>
          <t>System</t>
        </is>
      </c>
      <c r="J909" s="3" t="inlineStr">
        <is>
          <t>Admin User Medidata</t>
        </is>
      </c>
      <c r="K909" s="4" t="n">
        <v>45931.597395833334</v>
      </c>
      <c r="L909" s="5" t="n">
        <v>45931.0</v>
      </c>
      <c r="M909" s="3" t="inlineStr">
        <is>
          <t>Approved</t>
        </is>
      </c>
      <c r="N909" s="3" t="inlineStr">
        <is>
          <t>Available for Distribution, CLIX Filing, Not associated to a milestone</t>
        </is>
      </c>
      <c r="O909" s="3" t="inlineStr">
        <is>
          <t>Czech Republic</t>
        </is>
      </c>
      <c r="P909" s="3" t="inlineStr">
        <is>
          <t>Z92-CZ10009</t>
        </is>
      </c>
      <c r="Q909" s="3" t="inlineStr">
        <is>
          <t>77242113UCO2001</t>
        </is>
      </c>
    </row>
    <row r="910">
      <c r="A910" s="2" t="str">
        <f>HYPERLINK("https://vtmf.veevavault.com/ui/#doc_info/30556757/1/0", "77242113UCO2001-CZE-Z92-CZ10009-Site Confirmation Letter-SMVR_CL-11 Dec 2025 (v1.0)")</f>
        <v>77242113UCO2001-CZE-Z92-CZ10009-Site Confirmation Letter-SMVR_CL-11 Dec 2025 (v1.0)</v>
      </c>
      <c r="B910" s="3" t="inlineStr">
        <is>
          <t>Admin User Medidata</t>
        </is>
      </c>
      <c r="C910" s="3" t="inlineStr">
        <is>
          <t>Site Management</t>
        </is>
      </c>
      <c r="D910" s="3" t="inlineStr">
        <is>
          <t>Site Management</t>
        </is>
      </c>
      <c r="E910" s="3" t="inlineStr">
        <is>
          <t>Site Confirmation Letter</t>
        </is>
      </c>
      <c r="F910" s="3" t="inlineStr">
        <is>
          <t/>
        </is>
      </c>
      <c r="G910" s="2" t="str">
        <f>HYPERLINK("https://vtmf.veevavault.com/ui/#doc_info/30556757/1/0", "VTMF-24619010")</f>
        <v>VTMF-24619010</v>
      </c>
      <c r="H910" s="3" t="inlineStr">
        <is>
          <t/>
        </is>
      </c>
      <c r="I910" s="3" t="inlineStr">
        <is>
          <t>System</t>
        </is>
      </c>
      <c r="J910" s="3" t="inlineStr">
        <is>
          <t>Admin User Medidata</t>
        </is>
      </c>
      <c r="K910" s="4" t="n">
        <v>45999.55803240741</v>
      </c>
      <c r="L910" s="5" t="n">
        <v>45999.0</v>
      </c>
      <c r="M910" s="3" t="inlineStr">
        <is>
          <t>Approved</t>
        </is>
      </c>
      <c r="N910" s="3" t="inlineStr">
        <is>
          <t>Available for Distribution, CLIX Filing, Not associated to a milestone</t>
        </is>
      </c>
      <c r="O910" s="3" t="inlineStr">
        <is>
          <t>Czech Republic</t>
        </is>
      </c>
      <c r="P910" s="3" t="inlineStr">
        <is>
          <t>Z92-CZ10009</t>
        </is>
      </c>
      <c r="Q910" s="3" t="inlineStr">
        <is>
          <t>77242113UCO2001</t>
        </is>
      </c>
    </row>
    <row r="911">
      <c r="A911" s="2" t="str">
        <f>HYPERLINK("https://vtmf.veevavault.com/ui/#doc_info/26669655/1/0", "77242113UCO2001-CZE-Z92-CZ10009-Site Confirmation Letter-SMVR_CL-11 Jul 2024 (v1.0)")</f>
        <v>77242113UCO2001-CZE-Z92-CZ10009-Site Confirmation Letter-SMVR_CL-11 Jul 2024 (v1.0)</v>
      </c>
      <c r="B911" s="3" t="inlineStr">
        <is>
          <t>Admin User Medidata</t>
        </is>
      </c>
      <c r="C911" s="3" t="inlineStr">
        <is>
          <t>Site Management</t>
        </is>
      </c>
      <c r="D911" s="3" t="inlineStr">
        <is>
          <t>Site Management</t>
        </is>
      </c>
      <c r="E911" s="3" t="inlineStr">
        <is>
          <t>Site Confirmation Letter</t>
        </is>
      </c>
      <c r="F911" s="3" t="inlineStr">
        <is>
          <t/>
        </is>
      </c>
      <c r="G911" s="2" t="str">
        <f>HYPERLINK("https://vtmf.veevavault.com/ui/#doc_info/26669655/1/0", "VTMF-21366051")</f>
        <v>VTMF-21366051</v>
      </c>
      <c r="H911" s="3" t="inlineStr">
        <is>
          <t/>
        </is>
      </c>
      <c r="I911" s="3" t="inlineStr">
        <is>
          <t>System</t>
        </is>
      </c>
      <c r="J911" s="3" t="inlineStr">
        <is>
          <t>Admin User Medidata</t>
        </is>
      </c>
      <c r="K911" s="4" t="n">
        <v>45481.74940972222</v>
      </c>
      <c r="L911" s="5" t="n">
        <v>45481.0</v>
      </c>
      <c r="M911" s="3" t="inlineStr">
        <is>
          <t>Approved</t>
        </is>
      </c>
      <c r="N911" s="3" t="inlineStr">
        <is>
          <t>Available for Distribution, CLIX Filing, Site Close</t>
        </is>
      </c>
      <c r="O911" s="3" t="inlineStr">
        <is>
          <t>Czech Republic</t>
        </is>
      </c>
      <c r="P911" s="3" t="inlineStr">
        <is>
          <t>Z92-CZ10009</t>
        </is>
      </c>
      <c r="Q911" s="3" t="inlineStr">
        <is>
          <t>77242113UCO2001</t>
        </is>
      </c>
    </row>
    <row r="912">
      <c r="A912" s="2" t="str">
        <f>HYPERLINK("https://vtmf.veevavault.com/ui/#doc_info/27444235/1/0", "77242113UCO2001-CZE-Z92-CZ10009-Site Confirmation Letter-SMVR_CL-11 Nov 2024 (v1.0)")</f>
        <v>77242113UCO2001-CZE-Z92-CZ10009-Site Confirmation Letter-SMVR_CL-11 Nov 2024 (v1.0)</v>
      </c>
      <c r="B912" s="3" t="inlineStr">
        <is>
          <t>Admin User Medidata</t>
        </is>
      </c>
      <c r="C912" s="3" t="inlineStr">
        <is>
          <t>Site Management</t>
        </is>
      </c>
      <c r="D912" s="3" t="inlineStr">
        <is>
          <t>Site Management</t>
        </is>
      </c>
      <c r="E912" s="3" t="inlineStr">
        <is>
          <t>Site Confirmation Letter</t>
        </is>
      </c>
      <c r="F912" s="3" t="inlineStr">
        <is>
          <t/>
        </is>
      </c>
      <c r="G912" s="2" t="str">
        <f>HYPERLINK("https://vtmf.veevavault.com/ui/#doc_info/27444235/1/0", "VTMF-22009181")</f>
        <v>VTMF-22009181</v>
      </c>
      <c r="H912" s="3" t="inlineStr">
        <is>
          <t/>
        </is>
      </c>
      <c r="I912" s="3" t="inlineStr">
        <is>
          <t>System</t>
        </is>
      </c>
      <c r="J912" s="3" t="inlineStr">
        <is>
          <t>Admin User Medidata</t>
        </is>
      </c>
      <c r="K912" s="4" t="n">
        <v>45603.769895833335</v>
      </c>
      <c r="L912" s="5" t="n">
        <v>45603.0</v>
      </c>
      <c r="M912" s="3" t="inlineStr">
        <is>
          <t>Approved</t>
        </is>
      </c>
      <c r="N912" s="3" t="inlineStr">
        <is>
          <t>Available for Distribution, CLIX Filing, Not associated to a milestone</t>
        </is>
      </c>
      <c r="O912" s="3" t="inlineStr">
        <is>
          <t>Czech Republic</t>
        </is>
      </c>
      <c r="P912" s="3" t="inlineStr">
        <is>
          <t>Z92-CZ10009</t>
        </is>
      </c>
      <c r="Q912" s="3" t="inlineStr">
        <is>
          <t>77242113UCO2001</t>
        </is>
      </c>
    </row>
    <row r="913">
      <c r="A913" s="2" t="str">
        <f>HYPERLINK("https://vtmf.veevavault.com/ui/#doc_info/26832905/1/0", "77242113UCO2001-CZE-Z92-CZ10009-Site Confirmation Letter-SMVR_CL-12 Aug 2024 (v1.0)")</f>
        <v>77242113UCO2001-CZE-Z92-CZ10009-Site Confirmation Letter-SMVR_CL-12 Aug 2024 (v1.0)</v>
      </c>
      <c r="B913" s="3" t="inlineStr">
        <is>
          <t>Admin User Medidata</t>
        </is>
      </c>
      <c r="C913" s="3" t="inlineStr">
        <is>
          <t>Site Management</t>
        </is>
      </c>
      <c r="D913" s="3" t="inlineStr">
        <is>
          <t>Site Management</t>
        </is>
      </c>
      <c r="E913" s="3" t="inlineStr">
        <is>
          <t>Site Confirmation Letter</t>
        </is>
      </c>
      <c r="F913" s="3" t="inlineStr">
        <is>
          <t/>
        </is>
      </c>
      <c r="G913" s="2" t="str">
        <f>HYPERLINK("https://vtmf.veevavault.com/ui/#doc_info/26832905/1/0", "VTMF-21505767")</f>
        <v>VTMF-21505767</v>
      </c>
      <c r="H913" s="3" t="inlineStr">
        <is>
          <t/>
        </is>
      </c>
      <c r="I913" s="3" t="inlineStr">
        <is>
          <t>System</t>
        </is>
      </c>
      <c r="J913" s="3" t="inlineStr">
        <is>
          <t>Admin User Medidata</t>
        </is>
      </c>
      <c r="K913" s="4" t="n">
        <v>45509.90577546296</v>
      </c>
      <c r="L913" s="5" t="n">
        <v>45509.0</v>
      </c>
      <c r="M913" s="3" t="inlineStr">
        <is>
          <t>Approved</t>
        </is>
      </c>
      <c r="N913" s="3" t="inlineStr">
        <is>
          <t>Available for Distribution, CLIX Filing, Site Close</t>
        </is>
      </c>
      <c r="O913" s="3" t="inlineStr">
        <is>
          <t>Czech Republic</t>
        </is>
      </c>
      <c r="P913" s="3" t="inlineStr">
        <is>
          <t>Z92-CZ10009</t>
        </is>
      </c>
      <c r="Q913" s="3" t="inlineStr">
        <is>
          <t>77242113UCO2001</t>
        </is>
      </c>
    </row>
    <row r="914">
      <c r="A914" s="2" t="str">
        <f>HYPERLINK("https://vtmf.veevavault.com/ui/#doc_info/27035557/1/0", "77242113UCO2001-CZE-Z92-CZ10009-Site Confirmation Letter-SMVR_CL-12 Sep 2024 (v1.0)")</f>
        <v>77242113UCO2001-CZE-Z92-CZ10009-Site Confirmation Letter-SMVR_CL-12 Sep 2024 (v1.0)</v>
      </c>
      <c r="B914" s="3" t="inlineStr">
        <is>
          <t>Admin User Medidata</t>
        </is>
      </c>
      <c r="C914" s="3" t="inlineStr">
        <is>
          <t>Site Management</t>
        </is>
      </c>
      <c r="D914" s="3" t="inlineStr">
        <is>
          <t>Site Management</t>
        </is>
      </c>
      <c r="E914" s="3" t="inlineStr">
        <is>
          <t>Site Confirmation Letter</t>
        </is>
      </c>
      <c r="F914" s="3" t="inlineStr">
        <is>
          <t/>
        </is>
      </c>
      <c r="G914" s="2" t="str">
        <f>HYPERLINK("https://vtmf.veevavault.com/ui/#doc_info/27035557/1/0", "VTMF-21675152")</f>
        <v>VTMF-21675152</v>
      </c>
      <c r="H914" s="3" t="inlineStr">
        <is>
          <t/>
        </is>
      </c>
      <c r="I914" s="3" t="inlineStr">
        <is>
          <t>System</t>
        </is>
      </c>
      <c r="J914" s="3" t="inlineStr">
        <is>
          <t>Admin User Medidata</t>
        </is>
      </c>
      <c r="K914" s="4" t="n">
        <v>45544.61130787037</v>
      </c>
      <c r="L914" s="5" t="n">
        <v>45544.0</v>
      </c>
      <c r="M914" s="3" t="inlineStr">
        <is>
          <t>Approved</t>
        </is>
      </c>
      <c r="N914" s="3" t="inlineStr">
        <is>
          <t>Available for Distribution, CLIX Filing, Site Close</t>
        </is>
      </c>
      <c r="O914" s="3" t="inlineStr">
        <is>
          <t>Czech Republic</t>
        </is>
      </c>
      <c r="P914" s="3" t="inlineStr">
        <is>
          <t>Z92-CZ10009</t>
        </is>
      </c>
      <c r="Q914" s="3" t="inlineStr">
        <is>
          <t>77242113UCO2001</t>
        </is>
      </c>
    </row>
    <row r="915">
      <c r="A915" s="2" t="str">
        <f>HYPERLINK("https://vtmf.veevavault.com/ui/#doc_info/25914881/1/0", "77242113UCO2001-CZE-Z92-CZ10009-Site Confirmation Letter-SMVR_CL-20 Mar 2024 (v1.0)")</f>
        <v>77242113UCO2001-CZE-Z92-CZ10009-Site Confirmation Letter-SMVR_CL-20 Mar 2024 (v1.0)</v>
      </c>
      <c r="B915" s="3" t="inlineStr">
        <is>
          <t>Admin User Medidata</t>
        </is>
      </c>
      <c r="C915" s="3" t="inlineStr">
        <is>
          <t>Site Management</t>
        </is>
      </c>
      <c r="D915" s="3" t="inlineStr">
        <is>
          <t>Site Management</t>
        </is>
      </c>
      <c r="E915" s="3" t="inlineStr">
        <is>
          <t>Site Confirmation Letter</t>
        </is>
      </c>
      <c r="F915" s="3" t="inlineStr">
        <is>
          <t/>
        </is>
      </c>
      <c r="G915" s="2" t="str">
        <f>HYPERLINK("https://vtmf.veevavault.com/ui/#doc_info/25914881/1/0", "VTMF-20704293")</f>
        <v>VTMF-20704293</v>
      </c>
      <c r="H915" s="3" t="inlineStr">
        <is>
          <t/>
        </is>
      </c>
      <c r="I915" s="3" t="inlineStr">
        <is>
          <t>System</t>
        </is>
      </c>
      <c r="J915" s="3" t="inlineStr">
        <is>
          <t>Admin User Medidata</t>
        </is>
      </c>
      <c r="K915" s="4" t="n">
        <v>45364.93375</v>
      </c>
      <c r="L915" s="5" t="n">
        <v>45364.0</v>
      </c>
      <c r="M915" s="3" t="inlineStr">
        <is>
          <t>Approved</t>
        </is>
      </c>
      <c r="N915" s="3" t="inlineStr">
        <is>
          <t>Available for Distribution, CLIX Filing, Site Close</t>
        </is>
      </c>
      <c r="O915" s="3" t="inlineStr">
        <is>
          <t>Czech Republic</t>
        </is>
      </c>
      <c r="P915" s="3" t="inlineStr">
        <is>
          <t>Z92-CZ10009</t>
        </is>
      </c>
      <c r="Q915" s="3" t="inlineStr">
        <is>
          <t>77242113UCO2001</t>
        </is>
      </c>
    </row>
    <row r="916">
      <c r="A916" s="2" t="str">
        <f>HYPERLINK("https://vtmf.veevavault.com/ui/#doc_info/28112026/1/0", "77242113UCO2001-CZE-Z92-CZ10009-Site Confirmation Letter-SMVR_CL-23 Jan 2025 (v1.0)")</f>
        <v>77242113UCO2001-CZE-Z92-CZ10009-Site Confirmation Letter-SMVR_CL-23 Jan 2025 (v1.0)</v>
      </c>
      <c r="B916" s="3" t="inlineStr">
        <is>
          <t>Admin User Medidata</t>
        </is>
      </c>
      <c r="C916" s="3" t="inlineStr">
        <is>
          <t>Site Management</t>
        </is>
      </c>
      <c r="D916" s="3" t="inlineStr">
        <is>
          <t>Site Management</t>
        </is>
      </c>
      <c r="E916" s="3" t="inlineStr">
        <is>
          <t>Site Confirmation Letter</t>
        </is>
      </c>
      <c r="F916" s="3" t="inlineStr">
        <is>
          <t/>
        </is>
      </c>
      <c r="G916" s="2" t="str">
        <f>HYPERLINK("https://vtmf.veevavault.com/ui/#doc_info/28112026/1/0", "VTMF-22546109")</f>
        <v>VTMF-22546109</v>
      </c>
      <c r="H916" s="3" t="inlineStr">
        <is>
          <t/>
        </is>
      </c>
      <c r="I916" s="3" t="inlineStr">
        <is>
          <t>System</t>
        </is>
      </c>
      <c r="J916" s="3" t="inlineStr">
        <is>
          <t>Admin User Medidata</t>
        </is>
      </c>
      <c r="K916" s="4" t="n">
        <v>45677.557488425926</v>
      </c>
      <c r="L916" s="5" t="n">
        <v>45677.0</v>
      </c>
      <c r="M916" s="3" t="inlineStr">
        <is>
          <t>Approved</t>
        </is>
      </c>
      <c r="N916" s="3" t="inlineStr">
        <is>
          <t>Available for Distribution, CLIX Filing, Not associated to a milestone</t>
        </is>
      </c>
      <c r="O916" s="3" t="inlineStr">
        <is>
          <t>Czech Republic</t>
        </is>
      </c>
      <c r="P916" s="3" t="inlineStr">
        <is>
          <t>Z92-CZ10009</t>
        </is>
      </c>
      <c r="Q916" s="3" t="inlineStr">
        <is>
          <t>77242113UCO2001</t>
        </is>
      </c>
    </row>
    <row r="917">
      <c r="A917" s="2" t="str">
        <f>HYPERLINK("https://vtmf.veevavault.com/ui/#doc_info/26368712/1/0", "77242113UCO2001-CZE-Z92-CZ10009-Site Confirmation Letter-SMVR_CL-23 May 2024 (v1.0)")</f>
        <v>77242113UCO2001-CZE-Z92-CZ10009-Site Confirmation Letter-SMVR_CL-23 May 2024 (v1.0)</v>
      </c>
      <c r="B917" s="3" t="inlineStr">
        <is>
          <t>Admin User Medidata</t>
        </is>
      </c>
      <c r="C917" s="3" t="inlineStr">
        <is>
          <t>Site Management</t>
        </is>
      </c>
      <c r="D917" s="3" t="inlineStr">
        <is>
          <t>Site Management</t>
        </is>
      </c>
      <c r="E917" s="3" t="inlineStr">
        <is>
          <t>Site Confirmation Letter</t>
        </is>
      </c>
      <c r="F917" s="3" t="inlineStr">
        <is>
          <t/>
        </is>
      </c>
      <c r="G917" s="2" t="str">
        <f>HYPERLINK("https://vtmf.veevavault.com/ui/#doc_info/26368712/1/0", "VTMF-21101596")</f>
        <v>VTMF-21101596</v>
      </c>
      <c r="H917" s="3" t="inlineStr">
        <is>
          <t/>
        </is>
      </c>
      <c r="I917" s="3" t="inlineStr">
        <is>
          <t>System</t>
        </is>
      </c>
      <c r="J917" s="3" t="inlineStr">
        <is>
          <t>Admin User Medidata</t>
        </is>
      </c>
      <c r="K917" s="4" t="n">
        <v>45434.019108796296</v>
      </c>
      <c r="L917" s="5" t="n">
        <v>45433.0</v>
      </c>
      <c r="M917" s="3" t="inlineStr">
        <is>
          <t>Approved</t>
        </is>
      </c>
      <c r="N917" s="3" t="inlineStr">
        <is>
          <t>Available for Distribution, CLIX Filing, Site Close</t>
        </is>
      </c>
      <c r="O917" s="3" t="inlineStr">
        <is>
          <t>Czech Republic</t>
        </is>
      </c>
      <c r="P917" s="3" t="inlineStr">
        <is>
          <t>Z92-CZ10009</t>
        </is>
      </c>
      <c r="Q917" s="3" t="inlineStr">
        <is>
          <t>77242113UCO2001</t>
        </is>
      </c>
    </row>
    <row r="918">
      <c r="A918" s="2" t="str">
        <f>HYPERLINK("https://vtmf.veevavault.com/ui/#doc_info/29199859/1/0", "77242113UCO2001-CZE-Z92-CZ10009-Site Confirmation Letter-SMVR_CL-29 May 2025 (v1.0)")</f>
        <v>77242113UCO2001-CZE-Z92-CZ10009-Site Confirmation Letter-SMVR_CL-29 May 2025 (v1.0)</v>
      </c>
      <c r="B918" s="3" t="inlineStr">
        <is>
          <t>Admin User Medidata</t>
        </is>
      </c>
      <c r="C918" s="3" t="inlineStr">
        <is>
          <t>Site Management</t>
        </is>
      </c>
      <c r="D918" s="3" t="inlineStr">
        <is>
          <t>Site Management</t>
        </is>
      </c>
      <c r="E918" s="3" t="inlineStr">
        <is>
          <t>Site Confirmation Letter</t>
        </is>
      </c>
      <c r="F918" s="3" t="inlineStr">
        <is>
          <t/>
        </is>
      </c>
      <c r="G918" s="2" t="str">
        <f>HYPERLINK("https://vtmf.veevavault.com/ui/#doc_info/29199859/1/0", "VTMF-23469811")</f>
        <v>VTMF-23469811</v>
      </c>
      <c r="H918" s="3" t="inlineStr">
        <is>
          <t/>
        </is>
      </c>
      <c r="I918" s="3" t="inlineStr">
        <is>
          <t>System</t>
        </is>
      </c>
      <c r="J918" s="3" t="inlineStr">
        <is>
          <t>Admin User Medidata</t>
        </is>
      </c>
      <c r="K918" s="4" t="n">
        <v>45803.474699074075</v>
      </c>
      <c r="L918" s="5" t="n">
        <v>45803.0</v>
      </c>
      <c r="M918" s="3" t="inlineStr">
        <is>
          <t>Approved</t>
        </is>
      </c>
      <c r="N918" s="3" t="inlineStr">
        <is>
          <t>Available for Distribution, CLIX Filing, Not associated to a milestone</t>
        </is>
      </c>
      <c r="O918" s="3" t="inlineStr">
        <is>
          <t>Czech Republic</t>
        </is>
      </c>
      <c r="P918" s="3" t="inlineStr">
        <is>
          <t>Z92-CZ10009</t>
        </is>
      </c>
      <c r="Q918" s="3" t="inlineStr">
        <is>
          <t>77242113UCO2001</t>
        </is>
      </c>
    </row>
    <row r="919">
      <c r="A919" s="2" t="str">
        <f>HYPERLINK("https://vtmf.veevavault.com/ui/#doc_info/31137828/1/0", "77242113UCO2001-CZE-Z92-CZ10009-Site Signature Sheet-04 Mar 2026 (v1.0)")</f>
        <v>77242113UCO2001-CZE-Z92-CZ10009-Site Signature Sheet-04 Mar 2026 (v1.0)</v>
      </c>
      <c r="B919" s="3" t="inlineStr">
        <is>
          <t>Bela Lukavcová</t>
        </is>
      </c>
      <c r="C919" s="3" t="inlineStr">
        <is>
          <t>Site Management</t>
        </is>
      </c>
      <c r="D919" s="3" t="inlineStr">
        <is>
          <t>Site Set-up Documentation</t>
        </is>
      </c>
      <c r="E919" s="3" t="inlineStr">
        <is>
          <t>Site Signature Sheet</t>
        </is>
      </c>
      <c r="F919" s="3" t="inlineStr">
        <is>
          <t>Delegation Log_04Mar2026</t>
        </is>
      </c>
      <c r="G919" s="2" t="str">
        <f>HYPERLINK("https://vtmf.veevavault.com/ui/#doc_info/31137828/1/0", "VTMF-25105307")</f>
        <v>VTMF-25105307</v>
      </c>
      <c r="H919" s="3" t="inlineStr">
        <is>
          <t/>
        </is>
      </c>
      <c r="I919" s="3" t="inlineStr">
        <is>
          <t>System</t>
        </is>
      </c>
      <c r="J919" s="3" t="inlineStr">
        <is>
          <t>Bela Lukavcová</t>
        </is>
      </c>
      <c r="K919" s="4" t="n">
        <v>46090.436631944445</v>
      </c>
      <c r="L919" s="5" t="n">
        <v>46090.0</v>
      </c>
      <c r="M919" s="3" t="inlineStr">
        <is>
          <t>Approved</t>
        </is>
      </c>
      <c r="N919" s="3" t="inlineStr">
        <is>
          <t>Available for Distribution, CLIX Filing, Site Close, Study Start</t>
        </is>
      </c>
      <c r="O919" s="3" t="inlineStr">
        <is>
          <t>Czech Republic</t>
        </is>
      </c>
      <c r="P919" s="3" t="inlineStr">
        <is>
          <t>Z92-CZ10009</t>
        </is>
      </c>
      <c r="Q919" s="3" t="inlineStr">
        <is>
          <t>77242113UCO2001</t>
        </is>
      </c>
    </row>
    <row r="920">
      <c r="A920" s="2" t="str">
        <f>HYPERLINK("https://vtmf.veevavault.com/ui/#doc_info/30794561/1/0", "77242113UCO2001-CZE-Z92-CZ10009-Site Signature Sheet-06 Jan 2026 (v1.0)")</f>
        <v>77242113UCO2001-CZE-Z92-CZ10009-Site Signature Sheet-06 Jan 2026 (v1.0)</v>
      </c>
      <c r="B920" s="3" t="inlineStr">
        <is>
          <t>Jitka Kone</t>
        </is>
      </c>
      <c r="C920" s="3" t="inlineStr">
        <is>
          <t>Site Management</t>
        </is>
      </c>
      <c r="D920" s="3" t="inlineStr">
        <is>
          <t>Site Set-up Documentation</t>
        </is>
      </c>
      <c r="E920" s="3" t="inlineStr">
        <is>
          <t>Site Signature Sheet</t>
        </is>
      </c>
      <c r="F920" s="3" t="inlineStr">
        <is>
          <t>Delegation log</t>
        </is>
      </c>
      <c r="G920" s="2" t="str">
        <f>HYPERLINK("https://vtmf.veevavault.com/ui/#doc_info/30794561/1/0", "VTMF-24815480")</f>
        <v>VTMF-24815480</v>
      </c>
      <c r="H920" s="3" t="inlineStr">
        <is>
          <t/>
        </is>
      </c>
      <c r="I920" s="3" t="inlineStr">
        <is>
          <t>System</t>
        </is>
      </c>
      <c r="J920" s="3" t="inlineStr">
        <is>
          <t>Jitka Kone</t>
        </is>
      </c>
      <c r="K920" s="4" t="n">
        <v>46038.67534722222</v>
      </c>
      <c r="L920" s="5" t="n">
        <v>46038.0</v>
      </c>
      <c r="M920" s="3" t="inlineStr">
        <is>
          <t>Approved</t>
        </is>
      </c>
      <c r="N920" s="3" t="inlineStr">
        <is>
          <t>Available for Distribution, CLIX Filing, Site Close, Study Start</t>
        </is>
      </c>
      <c r="O920" s="3" t="inlineStr">
        <is>
          <t>Czech Republic</t>
        </is>
      </c>
      <c r="P920" s="3" t="inlineStr">
        <is>
          <t>Z92-CZ10009</t>
        </is>
      </c>
      <c r="Q920" s="3" t="inlineStr">
        <is>
          <t>77242113UCO2001</t>
        </is>
      </c>
    </row>
    <row r="921">
      <c r="A921" s="2" t="str">
        <f>HYPERLINK("https://vtmf.veevavault.com/ui/#doc_info/30794565/2/0", "77242113UCO2001-CZE-Z92-CZ10009-Site Signature Sheet-06 Jan 2026 (v2.0)")</f>
        <v>77242113UCO2001-CZE-Z92-CZ10009-Site Signature Sheet-06 Jan 2026 (v2.0)</v>
      </c>
      <c r="B921" s="3" t="inlineStr">
        <is>
          <t>Jitka Kone</t>
        </is>
      </c>
      <c r="C921" s="3" t="inlineStr">
        <is>
          <t>Site Management</t>
        </is>
      </c>
      <c r="D921" s="3" t="inlineStr">
        <is>
          <t>Site Set-up Documentation</t>
        </is>
      </c>
      <c r="E921" s="3" t="inlineStr">
        <is>
          <t>Site Signature Sheet</t>
        </is>
      </c>
      <c r="F921" s="3" t="inlineStr">
        <is>
          <t>ICF log</t>
        </is>
      </c>
      <c r="G921" s="2" t="str">
        <f>HYPERLINK("https://vtmf.veevavault.com/ui/#doc_info/30794565/2/0", "VTMF-24815489")</f>
        <v>VTMF-24815489</v>
      </c>
      <c r="H921" s="3" t="inlineStr">
        <is>
          <t/>
        </is>
      </c>
      <c r="I921" s="3" t="inlineStr">
        <is>
          <t>System</t>
        </is>
      </c>
      <c r="J921" s="3" t="inlineStr">
        <is>
          <t>Jitka Kone</t>
        </is>
      </c>
      <c r="K921" s="4" t="n">
        <v>46042.630532407406</v>
      </c>
      <c r="L921" s="5" t="n">
        <v>46042.0</v>
      </c>
      <c r="M921" s="3" t="inlineStr">
        <is>
          <t>Approved</t>
        </is>
      </c>
      <c r="N921" s="3" t="inlineStr">
        <is>
          <t>Available for Distribution, CLIX Filing, Site Close, Study Start</t>
        </is>
      </c>
      <c r="O921" s="3" t="inlineStr">
        <is>
          <t>Czech Republic</t>
        </is>
      </c>
      <c r="P921" s="3" t="inlineStr">
        <is>
          <t>Z92-CZ10009</t>
        </is>
      </c>
      <c r="Q921" s="3" t="inlineStr">
        <is>
          <t>77242113UCO2001</t>
        </is>
      </c>
    </row>
    <row r="922">
      <c r="A922" s="2" t="str">
        <f>HYPERLINK("https://vtmf.veevavault.com/ui/#doc_info/31138980/1/0", "77242113UCO2001-CZE-Z92-CZ10009-Site Signature Sheet-06 Jan 2026 (v1.0)")</f>
        <v>77242113UCO2001-CZE-Z92-CZ10009-Site Signature Sheet-06 Jan 2026 (v1.0)</v>
      </c>
      <c r="B922" s="3" t="inlineStr">
        <is>
          <t>Bela Lukavcová</t>
        </is>
      </c>
      <c r="C922" s="3" t="inlineStr">
        <is>
          <t>Site Management</t>
        </is>
      </c>
      <c r="D922" s="3" t="inlineStr">
        <is>
          <t>Site Set-up Documentation</t>
        </is>
      </c>
      <c r="E922" s="3" t="inlineStr">
        <is>
          <t>Site Signature Sheet</t>
        </is>
      </c>
      <c r="F922" s="3" t="inlineStr">
        <is>
          <t>Training log_Site staff_06Jan2026</t>
        </is>
      </c>
      <c r="G922" s="2" t="str">
        <f>HYPERLINK("https://vtmf.veevavault.com/ui/#doc_info/31138980/1/0", "VTMF-25106283")</f>
        <v>VTMF-25106283</v>
      </c>
      <c r="H922" s="3" t="inlineStr">
        <is>
          <t/>
        </is>
      </c>
      <c r="I922" s="3" t="inlineStr">
        <is>
          <t>Bela Lukavcová</t>
        </is>
      </c>
      <c r="J922" s="3" t="inlineStr">
        <is>
          <t>Bela Lukavcová</t>
        </is>
      </c>
      <c r="K922" s="4" t="n">
        <v>46090.543958333335</v>
      </c>
      <c r="L922" s="5" t="n">
        <v>46090.0</v>
      </c>
      <c r="M922" s="3" t="inlineStr">
        <is>
          <t>Approved</t>
        </is>
      </c>
      <c r="N922" s="3" t="inlineStr">
        <is>
          <t>Available for Distribution, CLIX Filing, Site Close, Study Start</t>
        </is>
      </c>
      <c r="O922" s="3" t="inlineStr">
        <is>
          <t>Czech Republic</t>
        </is>
      </c>
      <c r="P922" s="3" t="inlineStr">
        <is>
          <t>Z92-CZ10009</t>
        </is>
      </c>
      <c r="Q922" s="3" t="inlineStr">
        <is>
          <t>77242113UCO2001</t>
        </is>
      </c>
    </row>
    <row r="923">
      <c r="A923" s="2" t="str">
        <f>HYPERLINK("https://vtmf.veevavault.com/ui/#doc_info/25522829/4/0", "77242113UCO2001-CZE-Z92-CZ10009-Site Signature Sheet-30 Apr 2025 (v4.0)")</f>
        <v>77242113UCO2001-CZE-Z92-CZ10009-Site Signature Sheet-30 Apr 2025 (v4.0)</v>
      </c>
      <c r="B923" s="3" t="inlineStr">
        <is>
          <t>Lenka Placha</t>
        </is>
      </c>
      <c r="C923" s="3" t="inlineStr">
        <is>
          <t>Site Management</t>
        </is>
      </c>
      <c r="D923" s="3" t="inlineStr">
        <is>
          <t>Site Set-up Documentation</t>
        </is>
      </c>
      <c r="E923" s="3" t="inlineStr">
        <is>
          <t>Site Signature Sheet</t>
        </is>
      </c>
      <c r="F923" s="3" t="inlineStr">
        <is>
          <t>DL_Peterka Martin_revised-site Z92-CZ10009_30Apr2025</t>
        </is>
      </c>
      <c r="G923" s="2" t="str">
        <f>HYPERLINK("https://vtmf.veevavault.com/ui/#doc_info/25522829/4/0", "VTMF-20359338")</f>
        <v>VTMF-20359338</v>
      </c>
      <c r="H923" s="3" t="inlineStr">
        <is>
          <t/>
        </is>
      </c>
      <c r="I923" s="3" t="inlineStr">
        <is>
          <t>Anthony Suarez (veeva.com)</t>
        </is>
      </c>
      <c r="J923" s="3" t="inlineStr">
        <is>
          <t>Lenka Placha</t>
        </is>
      </c>
      <c r="K923" s="4" t="n">
        <v>45911.38644675926</v>
      </c>
      <c r="L923" s="5" t="n">
        <v>45911.0</v>
      </c>
      <c r="M923" s="3" t="inlineStr">
        <is>
          <t>Approved</t>
        </is>
      </c>
      <c r="N923" s="3" t="inlineStr">
        <is>
          <t>Available for Distribution, CLIX Filing, Site Close</t>
        </is>
      </c>
      <c r="O923" s="3" t="inlineStr">
        <is>
          <t>Czech Republic</t>
        </is>
      </c>
      <c r="P923" s="3" t="inlineStr">
        <is>
          <t>Z92-CZ10009</t>
        </is>
      </c>
      <c r="Q923" s="3" t="inlineStr">
        <is>
          <t>77242113UCO2001</t>
        </is>
      </c>
    </row>
    <row r="924">
      <c r="A924" s="2" t="str">
        <f>HYPERLINK("https://vtmf.veevavault.com/ui/#doc_info/25939375/1/0", "77242113UCO2001-CZE-Z92-CZ10009-Site Training Documentation-01 Jun 2023 (v1.0)")</f>
        <v>77242113UCO2001-CZE-Z92-CZ10009-Site Training Documentation-01 Jun 2023 (v1.0)</v>
      </c>
      <c r="B924" s="3" t="inlineStr">
        <is>
          <t>Lenka Placha</t>
        </is>
      </c>
      <c r="C924" s="3" t="inlineStr">
        <is>
          <t>Site Management</t>
        </is>
      </c>
      <c r="D924" s="3" t="inlineStr">
        <is>
          <t>Site Initiation</t>
        </is>
      </c>
      <c r="E924" s="3" t="inlineStr">
        <is>
          <t>Site Training Documentation</t>
        </is>
      </c>
      <c r="F924" s="3" t="inlineStr">
        <is>
          <t>IATA certificate_SN Matouchova Kamila_initial_01Jun23-01Jun25</t>
        </is>
      </c>
      <c r="G924" s="2" t="str">
        <f>HYPERLINK("https://vtmf.veevavault.com/ui/#doc_info/25939375/1/0", "VTMF-20726420")</f>
        <v>VTMF-20726420</v>
      </c>
      <c r="H924" s="3" t="inlineStr">
        <is>
          <t/>
        </is>
      </c>
      <c r="I924" s="3" t="inlineStr">
        <is>
          <t>Anthony Suarez (veeva.com)</t>
        </is>
      </c>
      <c r="J924" s="3" t="inlineStr">
        <is>
          <t>Lenka Placha</t>
        </is>
      </c>
      <c r="K924" s="4" t="n">
        <v>45368.00780092592</v>
      </c>
      <c r="L924" s="5" t="n">
        <v>45367.0</v>
      </c>
      <c r="M924" s="3" t="inlineStr">
        <is>
          <t>Approved</t>
        </is>
      </c>
      <c r="N924" s="3" t="inlineStr">
        <is>
          <t>Available for Distribution, CLIX Filing, Site Close</t>
        </is>
      </c>
      <c r="O924" s="3" t="inlineStr">
        <is>
          <t>Czech Republic</t>
        </is>
      </c>
      <c r="P924" s="3" t="inlineStr">
        <is>
          <t>Z92-CZ10009</t>
        </is>
      </c>
      <c r="Q924" s="3" t="inlineStr">
        <is>
          <t>77242113UCO2001</t>
        </is>
      </c>
    </row>
    <row r="925">
      <c r="A925" s="2" t="str">
        <f>HYPERLINK("https://vtmf.veevavault.com/ui/#doc_info/25939376/1/0", "77242113UCO2001-CZE-Z92-CZ10009-Site Training Documentation-01 Jun 2023 (v1.0)")</f>
        <v>77242113UCO2001-CZE-Z92-CZ10009-Site Training Documentation-01 Jun 2023 (v1.0)</v>
      </c>
      <c r="B925" s="3" t="inlineStr">
        <is>
          <t>Lenka Placha</t>
        </is>
      </c>
      <c r="C925" s="3" t="inlineStr">
        <is>
          <t>Site Management</t>
        </is>
      </c>
      <c r="D925" s="3" t="inlineStr">
        <is>
          <t>Site Initiation</t>
        </is>
      </c>
      <c r="E925" s="3" t="inlineStr">
        <is>
          <t>Site Training Documentation</t>
        </is>
      </c>
      <c r="F925" s="3" t="inlineStr">
        <is>
          <t>IATA certificate_PI Peterka Martin_initial_01Jun23-01Jun25</t>
        </is>
      </c>
      <c r="G925" s="2" t="str">
        <f>HYPERLINK("https://vtmf.veevavault.com/ui/#doc_info/25939376/1/0", "VTMF-20726421")</f>
        <v>VTMF-20726421</v>
      </c>
      <c r="H925" s="3" t="inlineStr">
        <is>
          <t/>
        </is>
      </c>
      <c r="I925" s="3" t="inlineStr">
        <is>
          <t>Anthony Suarez (veeva.com)</t>
        </is>
      </c>
      <c r="J925" s="3" t="inlineStr">
        <is>
          <t>Lenka Placha</t>
        </is>
      </c>
      <c r="K925" s="4" t="n">
        <v>45368.00780092592</v>
      </c>
      <c r="L925" s="5" t="n">
        <v>45367.0</v>
      </c>
      <c r="M925" s="3" t="inlineStr">
        <is>
          <t>Approved</t>
        </is>
      </c>
      <c r="N925" s="3" t="inlineStr">
        <is>
          <t>Available for Distribution, CLIX Filing, Site Close</t>
        </is>
      </c>
      <c r="O925" s="3" t="inlineStr">
        <is>
          <t>Czech Republic</t>
        </is>
      </c>
      <c r="P925" s="3" t="inlineStr">
        <is>
          <t>Z92-CZ10009</t>
        </is>
      </c>
      <c r="Q925" s="3" t="inlineStr">
        <is>
          <t>77242113UCO2001</t>
        </is>
      </c>
    </row>
    <row r="926">
      <c r="A926" s="2" t="str">
        <f>HYPERLINK("https://vtmf.veevavault.com/ui/#doc_info/25939377/1/0", "77242113UCO2001-CZE-Z92-CZ10009-Site Training Documentation-01 Jun 2023 (v1.0)")</f>
        <v>77242113UCO2001-CZE-Z92-CZ10009-Site Training Documentation-01 Jun 2023 (v1.0)</v>
      </c>
      <c r="B926" s="3" t="inlineStr">
        <is>
          <t>Lenka Placha</t>
        </is>
      </c>
      <c r="C926" s="3" t="inlineStr">
        <is>
          <t>Site Management</t>
        </is>
      </c>
      <c r="D926" s="3" t="inlineStr">
        <is>
          <t>Site Initiation</t>
        </is>
      </c>
      <c r="E926" s="3" t="inlineStr">
        <is>
          <t>Site Training Documentation</t>
        </is>
      </c>
      <c r="F926" s="3" t="inlineStr">
        <is>
          <t>IATA certificate_SN Fricova Zuzana_initial_01Jun23-01Jun25</t>
        </is>
      </c>
      <c r="G926" s="2" t="str">
        <f>HYPERLINK("https://vtmf.veevavault.com/ui/#doc_info/25939377/1/0", "VTMF-20726422")</f>
        <v>VTMF-20726422</v>
      </c>
      <c r="H926" s="3" t="inlineStr">
        <is>
          <t/>
        </is>
      </c>
      <c r="I926" s="3" t="inlineStr">
        <is>
          <t>Anthony Suarez (veeva.com)</t>
        </is>
      </c>
      <c r="J926" s="3" t="inlineStr">
        <is>
          <t>Lenka Placha</t>
        </is>
      </c>
      <c r="K926" s="4" t="n">
        <v>45368.00780092592</v>
      </c>
      <c r="L926" s="5" t="n">
        <v>45367.0</v>
      </c>
      <c r="M926" s="3" t="inlineStr">
        <is>
          <t>Approved</t>
        </is>
      </c>
      <c r="N926" s="3" t="inlineStr">
        <is>
          <t>Available for Distribution, CLIX Filing, Site Close</t>
        </is>
      </c>
      <c r="O926" s="3" t="inlineStr">
        <is>
          <t>Czech Republic</t>
        </is>
      </c>
      <c r="P926" s="3" t="inlineStr">
        <is>
          <t>Z92-CZ10009</t>
        </is>
      </c>
      <c r="Q926" s="3" t="inlineStr">
        <is>
          <t>77242113UCO2001</t>
        </is>
      </c>
    </row>
    <row r="927">
      <c r="A927" s="2" t="str">
        <f>HYPERLINK("https://vtmf.veevavault.com/ui/#doc_info/25939362/2/0", "77242113UCO2001-CZE-Z92-CZ10009-Site Training Documentation-06 Apr 2025 (v2.0)")</f>
        <v>77242113UCO2001-CZE-Z92-CZ10009-Site Training Documentation-06 Apr 2025 (v2.0)</v>
      </c>
      <c r="B927" s="3" t="inlineStr">
        <is>
          <t>Lenka Placha</t>
        </is>
      </c>
      <c r="C927" s="3" t="inlineStr">
        <is>
          <t>Site Management</t>
        </is>
      </c>
      <c r="D927" s="3" t="inlineStr">
        <is>
          <t>Site Initiation</t>
        </is>
      </c>
      <c r="E927" s="3" t="inlineStr">
        <is>
          <t>Site Training Documentation</t>
        </is>
      </c>
      <c r="F927" s="3" t="inlineStr">
        <is>
          <t>CSSRS certificate_PI Peterka Martin_06APR2025</t>
        </is>
      </c>
      <c r="G927" s="2" t="str">
        <f>HYPERLINK("https://vtmf.veevavault.com/ui/#doc_info/25939362/2/0", "VTMF-20726412")</f>
        <v>VTMF-20726412</v>
      </c>
      <c r="H927" s="3" t="inlineStr">
        <is>
          <t/>
        </is>
      </c>
      <c r="I927" s="3" t="inlineStr">
        <is>
          <t>System</t>
        </is>
      </c>
      <c r="J927" s="3" t="inlineStr">
        <is>
          <t>Agnesa Ruiz Kajtarova</t>
        </is>
      </c>
      <c r="K927" s="4" t="n">
        <v>45943.6280787037</v>
      </c>
      <c r="L927" s="5" t="n">
        <v>45943.0</v>
      </c>
      <c r="M927" s="3" t="inlineStr">
        <is>
          <t>Approved</t>
        </is>
      </c>
      <c r="N927" s="3" t="inlineStr">
        <is>
          <t>Available for Distribution, CLIX Filing, Site Close</t>
        </is>
      </c>
      <c r="O927" s="3" t="inlineStr">
        <is>
          <t>Czech Republic</t>
        </is>
      </c>
      <c r="P927" s="3" t="inlineStr">
        <is>
          <t>Z92-CZ10009</t>
        </is>
      </c>
      <c r="Q927" s="3" t="inlineStr">
        <is>
          <t>77242113UCO2001</t>
        </is>
      </c>
    </row>
    <row r="928">
      <c r="A928" s="2" t="str">
        <f>HYPERLINK("https://vtmf.veevavault.com/ui/#doc_info/25939363/1/0", "77242113UCO2001-CZE-Z92-CZ10009-Site Training Documentation-23 Oct 2022 (v1.0)")</f>
        <v>77242113UCO2001-CZE-Z92-CZ10009-Site Training Documentation-23 Oct 2022 (v1.0)</v>
      </c>
      <c r="B928" s="3" t="inlineStr">
        <is>
          <t>Lenka Placha</t>
        </is>
      </c>
      <c r="C928" s="3" t="inlineStr">
        <is>
          <t>Site Management</t>
        </is>
      </c>
      <c r="D928" s="3" t="inlineStr">
        <is>
          <t>Site Initiation</t>
        </is>
      </c>
      <c r="E928" s="3" t="inlineStr">
        <is>
          <t>Site Training Documentation</t>
        </is>
      </c>
      <c r="F928" s="3" t="inlineStr">
        <is>
          <t>CSSRS certificate_SI Falc Matej_23Oct22</t>
        </is>
      </c>
      <c r="G928" s="2" t="str">
        <f>HYPERLINK("https://vtmf.veevavault.com/ui/#doc_info/25939363/1/0", "VTMF-20726413")</f>
        <v>VTMF-20726413</v>
      </c>
      <c r="H928" s="3" t="inlineStr">
        <is>
          <t/>
        </is>
      </c>
      <c r="I928" s="3" t="inlineStr">
        <is>
          <t>Anthony Suarez (veeva.com)</t>
        </is>
      </c>
      <c r="J928" s="3" t="inlineStr">
        <is>
          <t>Lenka Placha</t>
        </is>
      </c>
      <c r="K928" s="4" t="n">
        <v>45368.00111111111</v>
      </c>
      <c r="L928" s="5" t="n">
        <v>45367.0</v>
      </c>
      <c r="M928" s="3" t="inlineStr">
        <is>
          <t>Approved</t>
        </is>
      </c>
      <c r="N928" s="3" t="inlineStr">
        <is>
          <t>Available for Distribution, CLIX Filing, Site Close</t>
        </is>
      </c>
      <c r="O928" s="3" t="inlineStr">
        <is>
          <t>Czech Republic</t>
        </is>
      </c>
      <c r="P928" s="3" t="inlineStr">
        <is>
          <t>Z92-CZ10009</t>
        </is>
      </c>
      <c r="Q928" s="3" t="inlineStr">
        <is>
          <t>77242113UCO2001</t>
        </is>
      </c>
    </row>
    <row r="929">
      <c r="A929" s="2" t="str">
        <f>HYPERLINK("https://vtmf.veevavault.com/ui/#doc_info/24364227/1/0", "77242113UCO2001-CZE-Z92-CZ10009-Site/Staff Qualification Supporting Information (v1.0)")</f>
        <v>77242113UCO2001-CZE-Z92-CZ10009-Site/Staff Qualification Supporting Information (v1.0)</v>
      </c>
      <c r="B929" s="3" t="inlineStr">
        <is>
          <t>Marketa Zachova</t>
        </is>
      </c>
      <c r="C929" s="3" t="inlineStr">
        <is>
          <t>Site Management</t>
        </is>
      </c>
      <c r="D929" s="3" t="inlineStr">
        <is>
          <t>Site Set-up Documentation</t>
        </is>
      </c>
      <c r="E929" s="3" t="inlineStr">
        <is>
          <t>Site and Staff Qualification Supporting Information</t>
        </is>
      </c>
      <c r="F929" s="3" t="inlineStr">
        <is>
          <t>N1_Site Suitability Form Nemocnice Slany_CZ_CZE_77242113UCO2001_v1_29Jun2023</t>
        </is>
      </c>
      <c r="G929" s="2" t="str">
        <f>HYPERLINK("https://vtmf.veevavault.com/ui/#doc_info/24364227/1/0", "VTMF-19348061")</f>
        <v>VTMF-19348061</v>
      </c>
      <c r="H929" s="3" t="inlineStr">
        <is>
          <t/>
        </is>
      </c>
      <c r="I929" s="3" t="inlineStr">
        <is>
          <t>Anthony Suarez (veeva.com)</t>
        </is>
      </c>
      <c r="J929" s="3" t="inlineStr">
        <is>
          <t>Marketa Zachova</t>
        </is>
      </c>
      <c r="K929" s="4" t="n">
        <v>45107.433969907404</v>
      </c>
      <c r="L929" s="5" t="n">
        <v>45107.0</v>
      </c>
      <c r="M929" s="3" t="inlineStr">
        <is>
          <t>Approved</t>
        </is>
      </c>
      <c r="N929" s="3" t="inlineStr">
        <is>
          <t>Available for Distribution, CLIX Filing, Site Close</t>
        </is>
      </c>
      <c r="O929" s="3" t="inlineStr">
        <is>
          <t>Czech Republic</t>
        </is>
      </c>
      <c r="P929" s="3" t="inlineStr">
        <is>
          <t>Z92-CZ10009</t>
        </is>
      </c>
      <c r="Q929" s="3" t="inlineStr">
        <is>
          <t>77242113UCO2001</t>
        </is>
      </c>
    </row>
    <row r="930">
      <c r="A930" s="2" t="str">
        <f>HYPERLINK("https://vtmf.veevavault.com/ui/#doc_info/24366340/1/0", "77242113UCO2001-CZE-Z92-CZ10009-Site/Staff Qualification Supporting Information (v1.0)")</f>
        <v>77242113UCO2001-CZE-Z92-CZ10009-Site/Staff Qualification Supporting Information (v1.0)</v>
      </c>
      <c r="B930" s="3" t="inlineStr">
        <is>
          <t>Jitka Kone</t>
        </is>
      </c>
      <c r="C930" s="3" t="inlineStr">
        <is>
          <t>Site Management</t>
        </is>
      </c>
      <c r="D930" s="3" t="inlineStr">
        <is>
          <t>Site Set-up Documentation</t>
        </is>
      </c>
      <c r="E930" s="3" t="inlineStr">
        <is>
          <t>Site and Staff Qualification Supporting Information</t>
        </is>
      </c>
      <c r="F930" s="3" t="inlineStr">
        <is>
          <t>REDACTED_N1_Site Suitability Form Nemocnice Slany_ CZ_CZE
77242113UCO2001_v1_29Jun2023</t>
        </is>
      </c>
      <c r="G930" s="2" t="str">
        <f>HYPERLINK("https://vtmf.veevavault.com/ui/#doc_info/24366340/1/0", "VTMF-19349801")</f>
        <v>VTMF-19349801</v>
      </c>
      <c r="H930" s="3" t="inlineStr">
        <is>
          <t/>
        </is>
      </c>
      <c r="I930" s="3" t="inlineStr">
        <is>
          <t>Anthony Suarez (veeva.com)</t>
        </is>
      </c>
      <c r="J930" s="3" t="inlineStr">
        <is>
          <t>Jitka Kone</t>
        </is>
      </c>
      <c r="K930" s="4" t="n">
        <v>45107.62824074074</v>
      </c>
      <c r="L930" s="5" t="n">
        <v>45107.0</v>
      </c>
      <c r="M930" s="3" t="inlineStr">
        <is>
          <t>Approved</t>
        </is>
      </c>
      <c r="N930" s="3" t="inlineStr">
        <is>
          <t>Available for Distribution, CLIX Filing, Site Close</t>
        </is>
      </c>
      <c r="O930" s="3" t="inlineStr">
        <is>
          <t>Czech Republic</t>
        </is>
      </c>
      <c r="P930" s="3" t="inlineStr">
        <is>
          <t>Z92-CZ10009</t>
        </is>
      </c>
      <c r="Q930" s="3" t="inlineStr">
        <is>
          <t>77242113UCO2001</t>
        </is>
      </c>
    </row>
    <row r="931">
      <c r="A931" s="2" t="str">
        <f>HYPERLINK("https://vtmf.veevavault.com/ui/#doc_info/31138580/1/0", "77242113UCO2001-CZE-Z92-CZ10009-Site/Staff Qualification Supporting Information (v1.0)")</f>
        <v>77242113UCO2001-CZE-Z92-CZ10009-Site/Staff Qualification Supporting Information (v1.0)</v>
      </c>
      <c r="B931" s="3" t="inlineStr">
        <is>
          <t>Bela Lukavcová</t>
        </is>
      </c>
      <c r="C931" s="3" t="inlineStr">
        <is>
          <t>Site Management</t>
        </is>
      </c>
      <c r="D931" s="3" t="inlineStr">
        <is>
          <t>Site Set-up Documentation</t>
        </is>
      </c>
      <c r="E931" s="3" t="inlineStr">
        <is>
          <t>Site and Staff Qualification Supporting Information</t>
        </is>
      </c>
      <c r="F931" s="3" t="inlineStr">
        <is>
          <t>DrugDev Final Report_Site Staff</t>
        </is>
      </c>
      <c r="G931" s="2" t="str">
        <f>HYPERLINK("https://vtmf.veevavault.com/ui/#doc_info/31138580/1/0", "VTMF-25105958")</f>
        <v>VTMF-25105958</v>
      </c>
      <c r="H931" s="3" t="inlineStr">
        <is>
          <t/>
        </is>
      </c>
      <c r="I931" s="3" t="inlineStr">
        <is>
          <t>System</t>
        </is>
      </c>
      <c r="J931" s="3" t="inlineStr">
        <is>
          <t>Bela Lukavcová</t>
        </is>
      </c>
      <c r="K931" s="4" t="n">
        <v>46090.50622685185</v>
      </c>
      <c r="L931" s="5" t="n">
        <v>46090.0</v>
      </c>
      <c r="M931" s="3" t="inlineStr">
        <is>
          <t>Approved</t>
        </is>
      </c>
      <c r="N931" s="3" t="inlineStr">
        <is>
          <t>Available for Distribution, CLIX Filing, Site Start</t>
        </is>
      </c>
      <c r="O931" s="3" t="inlineStr">
        <is>
          <t>Czech Republic</t>
        </is>
      </c>
      <c r="P931" s="3" t="inlineStr">
        <is>
          <t>Z92-CZ10009</t>
        </is>
      </c>
      <c r="Q931" s="3" t="inlineStr">
        <is>
          <t>77242113UCO2001</t>
        </is>
      </c>
    </row>
    <row r="932">
      <c r="A932" s="2" t="str">
        <f>HYPERLINK("https://vtmf.veevavault.com/ui/#doc_info/25489466/1/0", "77242113UCO2001-CZE-Z92-CZ10009-Source Data-11 Jan 2024 (v1.0)")</f>
        <v>77242113UCO2001-CZE-Z92-CZ10009-Source Data-11 Jan 2024 (v1.0)</v>
      </c>
      <c r="B932" s="3" t="inlineStr">
        <is>
          <t>VI-2153 Enterprise RPA Bot</t>
        </is>
      </c>
      <c r="C932" s="3" t="inlineStr">
        <is>
          <t>Site Management</t>
        </is>
      </c>
      <c r="D932" s="3" t="inlineStr">
        <is>
          <t>Site Management</t>
        </is>
      </c>
      <c r="E932" s="3" t="inlineStr">
        <is>
          <t>Source Data</t>
        </is>
      </c>
      <c r="F932" s="3" t="inlineStr">
        <is>
          <t>SDIA</t>
        </is>
      </c>
      <c r="G932" s="2" t="str">
        <f>HYPERLINK("https://vtmf.veevavault.com/ui/#doc_info/25489466/1/0", "VTMF-20330073")</f>
        <v>VTMF-20330073</v>
      </c>
      <c r="H932" s="3" t="inlineStr">
        <is>
          <t/>
        </is>
      </c>
      <c r="I932" s="3" t="inlineStr">
        <is>
          <t>Anthony Suarez (veeva.com)</t>
        </is>
      </c>
      <c r="J932" s="3" t="inlineStr">
        <is>
          <t>VI-2153 Enterprise RPA Bot</t>
        </is>
      </c>
      <c r="K932" s="4" t="n">
        <v>45302.77980324074</v>
      </c>
      <c r="L932" s="5" t="n">
        <v>45303.0</v>
      </c>
      <c r="M932" s="3" t="inlineStr">
        <is>
          <t>Approved</t>
        </is>
      </c>
      <c r="N932" s="3" t="inlineStr">
        <is>
          <t>Available for Distribution, CLIX Filing, Site Close</t>
        </is>
      </c>
      <c r="O932" s="3" t="inlineStr">
        <is>
          <t>Czech Republic</t>
        </is>
      </c>
      <c r="P932" s="3" t="inlineStr">
        <is>
          <t>Z92-CZ10009</t>
        </is>
      </c>
      <c r="Q932" s="3" t="inlineStr">
        <is>
          <t>77242113UCO2001</t>
        </is>
      </c>
    </row>
    <row r="933">
      <c r="A933" s="2" t="str">
        <f>HYPERLINK("https://vtmf.veevavault.com/ui/#doc_info/29927990/1/0", "77242113UCO2001-CZE-Z92-CZ10009-Source Data-14 Jul 2025 (v1.0)")</f>
        <v>77242113UCO2001-CZE-Z92-CZ10009-Source Data-14 Jul 2025 (v1.0)</v>
      </c>
      <c r="B933" s="3" t="inlineStr">
        <is>
          <t>Lenka Placha</t>
        </is>
      </c>
      <c r="C933" s="3" t="inlineStr">
        <is>
          <t>Site Management</t>
        </is>
      </c>
      <c r="D933" s="3" t="inlineStr">
        <is>
          <t>Site Management</t>
        </is>
      </c>
      <c r="E933" s="3" t="inlineStr">
        <is>
          <t>Source Data</t>
        </is>
      </c>
      <c r="F933" s="3" t="inlineStr">
        <is>
          <t>Site confirmation video receipt form- ALIMENTIV_PI Peterka Martin_14Apr2025- email 14Jul2025</t>
        </is>
      </c>
      <c r="G933" s="2" t="str">
        <f>HYPERLINK("https://vtmf.veevavault.com/ui/#doc_info/29927990/1/0", "VTMF-24091584")</f>
        <v>VTMF-24091584</v>
      </c>
      <c r="H933" s="3" t="inlineStr">
        <is>
          <t/>
        </is>
      </c>
      <c r="I933" s="3" t="inlineStr">
        <is>
          <t>Anthony Suarez (veeva.com)</t>
        </is>
      </c>
      <c r="J933" s="3" t="inlineStr">
        <is>
          <t>Lenka Placha</t>
        </is>
      </c>
      <c r="K933" s="4" t="n">
        <v>45910.771782407406</v>
      </c>
      <c r="L933" s="5" t="n">
        <v>45910.0</v>
      </c>
      <c r="M933" s="3" t="inlineStr">
        <is>
          <t>Approved</t>
        </is>
      </c>
      <c r="N933" s="3" t="inlineStr">
        <is>
          <t>Available for Distribution, CLIX Filing, Site Start</t>
        </is>
      </c>
      <c r="O933" s="3" t="inlineStr">
        <is>
          <t>Czech Republic</t>
        </is>
      </c>
      <c r="P933" s="3" t="inlineStr">
        <is>
          <t>Z92-CZ10009</t>
        </is>
      </c>
      <c r="Q933" s="3" t="inlineStr">
        <is>
          <t>77242113UCO2001</t>
        </is>
      </c>
    </row>
    <row r="934">
      <c r="A934" s="2" t="str">
        <f>HYPERLINK("https://vtmf.veevavault.com/ui/#doc_info/25939359/1/0", "77242113UCO2001-CZE-Z92-CZ10009-Sub-Investigator Curriculum Vitae-09 Jan 2024 (v1.0)")</f>
        <v>77242113UCO2001-CZE-Z92-CZ10009-Sub-Investigator Curriculum Vitae-09 Jan 2024 (v1.0)</v>
      </c>
      <c r="B934" s="3" t="inlineStr">
        <is>
          <t>Lenka Placha</t>
        </is>
      </c>
      <c r="C934" s="3" t="inlineStr">
        <is>
          <t>Site Management</t>
        </is>
      </c>
      <c r="D934" s="3" t="inlineStr">
        <is>
          <t>Site Set-up Documentation</t>
        </is>
      </c>
      <c r="E934" s="3" t="inlineStr">
        <is>
          <t>Sub-Investigator Curriculum Vitae</t>
        </is>
      </c>
      <c r="F934" s="3" t="inlineStr">
        <is>
          <t>CV_SI_EN_ Falc Matej_initial_09Jan24</t>
        </is>
      </c>
      <c r="G934" s="2" t="str">
        <f>HYPERLINK("https://vtmf.veevavault.com/ui/#doc_info/25939359/1/0", "VTMF-20726410")</f>
        <v>VTMF-20726410</v>
      </c>
      <c r="H934" s="3" t="inlineStr">
        <is>
          <t/>
        </is>
      </c>
      <c r="I934" s="3" t="inlineStr">
        <is>
          <t>Anthony Suarez (veeva.com)</t>
        </is>
      </c>
      <c r="J934" s="3" t="inlineStr">
        <is>
          <t>Lenka Placha</t>
        </is>
      </c>
      <c r="K934" s="4" t="n">
        <v>45367.99466435185</v>
      </c>
      <c r="L934" s="5" t="n">
        <v>45367.0</v>
      </c>
      <c r="M934" s="3" t="inlineStr">
        <is>
          <t>Approved</t>
        </is>
      </c>
      <c r="N934" s="3" t="inlineStr">
        <is>
          <t>Available for Distribution, CLIX Filing, Site Close</t>
        </is>
      </c>
      <c r="O934" s="3" t="inlineStr">
        <is>
          <t>Czech Republic</t>
        </is>
      </c>
      <c r="P934" s="3" t="inlineStr">
        <is>
          <t>Z92-CZ10009</t>
        </is>
      </c>
      <c r="Q934" s="3" t="inlineStr">
        <is>
          <t>77242113UCO2001</t>
        </is>
      </c>
    </row>
    <row r="935">
      <c r="A935" s="2" t="str">
        <f>HYPERLINK("https://vtmf.veevavault.com/ui/#doc_info/31138862/1/0", "77242113UCO2001-CZE-Z92-CZ10009-Subject Screening Log-04 Mar 2026 (v1.0)")</f>
        <v>77242113UCO2001-CZE-Z92-CZ10009-Subject Screening Log-04 Mar 2026 (v1.0)</v>
      </c>
      <c r="B935" s="3" t="inlineStr">
        <is>
          <t>Bela Lukavcová</t>
        </is>
      </c>
      <c r="C935" s="3" t="inlineStr">
        <is>
          <t>Site Management</t>
        </is>
      </c>
      <c r="D935" s="3" t="inlineStr">
        <is>
          <t>Site Management</t>
        </is>
      </c>
      <c r="E935" s="3" t="inlineStr">
        <is>
          <t>Subject Screening Log</t>
        </is>
      </c>
      <c r="F935" s="3" t="inlineStr">
        <is>
          <t>Subject Screening Log_04Mar2026</t>
        </is>
      </c>
      <c r="G935" s="2" t="str">
        <f>HYPERLINK("https://vtmf.veevavault.com/ui/#doc_info/31138862/1/0", "VTMF-25106143")</f>
        <v>VTMF-25106143</v>
      </c>
      <c r="H935" s="3" t="inlineStr">
        <is>
          <t/>
        </is>
      </c>
      <c r="I935" s="3" t="inlineStr">
        <is>
          <t>System</t>
        </is>
      </c>
      <c r="J935" s="3" t="inlineStr">
        <is>
          <t>Bela Lukavcová</t>
        </is>
      </c>
      <c r="K935" s="4" t="n">
        <v>46090.52546296296</v>
      </c>
      <c r="L935" s="5" t="n">
        <v>46090.0</v>
      </c>
      <c r="M935" s="3" t="inlineStr">
        <is>
          <t>Approved</t>
        </is>
      </c>
      <c r="N935" s="3" t="inlineStr">
        <is>
          <t>Available for Distribution, CLIX Filing, Site Close</t>
        </is>
      </c>
      <c r="O935" s="3" t="inlineStr">
        <is>
          <t>Czech Republic</t>
        </is>
      </c>
      <c r="P935" s="3" t="inlineStr">
        <is>
          <t>Z92-CZ10009</t>
        </is>
      </c>
      <c r="Q935" s="3" t="inlineStr">
        <is>
          <t>77242113UCO2001</t>
        </is>
      </c>
    </row>
    <row r="936">
      <c r="A936" s="2" t="str">
        <f>HYPERLINK("https://vtmf.veevavault.com/ui/#doc_info/30794427/1/0", "77242113UCO2001-CZE-Z92-CZ10009-Subject Screening Log-06 Jan 2026 (v1.0)")</f>
        <v>77242113UCO2001-CZE-Z92-CZ10009-Subject Screening Log-06 Jan 2026 (v1.0)</v>
      </c>
      <c r="B936" s="3" t="inlineStr">
        <is>
          <t>Jitka Kone</t>
        </is>
      </c>
      <c r="C936" s="3" t="inlineStr">
        <is>
          <t>Site Management</t>
        </is>
      </c>
      <c r="D936" s="3" t="inlineStr">
        <is>
          <t>Site Management</t>
        </is>
      </c>
      <c r="E936" s="3" t="inlineStr">
        <is>
          <t>Subject Screening Log</t>
        </is>
      </c>
      <c r="F936" s="3" t="inlineStr">
        <is>
          <t>ICF log</t>
        </is>
      </c>
      <c r="G936" s="2" t="str">
        <f>HYPERLINK("https://vtmf.veevavault.com/ui/#doc_info/30794427/1/0", "VTMF-24815385")</f>
        <v>VTMF-24815385</v>
      </c>
      <c r="H936" s="3" t="inlineStr">
        <is>
          <t/>
        </is>
      </c>
      <c r="I936" s="3" t="inlineStr">
        <is>
          <t>System</t>
        </is>
      </c>
      <c r="J936" s="3" t="inlineStr">
        <is>
          <t>Jitka Kone</t>
        </is>
      </c>
      <c r="K936" s="4" t="n">
        <v>46038.66355324074</v>
      </c>
      <c r="L936" s="5" t="n">
        <v>46038.0</v>
      </c>
      <c r="M936" s="3" t="inlineStr">
        <is>
          <t>Superseded</t>
        </is>
      </c>
      <c r="N936" s="3" t="inlineStr">
        <is>
          <t>Available for Distribution, CLIX Filing, Site Close</t>
        </is>
      </c>
      <c r="O936" s="3" t="inlineStr">
        <is>
          <t>Czech Republic</t>
        </is>
      </c>
      <c r="P936" s="3" t="inlineStr">
        <is>
          <t>Z92-CZ10009</t>
        </is>
      </c>
      <c r="Q936" s="3" t="inlineStr">
        <is>
          <t>77242113UCO2001</t>
        </is>
      </c>
    </row>
    <row r="937">
      <c r="A937" s="2" t="str">
        <f>HYPERLINK("https://vtmf.veevavault.com/ui/#doc_info/29308651/1/0", "77242113UCO2001-CZE-Z92-CZ10009-Subject Screening Log-12 May 2025 (v1.0)")</f>
        <v>77242113UCO2001-CZE-Z92-CZ10009-Subject Screening Log-12 May 2025 (v1.0)</v>
      </c>
      <c r="B937" s="3" t="inlineStr">
        <is>
          <t>Lenka Placha</t>
        </is>
      </c>
      <c r="C937" s="3" t="inlineStr">
        <is>
          <t>Site Management</t>
        </is>
      </c>
      <c r="D937" s="3" t="inlineStr">
        <is>
          <t>Site Management</t>
        </is>
      </c>
      <c r="E937" s="3" t="inlineStr">
        <is>
          <t>Subject Screening Log</t>
        </is>
      </c>
      <c r="F937" s="3" t="inlineStr">
        <is>
          <t>Subj screening log- site Z92-CZ10009_12May25</t>
        </is>
      </c>
      <c r="G937" s="2" t="str">
        <f>HYPERLINK("https://vtmf.veevavault.com/ui/#doc_info/29308651/1/0", "VTMF-23559141")</f>
        <v>VTMF-23559141</v>
      </c>
      <c r="H937" s="3" t="inlineStr">
        <is>
          <t/>
        </is>
      </c>
      <c r="I937" s="3" t="inlineStr">
        <is>
          <t>System</t>
        </is>
      </c>
      <c r="J937" s="3" t="inlineStr">
        <is>
          <t>Lenka Placha</t>
        </is>
      </c>
      <c r="K937" s="4" t="n">
        <v>45814.8278587963</v>
      </c>
      <c r="L937" s="5" t="n">
        <v>45814.0</v>
      </c>
      <c r="M937" s="3" t="inlineStr">
        <is>
          <t>Approved</t>
        </is>
      </c>
      <c r="N937" s="3" t="inlineStr">
        <is>
          <t>Available for Distribution, CLIX Filing, Site Close</t>
        </is>
      </c>
      <c r="O937" s="3" t="inlineStr">
        <is>
          <t>Czech Republic</t>
        </is>
      </c>
      <c r="P937" s="3" t="inlineStr">
        <is>
          <t>Z92-CZ10009</t>
        </is>
      </c>
      <c r="Q937" s="3" t="inlineStr">
        <is>
          <t>77242113UCO2001</t>
        </is>
      </c>
    </row>
    <row r="938">
      <c r="A938" s="2" t="str">
        <f>HYPERLINK("https://vtmf.veevavault.com/ui/#doc_info/31138825/1/0", "77242113UCO2001-CZE-Z92-CZ10009-Temperature Log (v1.0)")</f>
        <v>77242113UCO2001-CZE-Z92-CZ10009-Temperature Log (v1.0)</v>
      </c>
      <c r="B938" s="3" t="inlineStr">
        <is>
          <t>Bela Lukavcová</t>
        </is>
      </c>
      <c r="C938" s="3" t="inlineStr">
        <is>
          <t>IP and Trial Supplies</t>
        </is>
      </c>
      <c r="D938" s="3" t="inlineStr">
        <is>
          <t>IP Documentation</t>
        </is>
      </c>
      <c r="E938" s="3" t="inlineStr">
        <is>
          <t>Temperature Log</t>
        </is>
      </c>
      <c r="F938" s="3" t="inlineStr">
        <is>
          <t>IP Temperature log_Mar2024-Dec2025</t>
        </is>
      </c>
      <c r="G938" s="2" t="str">
        <f>HYPERLINK("https://vtmf.veevavault.com/ui/#doc_info/31138825/1/0", "VTMF-25106057")</f>
        <v>VTMF-25106057</v>
      </c>
      <c r="H938" s="3" t="inlineStr">
        <is>
          <t/>
        </is>
      </c>
      <c r="I938" s="3" t="inlineStr">
        <is>
          <t>System</t>
        </is>
      </c>
      <c r="J938" s="3" t="inlineStr">
        <is>
          <t>Bela Lukavcová</t>
        </is>
      </c>
      <c r="K938" s="4" t="n">
        <v>46090.5180787037</v>
      </c>
      <c r="L938" s="5" t="n">
        <v>46090.0</v>
      </c>
      <c r="M938" s="3" t="inlineStr">
        <is>
          <t>Approved</t>
        </is>
      </c>
      <c r="N938" s="3" t="inlineStr">
        <is>
          <t>Site Close</t>
        </is>
      </c>
      <c r="O938" s="3" t="inlineStr">
        <is>
          <t>Czech Republic</t>
        </is>
      </c>
      <c r="P938" s="3" t="inlineStr">
        <is>
          <t>Z92-CZ10009</t>
        </is>
      </c>
      <c r="Q938" s="3" t="inlineStr">
        <is>
          <t>77242113UCO2001</t>
        </is>
      </c>
    </row>
    <row r="939">
      <c r="A939" s="2" t="str">
        <f>HYPERLINK("https://vtmf.veevavault.com/ui/#doc_info/29868467/1/0", "77242113UCO2001-CZE-Z92-CZ10009-Temperature Monitor Validation/Calibration Cert.-07 Aug 2025 (v1.0)")</f>
        <v>77242113UCO2001-CZE-Z92-CZ10009-Temperature Monitor Validation/Calibration Cert.-07 Aug 2025 (v1.0)</v>
      </c>
      <c r="B939" s="3" t="inlineStr">
        <is>
          <t>Jitka Kone</t>
        </is>
      </c>
      <c r="C939" s="3" t="inlineStr">
        <is>
          <t>IP and Trial Supplies</t>
        </is>
      </c>
      <c r="D939" s="3" t="inlineStr">
        <is>
          <t>Storage</t>
        </is>
      </c>
      <c r="E939" s="3" t="inlineStr">
        <is>
          <t>Temperature Monitor Validation/Calibration Certificates</t>
        </is>
      </c>
      <c r="F939" s="3" t="inlineStr">
        <is>
          <t>Calibration certificate datalogger KLT-25K-9093</t>
        </is>
      </c>
      <c r="G939" s="2" t="str">
        <f>HYPERLINK("https://vtmf.veevavault.com/ui/#doc_info/29868467/1/0", "VTMF-24040477")</f>
        <v>VTMF-24040477</v>
      </c>
      <c r="H939" s="3" t="inlineStr">
        <is>
          <t/>
        </is>
      </c>
      <c r="I939" s="3" t="inlineStr">
        <is>
          <t>Anthony Suarez (veeva.com)</t>
        </is>
      </c>
      <c r="J939" s="3" t="inlineStr">
        <is>
          <t>Jitka Kone</t>
        </is>
      </c>
      <c r="K939" s="4" t="n">
        <v>45901.55260416667</v>
      </c>
      <c r="L939" s="5" t="n">
        <v>45901.0</v>
      </c>
      <c r="M939" s="3" t="inlineStr">
        <is>
          <t>Approved</t>
        </is>
      </c>
      <c r="N939" s="3" t="inlineStr">
        <is>
          <t>Available for Distribution, CLIX Filing, Country Close, Site Close, Study Close</t>
        </is>
      </c>
      <c r="O939" s="3" t="inlineStr">
        <is>
          <t>Czech Republic</t>
        </is>
      </c>
      <c r="P939" s="3" t="inlineStr">
        <is>
          <t>Z92-CZ10009</t>
        </is>
      </c>
      <c r="Q939" s="3" t="inlineStr">
        <is>
          <t>77242113UCO2001</t>
        </is>
      </c>
    </row>
    <row r="940">
      <c r="A940" s="2" t="str">
        <f>HYPERLINK("https://vtmf.veevavault.com/ui/#doc_info/27083929/1/0", "77242113UCO2001-CZE-Z92-CZ10009-Temperature Monitor Validation/Calibration Cert.-27 Aug 2024 (v1.0)")</f>
        <v>77242113UCO2001-CZE-Z92-CZ10009-Temperature Monitor Validation/Calibration Cert.-27 Aug 2024 (v1.0)</v>
      </c>
      <c r="B940" s="3" t="inlineStr">
        <is>
          <t>Jitka Kone</t>
        </is>
      </c>
      <c r="C940" s="3" t="inlineStr">
        <is>
          <t>IP and Trial Supplies</t>
        </is>
      </c>
      <c r="D940" s="3" t="inlineStr">
        <is>
          <t>Storage</t>
        </is>
      </c>
      <c r="E940" s="3" t="inlineStr">
        <is>
          <t>Temperature Monitor Validation/Calibration Certificates</t>
        </is>
      </c>
      <c r="F940" s="3" t="inlineStr">
        <is>
          <t>Calibration certificate Datalogger</t>
        </is>
      </c>
      <c r="G940" s="2" t="str">
        <f>HYPERLINK("https://vtmf.veevavault.com/ui/#doc_info/27083929/1/0", "VTMF-21711425")</f>
        <v>VTMF-21711425</v>
      </c>
      <c r="H940" s="3" t="inlineStr">
        <is>
          <t/>
        </is>
      </c>
      <c r="I940" s="3" t="inlineStr">
        <is>
          <t>Anthony Suarez (veeva.com)</t>
        </is>
      </c>
      <c r="J940" s="3" t="inlineStr">
        <is>
          <t>Jitka Kone</t>
        </is>
      </c>
      <c r="K940" s="4" t="n">
        <v>45551.64105324074</v>
      </c>
      <c r="L940" s="5" t="n">
        <v>45551.0</v>
      </c>
      <c r="M940" s="3" t="inlineStr">
        <is>
          <t>Approved</t>
        </is>
      </c>
      <c r="N940" s="3" t="inlineStr">
        <is>
          <t>Available for Distribution, CLIX Filing, Site Close</t>
        </is>
      </c>
      <c r="O940" s="3" t="inlineStr">
        <is>
          <t>Czech Republic</t>
        </is>
      </c>
      <c r="P940" s="3" t="inlineStr">
        <is>
          <t>Z92-CZ10009</t>
        </is>
      </c>
      <c r="Q940" s="3" t="inlineStr">
        <is>
          <t>77242113UCO2001</t>
        </is>
      </c>
    </row>
    <row r="941">
      <c r="A941" s="2" t="str">
        <f>HYPERLINK("https://vtmf.veevavault.com/ui/#doc_info/25639758/1/0", "77242113UCO2001-CZE-Z92-CZ10009-Trial Initiation Monitoring Report-12 Jan 2024 (v1.0)")</f>
        <v>77242113UCO2001-CZE-Z92-CZ10009-Trial Initiation Monitoring Report-12 Jan 2024 (v1.0)</v>
      </c>
      <c r="B941" s="3" t="inlineStr">
        <is>
          <t>Admin User Medidata</t>
        </is>
      </c>
      <c r="C941" s="3" t="inlineStr">
        <is>
          <t>Site Management</t>
        </is>
      </c>
      <c r="D941" s="3" t="inlineStr">
        <is>
          <t>Site Initiation</t>
        </is>
      </c>
      <c r="E941" s="3" t="inlineStr">
        <is>
          <t>Trial Initiation Monitoring Report</t>
        </is>
      </c>
      <c r="F941" s="3" t="inlineStr">
        <is>
          <t/>
        </is>
      </c>
      <c r="G941" s="2" t="str">
        <f>HYPERLINK("https://vtmf.veevavault.com/ui/#doc_info/25639758/1/0", "VTMF-20461489")</f>
        <v>VTMF-20461489</v>
      </c>
      <c r="H941" s="3" t="inlineStr">
        <is>
          <t/>
        </is>
      </c>
      <c r="I941" s="3" t="inlineStr">
        <is>
          <t>System</t>
        </is>
      </c>
      <c r="J941" s="3" t="inlineStr">
        <is>
          <t>Admin User Medidata</t>
        </is>
      </c>
      <c r="K941" s="4" t="n">
        <v>45325.07601851852</v>
      </c>
      <c r="L941" s="5" t="n">
        <v>45325.0</v>
      </c>
      <c r="M941" s="3" t="inlineStr">
        <is>
          <t>Approved</t>
        </is>
      </c>
      <c r="N941" s="3" t="inlineStr">
        <is>
          <t>Available for Distribution, CLIX Filing, Site Close</t>
        </is>
      </c>
      <c r="O941" s="3" t="inlineStr">
        <is>
          <t>Czech Republic</t>
        </is>
      </c>
      <c r="P941" s="3" t="inlineStr">
        <is>
          <t>Z92-CZ10009</t>
        </is>
      </c>
      <c r="Q941" s="3" t="inlineStr">
        <is>
          <t>77242113UCO2001</t>
        </is>
      </c>
    </row>
    <row r="942">
      <c r="A942" s="2" t="str">
        <f>HYPERLINK("https://vtmf.veevavault.com/ui/#doc_info/25939348/3/0", "77242113UCO2001-CZE-Z92-CZ10009-Visit Log (v3.0)")</f>
        <v>77242113UCO2001-CZE-Z92-CZ10009-Visit Log (v3.0)</v>
      </c>
      <c r="B942" s="3" t="inlineStr">
        <is>
          <t>Lenka Placha</t>
        </is>
      </c>
      <c r="C942" s="3" t="inlineStr">
        <is>
          <t>Site Management</t>
        </is>
      </c>
      <c r="D942" s="3" t="inlineStr">
        <is>
          <t>Site Management</t>
        </is>
      </c>
      <c r="E942" s="3" t="inlineStr">
        <is>
          <t>Visit Log</t>
        </is>
      </c>
      <c r="F942" s="3" t="inlineStr">
        <is>
          <t>TCVL_site_site Z92-CZ10009-13Sep24</t>
        </is>
      </c>
      <c r="G942" s="2" t="str">
        <f>HYPERLINK("https://vtmf.veevavault.com/ui/#doc_info/25939348/3/0", "VTMF-20726404")</f>
        <v>VTMF-20726404</v>
      </c>
      <c r="H942" s="3" t="inlineStr">
        <is>
          <t/>
        </is>
      </c>
      <c r="I942" s="3" t="inlineStr">
        <is>
          <t>Anthony Suarez (veeva.com)</t>
        </is>
      </c>
      <c r="J942" s="3" t="inlineStr">
        <is>
          <t>Lenka Placha</t>
        </is>
      </c>
      <c r="K942" s="4" t="n">
        <v>45560.74570601852</v>
      </c>
      <c r="L942" s="5" t="n">
        <v>45560.0</v>
      </c>
      <c r="M942" s="3" t="inlineStr">
        <is>
          <t>Approved</t>
        </is>
      </c>
      <c r="N942" s="3" t="inlineStr">
        <is>
          <t>Available for Distribution, CLIX Filing, Site Close</t>
        </is>
      </c>
      <c r="O942" s="3" t="inlineStr">
        <is>
          <t>Czech Republic</t>
        </is>
      </c>
      <c r="P942" s="3" t="inlineStr">
        <is>
          <t>Z92-CZ10009</t>
        </is>
      </c>
      <c r="Q942" s="3" t="inlineStr">
        <is>
          <t>77242113UCO2001</t>
        </is>
      </c>
    </row>
    <row r="943">
      <c r="A943" s="2" t="str">
        <f>HYPERLINK("https://vtmf.veevavault.com/ui/#doc_info/31138846/1/0", "77242113UCO2001-CZE-Z92-CZ10009-Visit Log (v1.0)")</f>
        <v>77242113UCO2001-CZE-Z92-CZ10009-Visit Log (v1.0)</v>
      </c>
      <c r="B943" s="3" t="inlineStr">
        <is>
          <t>Bela Lukavcová</t>
        </is>
      </c>
      <c r="C943" s="3" t="inlineStr">
        <is>
          <t>Site Management</t>
        </is>
      </c>
      <c r="D943" s="3" t="inlineStr">
        <is>
          <t>Site Management</t>
        </is>
      </c>
      <c r="E943" s="3" t="inlineStr">
        <is>
          <t>Visit Log</t>
        </is>
      </c>
      <c r="F943" s="3" t="inlineStr">
        <is>
          <t>Trial Center Visit Log_04Mar2026</t>
        </is>
      </c>
      <c r="G943" s="2" t="str">
        <f>HYPERLINK("https://vtmf.veevavault.com/ui/#doc_info/31138846/1/0", "VTMF-25106097")</f>
        <v>VTMF-25106097</v>
      </c>
      <c r="H943" s="3" t="inlineStr">
        <is>
          <t/>
        </is>
      </c>
      <c r="I943" s="3" t="inlineStr">
        <is>
          <t>System</t>
        </is>
      </c>
      <c r="J943" s="3" t="inlineStr">
        <is>
          <t>Bela Lukavcová</t>
        </is>
      </c>
      <c r="K943" s="4" t="n">
        <v>46090.521782407406</v>
      </c>
      <c r="L943" s="5" t="n">
        <v>46090.0</v>
      </c>
      <c r="M943" s="3" t="inlineStr">
        <is>
          <t>Approved</t>
        </is>
      </c>
      <c r="N943" s="3" t="inlineStr">
        <is>
          <t>Available for Distribution, CLIX Filing, Site Close</t>
        </is>
      </c>
      <c r="O943" s="3" t="inlineStr">
        <is>
          <t>Czech Republic</t>
        </is>
      </c>
      <c r="P943" s="3" t="inlineStr">
        <is>
          <t>Z92-CZ10009</t>
        </is>
      </c>
      <c r="Q943" s="3" t="inlineStr">
        <is>
          <t>77242113UCO2001</t>
        </is>
      </c>
    </row>
  </sheetData>
  <autoFilter ref="A1:Q943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2026-06-18T03:27:14Z</dcterms:created>
  <dc:creator>Apache POI</dc:creator>
</cp:coreProperties>
</file>