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Sheet0!$A$1:$O$1975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HYPERLINK("https://vtmf.veevavault.com/ui/#doc_info/23978417/1/0", "17000139BLC3004---Other Information Given to Investigators-03 May 2023 (v1.0)")</f>
        <v>17000139BLC3004---Other Information Given to Investigators-03 May 2023 (v1.0)</v>
      </c>
      <c r="B4" s="3" t="inlineStr">
        <is>
          <t>Central Trial Documents</t>
        </is>
      </c>
      <c r="C4" s="3" t="inlineStr">
        <is>
          <t>Subject Documents</t>
        </is>
      </c>
      <c r="D4" s="3" t="inlineStr">
        <is>
          <t>Other Information Given to Investigators</t>
        </is>
      </c>
      <c r="E4" s="3" t="inlineStr">
        <is>
          <t>Janssen Institution Level_Cover Letter_Greenphire US Site Stipend and Travel Assistance Program Acknowledgement Form</t>
        </is>
      </c>
      <c r="F4" s="2" t="str">
        <f>HYPERLINK("https://vtmf.veevavault.com/ui/#doc_info/23978417/1/0", "VTMF-19008643")</f>
        <v>VTMF-19008643</v>
      </c>
      <c r="G4" s="3" t="inlineStr">
        <is>
          <t/>
        </is>
      </c>
      <c r="H4" s="3" t="inlineStr">
        <is>
          <t>System</t>
        </is>
      </c>
      <c r="I4" s="3" t="inlineStr">
        <is>
          <t>Kathy Grebenchinko</t>
        </is>
      </c>
      <c r="J4" s="4" t="n">
        <v>45065.67354166666</v>
      </c>
      <c r="K4" s="5" t="n">
        <v>45083.0</v>
      </c>
      <c r="L4" s="5" t="n">
        <v>45049.0</v>
      </c>
      <c r="M4" s="3" t="inlineStr">
        <is>
          <t>Approved</t>
        </is>
      </c>
      <c r="N4" s="3" t="inlineStr">
        <is>
          <t>Available for Distribution, Country Start, Site Start, Study Start</t>
        </is>
      </c>
      <c r="O4" s="3" t="inlineStr">
        <is>
          <t>17000139BLC3004, 42756493BLC1003, 42756493BLC3004, 42756493BLC3005, 42847922MDD3003, 54135419SUI3003, 54179060CLL2032, 54767414MMY2093, 56021927PCR3020, 61186372COR3001, 61186372COR3002, 61186372HNC2002, 61186372HNC3001, 61186372NSC2007, 61186372NSC2011, 61186372NSC2012, 61186372PANSC2001, 61186372PANSC2002, 61186372PANSC2003, 61186372PANSC2004, 64007957MMY1003, 64007957MMY1008, 64407564MMY2006, 64407564MMY2008, 64407564MMY3009, 67953964MDD3005, 67953964MDD3007, 68284528MMY2012, 74765340RPG2001, 75276617AML3001, 77242113PSA3001, 77242113PSA3002, 78278343PCR3001, 78278343PCR3003, 79635322MMY3001, 80202135EBF3001, 80202135FNAIT3003, 80202135MYG3002, 80202135SJS3001, 81201887MDG3002, 87704916LUC1001, 88549968MPN1001, 90009530LYM1001, 90014496LYM1001, 90301900HNC1001, 90301900NSC2001, 95475939ADM2001, 95597528ADM2001</t>
        </is>
      </c>
    </row>
    <row r="5">
      <c r="A5" s="2" t="str">
        <f>HYPERLINK("https://vtmf.veevavault.com/ui/#doc_info/23978413/2/0", "17000139BLC3004---Other Written Information Give to Subjects-04 Feb 2026 (v2.0)")</f>
        <v>17000139BLC3004---Other Written Information Give to Subjects-04 Feb 2026 (v2.0)</v>
      </c>
      <c r="B5" s="3" t="inlineStr">
        <is>
          <t>Central Trial Documents</t>
        </is>
      </c>
      <c r="C5" s="3" t="inlineStr">
        <is>
          <t>Subject Documents</t>
        </is>
      </c>
      <c r="D5" s="3" t="inlineStr">
        <is>
          <t>Other Information Given to Subjects</t>
        </is>
      </c>
      <c r="E5" s="3" t="inlineStr">
        <is>
          <t>Janssen Institution Level_Cover Letter_Greenphire ClinCard Message Templates V10 Jan2022</t>
        </is>
      </c>
      <c r="F5" s="2" t="str">
        <f>HYPERLINK("https://vtmf.veevavault.com/ui/#doc_info/23978413/2/0", "VTMF-19008639")</f>
        <v>VTMF-19008639</v>
      </c>
      <c r="G5" s="3" t="inlineStr">
        <is>
          <t/>
        </is>
      </c>
      <c r="H5" s="3" t="inlineStr">
        <is>
          <t>System</t>
        </is>
      </c>
      <c r="I5" s="3" t="inlineStr">
        <is>
          <t>Lori Cherrin</t>
        </is>
      </c>
      <c r="J5" s="4" t="n">
        <v>46057.764548611114</v>
      </c>
      <c r="K5" s="5" t="n">
        <v>46057.0</v>
      </c>
      <c r="L5" s="5" t="n">
        <v>46057.0</v>
      </c>
      <c r="M5" s="3" t="inlineStr">
        <is>
          <t>Approved</t>
        </is>
      </c>
      <c r="N5" s="3" t="inlineStr">
        <is>
          <t>Available for Distribution, Study Start</t>
        </is>
      </c>
      <c r="O5" s="3" t="inlineStr">
        <is>
          <t>17000139BLC3004, 1761981STM1001, 42756493BLC1003, 42756493BLC3004, 42756493BLC3005, 42847922MDD3003, 42847922MDD3011, 54135419SUI3003, 54135419TRD3015, 54179060CLL2032, 54767414MMY2093, 56021927PCR3020, 61186372COR3001, 61186372COR3002, 61186372HNC2002, 61186372HNC3001, 61186372NSC2007, 61186372NSC2011, 61186372NSC2012, 61186372PANSC2001, 61186372PANSC2002, 61186372PANSC2003, 61186372PANSC2004, 61186372PANSC2005, 64007957MMY1003, 64007957MMY1008, 64007957MMY3005, 64407564MMY2006, 64407564MMY2008, 64407564MMY3009, 67953964MDD3005, 67953964MDD3007, 68284528MMY2012, 74765340RPG2001, 75276617AML3001, 77242113PSA3001, 77242113PSA3002, 78278343PCR3001, 78278343PCR3003, 79635322MMY2001, 79635322MMY2002, 79635322MMY3001, 79635322MMY3002, 79635322MMY3004, 80202135EBF3001, 80202135FNAIT3003, 80202135MYG3002, 80202135SJS3001, 80202135SLE3001, 81201887MDG3002, 87704916LUC1001, 88549968MPN1001, 90009530LYM1001, 90014496LYM1001, 90301900HNC1001, 90301900NSC2001, 95475939ADM2001, 95597528ADM2001, CNTO1959CRD3009, CNTO1959ISD4001</t>
        </is>
      </c>
    </row>
    <row r="6">
      <c r="A6" s="2" t="str">
        <f>HYPERLINK("https://vtmf.veevavault.com/ui/#doc_info/28237101/1/0", "212082PCR2005---Quality Review Documentation-05 Feb 2025 (v1.0)")</f>
        <v>212082PCR2005---Quality Review Documentation-05 Feb 2025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Quality Review Documentation</t>
        </is>
      </c>
      <c r="E6" s="3" t="inlineStr">
        <is>
          <t>CSC Timely Filing Metrics Review_4Q2024_V#1</t>
        </is>
      </c>
      <c r="F6" s="2" t="str">
        <f>HYPERLINK("https://vtmf.veevavault.com/ui/#doc_info/28237101/1/0", "VTMF-22648123")</f>
        <v>VTMF-22648123</v>
      </c>
      <c r="G6" s="3" t="inlineStr">
        <is>
          <t/>
        </is>
      </c>
      <c r="H6" s="3" t="inlineStr">
        <is>
          <t>System</t>
        </is>
      </c>
      <c r="I6" s="3" t="inlineStr">
        <is>
          <t>Jessica Houseman</t>
        </is>
      </c>
      <c r="J6" s="4" t="n">
        <v>45693.97949074074</v>
      </c>
      <c r="K6" s="5" t="n">
        <v>45693.0</v>
      </c>
      <c r="L6" s="5" t="n">
        <v>45693.0</v>
      </c>
      <c r="M6" s="3" t="inlineStr">
        <is>
          <t>Approved</t>
        </is>
      </c>
      <c r="N6" s="3" t="inlineStr">
        <is>
          <t>Country Close, Site Close, Study Close</t>
        </is>
      </c>
      <c r="O6" s="3" t="inlineStr">
        <is>
          <t>17000139BLC2001, 17000139BLC2002, 17000139BLC3001, 17000139BLC3002, 17000139BLC3004, 17000139BLC4003, 39039039THR3001, 42756493BLC1003, 42756493BLC2002, 42756493BLC2003, 42756493BLC3001, 42756493BLC3004, 42756493BLC4012, 42756493CAN2002, 42756493MAF4001, 42847922MDD3001, 42847922MDD3003, 54135419TRD4011, 54179060CHE4001, 54179060CLL2032, 54179060CLL3011, 54767414AMY2009, 54767414MMY2081, 54767414MMY2093</t>
        </is>
      </c>
    </row>
    <row r="7">
      <c r="A7" s="2" t="str">
        <f>HYPERLINK("https://vtmf.veevavault.com/ui/#doc_info/28828037/1/0", "42756493BLC2001---Quality Review Documentation-07 Apr 2025 (v1.0)")</f>
        <v>42756493BLC2001---Quality Review Documentation-07 Apr 2025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Quality Review Documentation</t>
        </is>
      </c>
      <c r="E7" s="3" t="inlineStr">
        <is>
          <t>CSC Timely Filing Metrics Review_1Q2025_V#1</t>
        </is>
      </c>
      <c r="F7" s="2" t="str">
        <f>HYPERLINK("https://vtmf.veevavault.com/ui/#doc_info/28828037/1/0", "VTMF-23162872")</f>
        <v>VTMF-23162872</v>
      </c>
      <c r="G7" s="3" t="inlineStr">
        <is>
          <t/>
        </is>
      </c>
      <c r="H7" s="3" t="inlineStr">
        <is>
          <t>System</t>
        </is>
      </c>
      <c r="I7" s="3" t="inlineStr">
        <is>
          <t>Jessica Houseman</t>
        </is>
      </c>
      <c r="J7" s="4" t="n">
        <v>45754.90530092592</v>
      </c>
      <c r="K7" s="5" t="n">
        <v>45754.0</v>
      </c>
      <c r="L7" s="5" t="n">
        <v>45754.0</v>
      </c>
      <c r="M7" s="3" t="inlineStr">
        <is>
          <t>Approved</t>
        </is>
      </c>
      <c r="N7" s="3" t="inlineStr">
        <is>
          <t>Country Close, Site Close, Study Close</t>
        </is>
      </c>
      <c r="O7" s="3" t="inlineStr">
        <is>
          <t>17000139BLC2001, 17000139BLC3001, 17000139BLC3002, 17000139BLC3004, 17000139BLC4003, 39039039THR3001, 42756493BLC1003, 42756493BLC2001, 42756493BLC2002, 42756493BLC2003, 42756493BLC3001, 42756493BLC3004, 42756493BLC3005, 42756493BLC4012, 42756493MAF4001, 42847922MDD3003, 54135419TRD4003, 54179060CHE4001, 54179060CLL2032, 54179060CLL3011, 54767414AMY2009, 54767414MMY2093, 54767414MMY3019, 54767414MMY3030, 56021927PCR1010, 56021927PCR1013</t>
        </is>
      </c>
    </row>
    <row r="8">
      <c r="A8" s="2" t="str">
        <f>HYPERLINK("https://vtmf.veevavault.com/ui/#doc_info/27499763/1/0", "42756493BLC2001---Quality Review Documentation-12 Nov 2024 (v1.0)")</f>
        <v>42756493BLC2001---Quality Review Documentation-12 Nov 2024 (v1.0)</v>
      </c>
      <c r="B8" s="3" t="inlineStr">
        <is>
          <t>Trial Management</t>
        </is>
      </c>
      <c r="C8" s="3" t="inlineStr">
        <is>
          <t>Trial Oversight</t>
        </is>
      </c>
      <c r="D8" s="3" t="inlineStr">
        <is>
          <t>Quality Review Documentation</t>
        </is>
      </c>
      <c r="E8" s="3" t="inlineStr">
        <is>
          <t>CSC Timely Filing Metrics Review_Aug-Oct 2024_V#1</t>
        </is>
      </c>
      <c r="F8" s="2" t="str">
        <f>HYPERLINK("https://vtmf.veevavault.com/ui/#doc_info/27499763/1/0", "VTMF-22056820")</f>
        <v>VTMF-22056820</v>
      </c>
      <c r="G8" s="3" t="inlineStr">
        <is>
          <t/>
        </is>
      </c>
      <c r="H8" s="3" t="inlineStr">
        <is>
          <t>System</t>
        </is>
      </c>
      <c r="I8" s="3" t="inlineStr">
        <is>
          <t>Jessica Houseman</t>
        </is>
      </c>
      <c r="J8" s="4" t="n">
        <v>45612.052083333336</v>
      </c>
      <c r="K8" s="5" t="n">
        <v>45611.0</v>
      </c>
      <c r="L8" s="5" t="n">
        <v>45608.0</v>
      </c>
      <c r="M8" s="3" t="inlineStr">
        <is>
          <t>Approved</t>
        </is>
      </c>
      <c r="N8" s="3" t="inlineStr">
        <is>
          <t>Country Close, Site Close, Study Close</t>
        </is>
      </c>
      <c r="O8" s="3" t="inlineStr">
        <is>
          <t>17000139BLC2001, 17000139BLC2002, 17000139BLC3001, 17000139BLC3002, 17000139BLC3004, 17000139BLC4003, 40411813EPY2001, 42756493BLC1003, 42756493BLC1004, 42756493BLC2001, 42756493BLC2002, 42756493BLC3001, 42756493BLC3004, 42756493BLC4012, 42756493CAN2002, 42756493MAF4001, 42847922MDD3001, 42847922MDD3003, 42847922MDD4002, 54179060CHE4001, 54179060CLL2032, 54767414AMY2009, 54767414MMY2081, 54767414MMY2093, 54767414MMY3019</t>
        </is>
      </c>
    </row>
    <row r="9">
      <c r="A9" s="2" t="str">
        <f>HYPERLINK("https://vtmf.veevavault.com/ui/#doc_info/30244012/1/0", "42756493BLC2001---Quality Review Documentation-27 Oct 2025 (v1.0)")</f>
        <v>42756493BLC2001---Quality Review Documentation-27 Oct 2025 (v1.0)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Quality Review Documentation</t>
        </is>
      </c>
      <c r="E9" s="3" t="inlineStr">
        <is>
          <t>CSC Timely Filing Metrics Review - 3Q2025</t>
        </is>
      </c>
      <c r="F9" s="2" t="str">
        <f>HYPERLINK("https://vtmf.veevavault.com/ui/#doc_info/30244012/1/0", "VTMF-24352418")</f>
        <v>VTMF-24352418</v>
      </c>
      <c r="G9" s="3" t="inlineStr">
        <is>
          <t/>
        </is>
      </c>
      <c r="H9" s="3" t="inlineStr">
        <is>
          <t>Anthony Suarez (veeva.com)</t>
        </is>
      </c>
      <c r="I9" s="3" t="inlineStr">
        <is>
          <t>Jessica Houseman</t>
        </is>
      </c>
      <c r="J9" s="4" t="n">
        <v>45957.902291666665</v>
      </c>
      <c r="K9" s="5" t="n">
        <v>45957.0</v>
      </c>
      <c r="L9" s="5" t="n">
        <v>45957.0</v>
      </c>
      <c r="M9" s="3" t="inlineStr">
        <is>
          <t>Approved</t>
        </is>
      </c>
      <c r="N9" s="3" t="inlineStr">
        <is>
          <t>Country Close, Site Close, Study Close</t>
        </is>
      </c>
      <c r="O9" s="3" t="inlineStr">
        <is>
          <t>17000139BLC2001, 17000139BLC2002, 17000139BLC3001, 17000139BLC3002, 17000139BLC3004, 1761981STM1001, 42756493BLC1003, 42756493BLC2001, 42756493BLC3004, 42756493BLC3005, 42847922MDD3003, 42847922MDD3011, 42847922MDD4002, 54135419SUI3003, 54179060CLL2032, 54767414AMY2009, 54767414MMY2093, 54767414MMY3019, 54767414MMY3021, 54767414MMY3030, 56021927PCR1010, 56021927PCR1013, 56021927PCR1020, 56021927PCR3002, 56021927PCR3003, 56021927PCR3011, 56021927PCR3020, 56021927PCR4007, 56021927SGT2001, 61186372COR3001</t>
        </is>
      </c>
    </row>
    <row r="10">
      <c r="A10" s="2" t="str">
        <f>HYPERLINK("https://vtmf.veevavault.com/ui/#doc_info/9617465/18/0", "42847922-42847922ALZ2001-Investigator Brochure (v18.0)")</f>
        <v>42847922-42847922ALZ2001-Investigator Brochure (v18.0)</v>
      </c>
      <c r="B10" s="3" t="inlineStr">
        <is>
          <t>Central Trial Documents</t>
        </is>
      </c>
      <c r="C10" s="3" t="inlineStr">
        <is>
          <t>Trial Documents</t>
        </is>
      </c>
      <c r="D10" s="3" t="inlineStr">
        <is>
          <t>Investigator Brochure</t>
        </is>
      </c>
      <c r="E10" s="3" t="inlineStr">
        <is>
          <t>IB_en_JNJ-42847922_2025_ed14</t>
        </is>
      </c>
      <c r="F10" s="2" t="str">
        <f>HYPERLINK("https://vtmf.veevavault.com/ui/#doc_info/9617465/18/0", "VTMF-5690421")</f>
        <v>VTMF-5690421</v>
      </c>
      <c r="G10" s="3" t="inlineStr">
        <is>
          <t>RIMDOCS</t>
        </is>
      </c>
      <c r="H10" s="3" t="inlineStr">
        <is>
          <t>System</t>
        </is>
      </c>
      <c r="I10" s="3" t="inlineStr">
        <is>
          <t>Integration RIM Docs</t>
        </is>
      </c>
      <c r="J10" s="4" t="n">
        <v>45832.625069444446</v>
      </c>
      <c r="K10" s="5" t="n">
        <v>45832.0</v>
      </c>
      <c r="L10" s="5" t="inlineStr">
        <is>
          <t/>
        </is>
      </c>
      <c r="M10" s="3" t="inlineStr">
        <is>
          <t>Approved</t>
        </is>
      </c>
      <c r="N10" s="3" t="inlineStr">
        <is>
          <t>Available for Distribution, Study Close, Study Start</t>
        </is>
      </c>
      <c r="O10" s="3" t="inlineStr">
        <is>
          <t>42847922EDI1015, 42847922ISM2005, 42847922MDD1007, 42847922MDD1009, 42847922MDD1010, 42847922MDD1011, 42847922MDD1014, 42847922MDD1019, 42847922MDD2001, 42847922MDD2002, 42847922MDD3001, 42847922MDD3003, 42847922MDD3011</t>
        </is>
      </c>
    </row>
    <row r="11">
      <c r="A11" s="2" t="str">
        <f>HYPERLINK("https://vtmf.veevavault.com/ui/#doc_info/28248590/1/0", "42847922-42847922MDD3003-Investigator Brochure (v1.0)")</f>
        <v>42847922-42847922MDD3003-Investigator Brochure (v1.0)</v>
      </c>
      <c r="B11" s="3" t="inlineStr">
        <is>
          <t>Central Trial Documents</t>
        </is>
      </c>
      <c r="C11" s="3" t="inlineStr">
        <is>
          <t>Trial Documents</t>
        </is>
      </c>
      <c r="D11" s="3" t="inlineStr">
        <is>
          <t>Investigator Brochure</t>
        </is>
      </c>
      <c r="E11" s="3" t="inlineStr">
        <is>
          <t>IB_Ed[13]-Addendum-JNJ-42847922-AAA-1524042</t>
        </is>
      </c>
      <c r="F11" s="2" t="str">
        <f>HYPERLINK("https://vtmf.veevavault.com/ui/#doc_info/28248590/1/0", "VTMF-22657978")</f>
        <v>VTMF-22657978</v>
      </c>
      <c r="G11" s="3" t="inlineStr">
        <is>
          <t>RIMDOCS</t>
        </is>
      </c>
      <c r="H11" s="3" t="inlineStr">
        <is>
          <t>Jasmine James</t>
        </is>
      </c>
      <c r="I11" s="3" t="inlineStr">
        <is>
          <t>Integration RIM Docs</t>
        </is>
      </c>
      <c r="J11" s="4" t="n">
        <v>45695.34033564815</v>
      </c>
      <c r="K11" s="5" t="n">
        <v>45695.0</v>
      </c>
      <c r="L11" s="5" t="inlineStr">
        <is>
          <t/>
        </is>
      </c>
      <c r="M11" s="3" t="inlineStr">
        <is>
          <t>Approved</t>
        </is>
      </c>
      <c r="N11" s="3" t="inlineStr">
        <is>
          <t>Available for Distribution, Study Close, Study Start</t>
        </is>
      </c>
      <c r="O11" s="3" t="inlineStr">
        <is>
          <t>42847922MDD3003</t>
        </is>
      </c>
    </row>
    <row r="12">
      <c r="A12" s="2" t="str">
        <f>HYPERLINK("https://vtmf.veevavault.com/ui/#doc_info/21718350/1/0", "42847922MDD1008---IP Storage Condition Excursion Documentation-09 May 2022 (v1.0)")</f>
        <v>42847922MDD1008---IP Storage Condition Excursion Documentation-09 May 2022 (v1.0)</v>
      </c>
      <c r="B12" s="3" t="inlineStr">
        <is>
          <t>IP and Trial Supplies</t>
        </is>
      </c>
      <c r="C12" s="3" t="inlineStr">
        <is>
          <t>Storage</t>
        </is>
      </c>
      <c r="D12" s="3" t="inlineStr">
        <is>
          <t>IP Storage Condition Excursion Documentation</t>
        </is>
      </c>
      <c r="E12" s="3" t="inlineStr">
        <is>
          <t>Placeholder link to TrackWise for all records prior to 27-Jan-2025.</t>
        </is>
      </c>
      <c r="F12" s="2" t="str">
        <f>HYPERLINK("https://vtmf.veevavault.com/ui/#doc_info/21718350/1/0", "VTMF-17045463")</f>
        <v>VTMF-17045463</v>
      </c>
      <c r="G12" s="3" t="inlineStr">
        <is>
          <t>Trackwise</t>
        </is>
      </c>
      <c r="H12" s="3" t="inlineStr">
        <is>
          <t>Jessica Houseman</t>
        </is>
      </c>
      <c r="I12" s="3" t="inlineStr">
        <is>
          <t>Jessica Houseman</t>
        </is>
      </c>
      <c r="J12" s="4" t="n">
        <v>44690.84321759259</v>
      </c>
      <c r="K12" s="5" t="n">
        <v>44690.0</v>
      </c>
      <c r="L12" s="5" t="n">
        <v>44690.0</v>
      </c>
      <c r="M12" s="3" t="inlineStr">
        <is>
          <t>Approved</t>
        </is>
      </c>
      <c r="N12" s="3" t="inlineStr">
        <is>
          <t>CLIX Filing, Not associated to a milestone</t>
        </is>
      </c>
      <c r="O12" s="3" t="inlineStr">
        <is>
          <t>42847922MDD1008, 42847922MDD1014, 42847922MDD1018, 42847922MDD1019, 42847922MDD3001, 42847922MDD3003, 42847922MDD3004, 42847922MDD4001, 42847922PTS2001, 53718678RSV1010, 53718678RSV1011, 53718678RSV1012, 53718678RSV1013, 53718678RSV1014, 53718678RSV1015, 53718678RSV2004, 53718678RSV2005, 53718678RSV2006, 53718678RSV2008, 53718678RSV3003</t>
        </is>
      </c>
    </row>
    <row r="13">
      <c r="A13" s="2" t="str">
        <f>HYPERLINK("https://vtmf.veevavault.com/ui/#doc_info/11958112/1/0", "42847922MDD3001---Certificate of Analysis (v1.0)")</f>
        <v>42847922MDD3001---Certificate of Analysis (v1.0)</v>
      </c>
      <c r="B13" s="3" t="inlineStr">
        <is>
          <t>IP and Trial Supplies</t>
        </is>
      </c>
      <c r="C13" s="3" t="inlineStr">
        <is>
          <t>IP Release Process Documentation</t>
        </is>
      </c>
      <c r="D13" s="3" t="inlineStr">
        <is>
          <t>Certificate of Analysis</t>
        </is>
      </c>
      <c r="E13" s="3" t="inlineStr">
        <is>
          <t>NTF_QA_CSC_16-020</t>
        </is>
      </c>
      <c r="F13" s="2" t="str">
        <f>HYPERLINK("https://vtmf.veevavault.com/ui/#doc_info/11958112/1/0", "VTMF-7850111")</f>
        <v>VTMF-7850111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Reginald Drummond</t>
        </is>
      </c>
      <c r="J13" s="4" t="n">
        <v>43832.93896990741</v>
      </c>
      <c r="K13" s="5" t="n">
        <v>43833.0</v>
      </c>
      <c r="L13" s="5" t="inlineStr">
        <is>
          <t/>
        </is>
      </c>
      <c r="M13" s="3" t="inlineStr">
        <is>
          <t>Approved</t>
        </is>
      </c>
      <c r="N13" s="3" t="inlineStr">
        <is>
          <t>Study Start</t>
        </is>
      </c>
      <c r="O13" s="3" t="inlineStr">
        <is>
          <t>42847922MDD1013, 42847922MDD3001, 42847922MDD3003, 64091742PCR3002, 64304500CRD1002, 70033093THR1002</t>
        </is>
      </c>
    </row>
    <row r="14">
      <c r="A14" s="2" t="str">
        <f>HYPERLINK("https://vtmf.veevavault.com/ui/#doc_info/11958131/1/0", "42847922MDD3001---Country Confirmation for Additional Labeling (v1.0)")</f>
        <v>42847922MDD3001---Country Confirmation for Additional Labeling (v1.0)</v>
      </c>
      <c r="B14" s="3" t="inlineStr">
        <is>
          <t>IP and Trial Supplies</t>
        </is>
      </c>
      <c r="C14" s="3" t="inlineStr">
        <is>
          <t>IP Documentation</t>
        </is>
      </c>
      <c r="D14" s="3" t="inlineStr">
        <is>
          <t>Country Confirmation for Additional Labeling</t>
        </is>
      </c>
      <c r="E14" s="3" t="inlineStr">
        <is>
          <t>NTF_QA_CSC_16-020</t>
        </is>
      </c>
      <c r="F14" s="2" t="str">
        <f>HYPERLINK("https://vtmf.veevavault.com/ui/#doc_info/11958131/1/0", "VTMF-7850130")</f>
        <v>VTMF-7850130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Reginald Drummond</t>
        </is>
      </c>
      <c r="J14" s="4" t="n">
        <v>43832.94613425926</v>
      </c>
      <c r="K14" s="5" t="n">
        <v>43833.0</v>
      </c>
      <c r="L14" s="5" t="inlineStr">
        <is>
          <t/>
        </is>
      </c>
      <c r="M14" s="3" t="inlineStr">
        <is>
          <t>Approved</t>
        </is>
      </c>
      <c r="N14" s="3" t="inlineStr">
        <is>
          <t>Country Close</t>
        </is>
      </c>
      <c r="O14" s="3" t="inlineStr">
        <is>
          <t>42847922MDD1013, 42847922MDD1014, 42847922MDD3001, 42847922MDD3003, 64091742PCR3002, 64304500CRD1002, 70033093THR1002</t>
        </is>
      </c>
    </row>
    <row r="15">
      <c r="A15" s="2" t="str">
        <f>HYPERLINK("https://vtmf.veevavault.com/ui/#doc_info/11958127/1/0", "42847922MDD3001---IP Quality Complaint Resolution (v1.0)")</f>
        <v>42847922MDD3001---IP Quality Complaint Resolution (v1.0)</v>
      </c>
      <c r="B15" s="3" t="inlineStr">
        <is>
          <t>IP and Trial Supplies</t>
        </is>
      </c>
      <c r="C15" s="3" t="inlineStr">
        <is>
          <t>IP Documentation</t>
        </is>
      </c>
      <c r="D15" s="3" t="inlineStr">
        <is>
          <t>IP Quality Complaint Resolution</t>
        </is>
      </c>
      <c r="E15" s="3" t="inlineStr">
        <is>
          <t>NTF_QA_CSC_16-020</t>
        </is>
      </c>
      <c r="F15" s="2" t="str">
        <f>HYPERLINK("https://vtmf.veevavault.com/ui/#doc_info/11958127/1/0", "VTMF-7850126")</f>
        <v>VTMF-7850126</v>
      </c>
      <c r="G15" s="3" t="inlineStr">
        <is>
          <t/>
        </is>
      </c>
      <c r="H15" s="3" t="inlineStr">
        <is>
          <t>Anthony Suarez (veeva.com)</t>
        </is>
      </c>
      <c r="I15" s="3" t="inlineStr">
        <is>
          <t>Reginald Drummond</t>
        </is>
      </c>
      <c r="J15" s="4" t="n">
        <v>43832.94427083333</v>
      </c>
      <c r="K15" s="5" t="n">
        <v>43833.0</v>
      </c>
      <c r="L15" s="5" t="inlineStr">
        <is>
          <t/>
        </is>
      </c>
      <c r="M15" s="3" t="inlineStr">
        <is>
          <t>Approved</t>
        </is>
      </c>
      <c r="N15" s="3" t="inlineStr">
        <is>
          <t>Not associated to a milestone</t>
        </is>
      </c>
      <c r="O15" s="3" t="inlineStr">
        <is>
          <t>42847922MDD1013, 42847922MDD1014, 42847922MDD3001, 42847922MDD3003, 64091742PCR3002, 64304500CRD1002, 70033093THR1002</t>
        </is>
      </c>
    </row>
    <row r="16">
      <c r="A16" s="2" t="str">
        <f>HYPERLINK("https://vtmf.veevavault.com/ui/#doc_info/11958136/1/0", "42847922MDD3001---IP Recall Documentation-22 Feb 2016 (v1.0)")</f>
        <v>42847922MDD3001---IP Recall Documentation-22 Feb 2016 (v1.0)</v>
      </c>
      <c r="B16" s="3" t="inlineStr">
        <is>
          <t>IP and Trial Supplies</t>
        </is>
      </c>
      <c r="C16" s="3" t="inlineStr">
        <is>
          <t>IP Documentation</t>
        </is>
      </c>
      <c r="D16" s="3" t="inlineStr">
        <is>
          <t>IP Recall Documentation</t>
        </is>
      </c>
      <c r="E16" s="3" t="inlineStr">
        <is>
          <t>NTF_QA_CSC_16-020</t>
        </is>
      </c>
      <c r="F16" s="2" t="str">
        <f>HYPERLINK("https://vtmf.veevavault.com/ui/#doc_info/11958136/1/0", "VTMF-7850133")</f>
        <v>VTMF-7850133</v>
      </c>
      <c r="G16" s="3" t="inlineStr">
        <is>
          <t/>
        </is>
      </c>
      <c r="H16" s="3" t="inlineStr">
        <is>
          <t>Anthony Suarez (veeva.com)</t>
        </is>
      </c>
      <c r="I16" s="3" t="inlineStr">
        <is>
          <t>Reginald Drummond</t>
        </is>
      </c>
      <c r="J16" s="4" t="n">
        <v>43832.94803240741</v>
      </c>
      <c r="K16" s="5" t="n">
        <v>43833.0</v>
      </c>
      <c r="L16" s="5" t="n">
        <v>42422.0</v>
      </c>
      <c r="M16" s="3" t="inlineStr">
        <is>
          <t>Approved</t>
        </is>
      </c>
      <c r="N16" s="3" t="inlineStr">
        <is>
          <t>Study Close</t>
        </is>
      </c>
      <c r="O16" s="3" t="inlineStr">
        <is>
          <t>42847922MDD1013, 42847922MDD1014, 42847922MDD3001, 42847922MDD3003, 64091742PCR3002, 64304500CRD1002, 70033093THR1002</t>
        </is>
      </c>
    </row>
    <row r="17">
      <c r="A17" s="2" t="str">
        <f>HYPERLINK("https://vtmf.veevavault.com/ui/#doc_info/26463789/1/0", "42847922MDD3001---List of SOPs Current During Trial-05 Jun 2024 (v1.0)")</f>
        <v>42847922MDD3001---List of SOPs Current During Trial-05 Jun 2024 (v1.0)</v>
      </c>
      <c r="B17" s="3" t="inlineStr">
        <is>
          <t>Trial Management</t>
        </is>
      </c>
      <c r="C17" s="3" t="inlineStr">
        <is>
          <t>Trial Oversight</t>
        </is>
      </c>
      <c r="D17" s="3" t="inlineStr">
        <is>
          <t>List of SOPs Current During Trial</t>
        </is>
      </c>
      <c r="E17" s="3" t="inlineStr">
        <is>
          <t>42847922MDD3003_ECG_Clario Cardiac Safety_SOP Listing_V2.0.pdf</t>
        </is>
      </c>
      <c r="F17" s="2" t="str">
        <f>HYPERLINK("https://vtmf.veevavault.com/ui/#doc_info/26463789/1/0", "VTMF-21185803")</f>
        <v>VTMF-21185803</v>
      </c>
      <c r="G17" s="3" t="inlineStr">
        <is>
          <t/>
        </is>
      </c>
      <c r="H17" s="3" t="inlineStr">
        <is>
          <t>Anthony Suarez (veeva.com)</t>
        </is>
      </c>
      <c r="I17" s="3" t="inlineStr">
        <is>
          <t>Jennifer Hockenbury</t>
        </is>
      </c>
      <c r="J17" s="4" t="n">
        <v>45448.806180555555</v>
      </c>
      <c r="K17" s="5" t="n">
        <v>45448.0</v>
      </c>
      <c r="L17" s="5" t="n">
        <v>45448.0</v>
      </c>
      <c r="M17" s="3" t="inlineStr">
        <is>
          <t>Approved</t>
        </is>
      </c>
      <c r="N17" s="3" t="inlineStr">
        <is>
          <t>Study Close, Study Start</t>
        </is>
      </c>
      <c r="O17" s="3" t="inlineStr">
        <is>
          <t>42847922MDD3001, 42847922MDD3003</t>
        </is>
      </c>
    </row>
    <row r="18">
      <c r="A18" s="2" t="str">
        <f>HYPERLINK("https://vtmf.veevavault.com/ui/#doc_info/21903380/1/0", "42847922MDD3001---Meeting Material-03 Feb 2021 (v1.0)")</f>
        <v>42847922MDD3001---Meeting Material-03 Feb 2021 (v1.0)</v>
      </c>
      <c r="B18" s="3" t="inlineStr">
        <is>
          <t>Third Parties</t>
        </is>
      </c>
      <c r="C18" s="3" t="inlineStr">
        <is>
          <t>General</t>
        </is>
      </c>
      <c r="D18" s="3" t="inlineStr">
        <is>
          <t>Meeting Material</t>
        </is>
      </c>
      <c r="E18" s="3" t="inlineStr">
        <is>
          <t>MDD3001_3002_3003_Fisher/Janssen Seltorexant Weekly Supply Call_03-Feb-2021</t>
        </is>
      </c>
      <c r="F18" s="2" t="str">
        <f>HYPERLINK("https://vtmf.veevavault.com/ui/#doc_info/21903380/1/0", "VTMF-17208912")</f>
        <v>VTMF-17208912</v>
      </c>
      <c r="G18" s="3" t="inlineStr">
        <is>
          <t/>
        </is>
      </c>
      <c r="H18" s="3" t="inlineStr">
        <is>
          <t>Anthony Suarez (veeva.com)</t>
        </is>
      </c>
      <c r="I18" s="3" t="inlineStr">
        <is>
          <t>Arturo Munguia</t>
        </is>
      </c>
      <c r="J18" s="4" t="n">
        <v>44714.835023148145</v>
      </c>
      <c r="K18" s="5" t="n">
        <v>44714.0</v>
      </c>
      <c r="L18" s="5" t="n">
        <v>44230.0</v>
      </c>
      <c r="M18" s="3" t="inlineStr">
        <is>
          <t>Approved</t>
        </is>
      </c>
      <c r="N18" s="3" t="inlineStr">
        <is>
          <t>Study Close</t>
        </is>
      </c>
      <c r="O18" s="3" t="inlineStr">
        <is>
          <t>42847922MDD3001, 42847922MDD3003</t>
        </is>
      </c>
    </row>
    <row r="19">
      <c r="A19" s="2" t="str">
        <f>HYPERLINK("https://vtmf.veevavault.com/ui/#doc_info/21903307/1/0", "42847922MDD3001---Meeting Material-08 Apr 2021 (v1.0)")</f>
        <v>42847922MDD3001---Meeting Material-08 Apr 2021 (v1.0)</v>
      </c>
      <c r="B19" s="3" t="inlineStr">
        <is>
          <t>Third Parties</t>
        </is>
      </c>
      <c r="C19" s="3" t="inlineStr">
        <is>
          <t>General</t>
        </is>
      </c>
      <c r="D19" s="3" t="inlineStr">
        <is>
          <t>Meeting Material</t>
        </is>
      </c>
      <c r="E19" s="3" t="inlineStr">
        <is>
          <t>MDD3001_3002_3003_Fisher/Janssen Seltorexant Weekly Supply Call_08-Apr-2021</t>
        </is>
      </c>
      <c r="F19" s="2" t="str">
        <f>HYPERLINK("https://vtmf.veevavault.com/ui/#doc_info/21903307/1/0", "VTMF-17208843")</f>
        <v>VTMF-17208843</v>
      </c>
      <c r="G19" s="3" t="inlineStr">
        <is>
          <t/>
        </is>
      </c>
      <c r="H19" s="3" t="inlineStr">
        <is>
          <t>Anthony Suarez (veeva.com)</t>
        </is>
      </c>
      <c r="I19" s="3" t="inlineStr">
        <is>
          <t>Arturo Munguia</t>
        </is>
      </c>
      <c r="J19" s="4" t="n">
        <v>44714.825590277775</v>
      </c>
      <c r="K19" s="5" t="n">
        <v>44714.0</v>
      </c>
      <c r="L19" s="5" t="n">
        <v>44294.0</v>
      </c>
      <c r="M19" s="3" t="inlineStr">
        <is>
          <t>Approved</t>
        </is>
      </c>
      <c r="N19" s="3" t="inlineStr">
        <is>
          <t>Study Close</t>
        </is>
      </c>
      <c r="O19" s="3" t="inlineStr">
        <is>
          <t>42847922MDD3001, 42847922MDD3003</t>
        </is>
      </c>
    </row>
    <row r="20">
      <c r="A20" s="2" t="str">
        <f>HYPERLINK("https://vtmf.veevavault.com/ui/#doc_info/21903289/1/0", "42847922MDD3001---Meeting Material-09 Dec 2020 (v1.0)")</f>
        <v>42847922MDD3001---Meeting Material-09 Dec 2020 (v1.0)</v>
      </c>
      <c r="B20" s="3" t="inlineStr">
        <is>
          <t>Third Parties</t>
        </is>
      </c>
      <c r="C20" s="3" t="inlineStr">
        <is>
          <t>General</t>
        </is>
      </c>
      <c r="D20" s="3" t="inlineStr">
        <is>
          <t>Meeting Material</t>
        </is>
      </c>
      <c r="E20" s="3" t="inlineStr">
        <is>
          <t>MDD3001_3002_3003_Fisher/Janssen Seltorexant Weekly Supply Call_09-Dec-2020</t>
        </is>
      </c>
      <c r="F20" s="2" t="str">
        <f>HYPERLINK("https://vtmf.veevavault.com/ui/#doc_info/21903289/1/0", "VTMF-17208827")</f>
        <v>VTMF-17208827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Arturo Munguia</t>
        </is>
      </c>
      <c r="J20" s="4" t="n">
        <v>44714.82392361111</v>
      </c>
      <c r="K20" s="5" t="n">
        <v>44714.0</v>
      </c>
      <c r="L20" s="5" t="n">
        <v>44174.0</v>
      </c>
      <c r="M20" s="3" t="inlineStr">
        <is>
          <t>Approved</t>
        </is>
      </c>
      <c r="N20" s="3" t="inlineStr">
        <is>
          <t>Study Close</t>
        </is>
      </c>
      <c r="O20" s="3" t="inlineStr">
        <is>
          <t>42847922MDD3001, 42847922MDD3003</t>
        </is>
      </c>
    </row>
    <row r="21">
      <c r="A21" s="2" t="str">
        <f>HYPERLINK("https://vtmf.veevavault.com/ui/#doc_info/21903265/1/0", "42847922MDD3001---Meeting Material-10 Feb 2021 (v1.0)")</f>
        <v>42847922MDD3001---Meeting Material-10 Feb 2021 (v1.0)</v>
      </c>
      <c r="B21" s="3" t="inlineStr">
        <is>
          <t>Third Parties</t>
        </is>
      </c>
      <c r="C21" s="3" t="inlineStr">
        <is>
          <t>General</t>
        </is>
      </c>
      <c r="D21" s="3" t="inlineStr">
        <is>
          <t>Meeting Material</t>
        </is>
      </c>
      <c r="E21" s="3" t="inlineStr">
        <is>
          <t>MDD3001_3002_3003_Fisher/Janssen Seltorexant Weekly Supply Call_10-Feb-2021</t>
        </is>
      </c>
      <c r="F21" s="2" t="str">
        <f>HYPERLINK("https://vtmf.veevavault.com/ui/#doc_info/21903265/1/0", "VTMF-17208808")</f>
        <v>VTMF-17208808</v>
      </c>
      <c r="G21" s="3" t="inlineStr">
        <is>
          <t/>
        </is>
      </c>
      <c r="H21" s="3" t="inlineStr">
        <is>
          <t>Anthony Suarez (veeva.com)</t>
        </is>
      </c>
      <c r="I21" s="3" t="inlineStr">
        <is>
          <t>Arturo Munguia</t>
        </is>
      </c>
      <c r="J21" s="4" t="n">
        <v>44714.822222222225</v>
      </c>
      <c r="K21" s="5" t="n">
        <v>44714.0</v>
      </c>
      <c r="L21" s="5" t="n">
        <v>44237.0</v>
      </c>
      <c r="M21" s="3" t="inlineStr">
        <is>
          <t>Approved</t>
        </is>
      </c>
      <c r="N21" s="3" t="inlineStr">
        <is>
          <t>Study Close</t>
        </is>
      </c>
      <c r="O21" s="3" t="inlineStr">
        <is>
          <t>42847922MDD3001, 42847922MDD3003</t>
        </is>
      </c>
    </row>
    <row r="22">
      <c r="A22" s="2" t="str">
        <f>HYPERLINK("https://vtmf.veevavault.com/ui/#doc_info/21903195/1/0", "42847922MDD3001---Meeting Material-14 Apr 2021 (v1.0)")</f>
        <v>42847922MDD3001---Meeting Material-14 Apr 2021 (v1.0)</v>
      </c>
      <c r="B22" s="3" t="inlineStr">
        <is>
          <t>Third Parties</t>
        </is>
      </c>
      <c r="C22" s="3" t="inlineStr">
        <is>
          <t>General</t>
        </is>
      </c>
      <c r="D22" s="3" t="inlineStr">
        <is>
          <t>Meeting Material</t>
        </is>
      </c>
      <c r="E22" s="3" t="inlineStr">
        <is>
          <t>MDD3001_3002_3003_Fisher/Janssen Seltorexant Weekly Supply Call_14-Apr-2021</t>
        </is>
      </c>
      <c r="F22" s="2" t="str">
        <f>HYPERLINK("https://vtmf.veevavault.com/ui/#doc_info/21903195/1/0", "VTMF-17208747")</f>
        <v>VTMF-17208747</v>
      </c>
      <c r="G22" s="3" t="inlineStr">
        <is>
          <t/>
        </is>
      </c>
      <c r="H22" s="3" t="inlineStr">
        <is>
          <t>Anthony Suarez (veeva.com)</t>
        </is>
      </c>
      <c r="I22" s="3" t="inlineStr">
        <is>
          <t>Arturo Munguia</t>
        </is>
      </c>
      <c r="J22" s="4" t="n">
        <v>44714.81496527778</v>
      </c>
      <c r="K22" s="5" t="n">
        <v>44714.0</v>
      </c>
      <c r="L22" s="5" t="n">
        <v>44300.0</v>
      </c>
      <c r="M22" s="3" t="inlineStr">
        <is>
          <t>Approved</t>
        </is>
      </c>
      <c r="N22" s="3" t="inlineStr">
        <is>
          <t>Study Close</t>
        </is>
      </c>
      <c r="O22" s="3" t="inlineStr">
        <is>
          <t>42847922MDD3001, 42847922MDD3003</t>
        </is>
      </c>
    </row>
    <row r="23">
      <c r="A23" s="2" t="str">
        <f>HYPERLINK("https://vtmf.veevavault.com/ui/#doc_info/21903180/1/0", "42847922MDD3001---Meeting Material-16 Dec 2020 (v1.0)")</f>
        <v>42847922MDD3001---Meeting Material-16 Dec 2020 (v1.0)</v>
      </c>
      <c r="B23" s="3" t="inlineStr">
        <is>
          <t>Third Parties</t>
        </is>
      </c>
      <c r="C23" s="3" t="inlineStr">
        <is>
          <t>General</t>
        </is>
      </c>
      <c r="D23" s="3" t="inlineStr">
        <is>
          <t>Meeting Material</t>
        </is>
      </c>
      <c r="E23" s="3" t="inlineStr">
        <is>
          <t>MDD3001_3002_3003_Fisher/Janssen Seltorexant Weekly Supply Call_16-Dec-2020</t>
        </is>
      </c>
      <c r="F23" s="2" t="str">
        <f>HYPERLINK("https://vtmf.veevavault.com/ui/#doc_info/21903180/1/0", "VTMF-17208733")</f>
        <v>VTMF-17208733</v>
      </c>
      <c r="G23" s="3" t="inlineStr">
        <is>
          <t/>
        </is>
      </c>
      <c r="H23" s="3" t="inlineStr">
        <is>
          <t>Anthony Suarez (veeva.com)</t>
        </is>
      </c>
      <c r="I23" s="3" t="inlineStr">
        <is>
          <t>Arturo Munguia</t>
        </is>
      </c>
      <c r="J23" s="4" t="n">
        <v>44714.812268518515</v>
      </c>
      <c r="K23" s="5" t="n">
        <v>44714.0</v>
      </c>
      <c r="L23" s="5" t="n">
        <v>44181.0</v>
      </c>
      <c r="M23" s="3" t="inlineStr">
        <is>
          <t>Approved</t>
        </is>
      </c>
      <c r="N23" s="3" t="inlineStr">
        <is>
          <t>Study Close</t>
        </is>
      </c>
      <c r="O23" s="3" t="inlineStr">
        <is>
          <t>42847922MDD3001, 42847922MDD3003</t>
        </is>
      </c>
    </row>
    <row r="24">
      <c r="A24" s="2" t="str">
        <f>HYPERLINK("https://vtmf.veevavault.com/ui/#doc_info/21903171/1/0", "42847922MDD3001---Meeting Material-17 Mar 2021 (v1.0)")</f>
        <v>42847922MDD3001---Meeting Material-17 Mar 2021 (v1.0)</v>
      </c>
      <c r="B24" s="3" t="inlineStr">
        <is>
          <t>Third Parties</t>
        </is>
      </c>
      <c r="C24" s="3" t="inlineStr">
        <is>
          <t>General</t>
        </is>
      </c>
      <c r="D24" s="3" t="inlineStr">
        <is>
          <t>Meeting Material</t>
        </is>
      </c>
      <c r="E24" s="3" t="inlineStr">
        <is>
          <t>MDD3001_3002_3003_Fisher/Janssen Seltorexant Weekly Supply Call_17-Mar-2021</t>
        </is>
      </c>
      <c r="F24" s="2" t="str">
        <f>HYPERLINK("https://vtmf.veevavault.com/ui/#doc_info/21903171/1/0", "VTMF-17208724")</f>
        <v>VTMF-17208724</v>
      </c>
      <c r="G24" s="3" t="inlineStr">
        <is>
          <t/>
        </is>
      </c>
      <c r="H24" s="3" t="inlineStr">
        <is>
          <t>Anthony Suarez (veeva.com)</t>
        </is>
      </c>
      <c r="I24" s="3" t="inlineStr">
        <is>
          <t>Arturo Munguia</t>
        </is>
      </c>
      <c r="J24" s="4" t="n">
        <v>44714.81097222222</v>
      </c>
      <c r="K24" s="5" t="n">
        <v>44714.0</v>
      </c>
      <c r="L24" s="5" t="n">
        <v>44272.0</v>
      </c>
      <c r="M24" s="3" t="inlineStr">
        <is>
          <t>Approved</t>
        </is>
      </c>
      <c r="N24" s="3" t="inlineStr">
        <is>
          <t>Study Close</t>
        </is>
      </c>
      <c r="O24" s="3" t="inlineStr">
        <is>
          <t>42847922MDD3001, 42847922MDD3003</t>
        </is>
      </c>
    </row>
    <row r="25">
      <c r="A25" s="2" t="str">
        <f>HYPERLINK("https://vtmf.veevavault.com/ui/#doc_info/21903158/1/0", "42847922MDD3001---Meeting Material-20 Jan 2021 (v1.0)")</f>
        <v>42847922MDD3001---Meeting Material-20 Jan 2021 (v1.0)</v>
      </c>
      <c r="B25" s="3" t="inlineStr">
        <is>
          <t>Third Parties</t>
        </is>
      </c>
      <c r="C25" s="3" t="inlineStr">
        <is>
          <t>General</t>
        </is>
      </c>
      <c r="D25" s="3" t="inlineStr">
        <is>
          <t>Meeting Material</t>
        </is>
      </c>
      <c r="E25" s="3" t="inlineStr">
        <is>
          <t>MDD3001_3002_3003_Fisher/Janssen Seltorexant Weekly Supply Call_20-Jan-2021</t>
        </is>
      </c>
      <c r="F25" s="2" t="str">
        <f>HYPERLINK("https://vtmf.veevavault.com/ui/#doc_info/21903158/1/0", "VTMF-17208711")</f>
        <v>VTMF-17208711</v>
      </c>
      <c r="G25" s="3" t="inlineStr">
        <is>
          <t/>
        </is>
      </c>
      <c r="H25" s="3" t="inlineStr">
        <is>
          <t>Anthony Suarez (veeva.com)</t>
        </is>
      </c>
      <c r="I25" s="3" t="inlineStr">
        <is>
          <t>Arturo Munguia</t>
        </is>
      </c>
      <c r="J25" s="4" t="n">
        <v>44714.80875</v>
      </c>
      <c r="K25" s="5" t="n">
        <v>44714.0</v>
      </c>
      <c r="L25" s="5" t="n">
        <v>44216.0</v>
      </c>
      <c r="M25" s="3" t="inlineStr">
        <is>
          <t>Approved</t>
        </is>
      </c>
      <c r="N25" s="3" t="inlineStr">
        <is>
          <t>Study Close</t>
        </is>
      </c>
      <c r="O25" s="3" t="inlineStr">
        <is>
          <t>42847922MDD3001, 42847922MDD3003</t>
        </is>
      </c>
    </row>
    <row r="26">
      <c r="A26" s="2" t="str">
        <f>HYPERLINK("https://vtmf.veevavault.com/ui/#doc_info/21903135/1/0", "42847922MDD3001---Meeting Material-24 Feb 2021 (v1.0)")</f>
        <v>42847922MDD3001---Meeting Material-24 Feb 2021 (v1.0)</v>
      </c>
      <c r="B26" s="3" t="inlineStr">
        <is>
          <t>Third Parties</t>
        </is>
      </c>
      <c r="C26" s="3" t="inlineStr">
        <is>
          <t>General</t>
        </is>
      </c>
      <c r="D26" s="3" t="inlineStr">
        <is>
          <t>Meeting Material</t>
        </is>
      </c>
      <c r="E26" s="3" t="inlineStr">
        <is>
          <t>MDD3001_3002_3003_Fisher/Janssen Seltorexant Weekly Supply Call_24-Feb-2021</t>
        </is>
      </c>
      <c r="F26" s="2" t="str">
        <f>HYPERLINK("https://vtmf.veevavault.com/ui/#doc_info/21903135/1/0", "VTMF-17208705")</f>
        <v>VTMF-17208705</v>
      </c>
      <c r="G26" s="3" t="inlineStr">
        <is>
          <t/>
        </is>
      </c>
      <c r="H26" s="3" t="inlineStr">
        <is>
          <t>Anthony Suarez (veeva.com)</t>
        </is>
      </c>
      <c r="I26" s="3" t="inlineStr">
        <is>
          <t>Arturo Munguia</t>
        </is>
      </c>
      <c r="J26" s="4" t="n">
        <v>44714.80747685185</v>
      </c>
      <c r="K26" s="5" t="n">
        <v>44714.0</v>
      </c>
      <c r="L26" s="5" t="n">
        <v>44251.0</v>
      </c>
      <c r="M26" s="3" t="inlineStr">
        <is>
          <t>Approved</t>
        </is>
      </c>
      <c r="N26" s="3" t="inlineStr">
        <is>
          <t>Study Close</t>
        </is>
      </c>
      <c r="O26" s="3" t="inlineStr">
        <is>
          <t>42847922MDD3001, 42847922MDD3003</t>
        </is>
      </c>
    </row>
    <row r="27">
      <c r="A27" s="2" t="str">
        <f>HYPERLINK("https://vtmf.veevavault.com/ui/#doc_info/21903129/1/0", "42847922MDD3001---Meeting Material-24 Mar 2021 (v1.0)")</f>
        <v>42847922MDD3001---Meeting Material-24 Mar 2021 (v1.0)</v>
      </c>
      <c r="B27" s="3" t="inlineStr">
        <is>
          <t>Third Parties</t>
        </is>
      </c>
      <c r="C27" s="3" t="inlineStr">
        <is>
          <t>General</t>
        </is>
      </c>
      <c r="D27" s="3" t="inlineStr">
        <is>
          <t>Meeting Material</t>
        </is>
      </c>
      <c r="E27" s="3" t="inlineStr">
        <is>
          <t>MDD3001_3002_3003_Fisher/Janssen Seltorexant Weekly Supply Call_24-Mar-2021</t>
        </is>
      </c>
      <c r="F27" s="2" t="str">
        <f>HYPERLINK("https://vtmf.veevavault.com/ui/#doc_info/21903129/1/0", "VTMF-17208699")</f>
        <v>VTMF-17208699</v>
      </c>
      <c r="G27" s="3" t="inlineStr">
        <is>
          <t/>
        </is>
      </c>
      <c r="H27" s="3" t="inlineStr">
        <is>
          <t>Anthony Suarez (veeva.com)</t>
        </is>
      </c>
      <c r="I27" s="3" t="inlineStr">
        <is>
          <t>Arturo Munguia</t>
        </is>
      </c>
      <c r="J27" s="4" t="n">
        <v>44714.805914351855</v>
      </c>
      <c r="K27" s="5" t="n">
        <v>44714.0</v>
      </c>
      <c r="L27" s="5" t="n">
        <v>44279.0</v>
      </c>
      <c r="M27" s="3" t="inlineStr">
        <is>
          <t>Approved</t>
        </is>
      </c>
      <c r="N27" s="3" t="inlineStr">
        <is>
          <t>Study Close</t>
        </is>
      </c>
      <c r="O27" s="3" t="inlineStr">
        <is>
          <t>42847922MDD3001, 42847922MDD3003</t>
        </is>
      </c>
    </row>
    <row r="28">
      <c r="A28" s="2" t="str">
        <f>HYPERLINK("https://vtmf.veevavault.com/ui/#doc_info/21903123/1/0", "42847922MDD3001---Meeting Material-27 Jan 2021 (v1.0)")</f>
        <v>42847922MDD3001---Meeting Material-27 Jan 2021 (v1.0)</v>
      </c>
      <c r="B28" s="3" t="inlineStr">
        <is>
          <t>Third Parties</t>
        </is>
      </c>
      <c r="C28" s="3" t="inlineStr">
        <is>
          <t>General</t>
        </is>
      </c>
      <c r="D28" s="3" t="inlineStr">
        <is>
          <t>Meeting Material</t>
        </is>
      </c>
      <c r="E28" s="3" t="inlineStr">
        <is>
          <t>MDD3001_3002_3003_Fisher/Janssen Seltorexant Weekly Supply Call_27-Jan-2021</t>
        </is>
      </c>
      <c r="F28" s="2" t="str">
        <f>HYPERLINK("https://vtmf.veevavault.com/ui/#doc_info/21903123/1/0", "VTMF-17208693")</f>
        <v>VTMF-17208693</v>
      </c>
      <c r="G28" s="3" t="inlineStr">
        <is>
          <t/>
        </is>
      </c>
      <c r="H28" s="3" t="inlineStr">
        <is>
          <t>Anthony Suarez (veeva.com)</t>
        </is>
      </c>
      <c r="I28" s="3" t="inlineStr">
        <is>
          <t>Arturo Munguia</t>
        </is>
      </c>
      <c r="J28" s="4" t="n">
        <v>44714.80412037037</v>
      </c>
      <c r="K28" s="5" t="n">
        <v>44714.0</v>
      </c>
      <c r="L28" s="5" t="n">
        <v>44223.0</v>
      </c>
      <c r="M28" s="3" t="inlineStr">
        <is>
          <t>Approved</t>
        </is>
      </c>
      <c r="N28" s="3" t="inlineStr">
        <is>
          <t>Study Close</t>
        </is>
      </c>
      <c r="O28" s="3" t="inlineStr">
        <is>
          <t>42847922MDD3001, 42847922MDD3003</t>
        </is>
      </c>
    </row>
    <row r="29">
      <c r="A29" s="2" t="str">
        <f>HYPERLINK("https://vtmf.veevavault.com/ui/#doc_info/15075329/1/0", "42847922MDD3001---Ongoing Third Party Oversight-04 Nov 2020 (v1.0)")</f>
        <v>42847922MDD3001---Ongoing Third Party Oversight-04 Nov 2020 (v1.0)</v>
      </c>
      <c r="B29" s="3" t="inlineStr">
        <is>
          <t>Third Parties</t>
        </is>
      </c>
      <c r="C29" s="3" t="inlineStr">
        <is>
          <t>Third Party Oversight</t>
        </is>
      </c>
      <c r="D29" s="3" t="inlineStr">
        <is>
          <t>Ongoing Third Party Oversight</t>
        </is>
      </c>
      <c r="E29" s="3" t="inlineStr">
        <is>
          <t>42847922MDD3001, 3002, 303, 3005_ICON Status Reports_October 2020</t>
        </is>
      </c>
      <c r="F29" s="2" t="str">
        <f>HYPERLINK("https://vtmf.veevavault.com/ui/#doc_info/15075329/1/0", "VTMF-10804561")</f>
        <v>VTMF-10804561</v>
      </c>
      <c r="G29" s="3" t="inlineStr">
        <is>
          <t/>
        </is>
      </c>
      <c r="H29" s="3" t="inlineStr">
        <is>
          <t>Anthony Suarez (veeva.com)</t>
        </is>
      </c>
      <c r="I29" s="3" t="inlineStr">
        <is>
          <t>Kelly Crockford</t>
        </is>
      </c>
      <c r="J29" s="4" t="n">
        <v>44139.642476851855</v>
      </c>
      <c r="K29" s="5" t="n">
        <v>44139.0</v>
      </c>
      <c r="L29" s="5" t="n">
        <v>44139.0</v>
      </c>
      <c r="M29" s="3" t="inlineStr">
        <is>
          <t>Approved</t>
        </is>
      </c>
      <c r="N29" s="3" t="inlineStr">
        <is>
          <t/>
        </is>
      </c>
      <c r="O29" s="3" t="inlineStr">
        <is>
          <t>42847922MDD3001, 42847922MDD3003</t>
        </is>
      </c>
    </row>
    <row r="30">
      <c r="A30" s="2" t="str">
        <f>HYPERLINK("https://vtmf.veevavault.com/ui/#doc_info/15289948/1/0", "42847922MDD3001---Ongoing Third Party Oversight-08 Dec 2020 (v1.0)")</f>
        <v>42847922MDD3001---Ongoing Third Party Oversight-08 Dec 2020 (v1.0)</v>
      </c>
      <c r="B30" s="3" t="inlineStr">
        <is>
          <t>Third Parties</t>
        </is>
      </c>
      <c r="C30" s="3" t="inlineStr">
        <is>
          <t>Third Party Oversight</t>
        </is>
      </c>
      <c r="D30" s="3" t="inlineStr">
        <is>
          <t>Ongoing Third Party Oversight</t>
        </is>
      </c>
      <c r="E30" s="3" t="inlineStr">
        <is>
          <t>42847922MDD300x ICON Status Reports Nov2020</t>
        </is>
      </c>
      <c r="F30" s="2" t="str">
        <f>HYPERLINK("https://vtmf.veevavault.com/ui/#doc_info/15289948/1/0", "VTMF-10996008")</f>
        <v>VTMF-10996008</v>
      </c>
      <c r="G30" s="3" t="inlineStr">
        <is>
          <t/>
        </is>
      </c>
      <c r="H30" s="3" t="inlineStr">
        <is>
          <t>Anthony Suarez (veeva.com)</t>
        </is>
      </c>
      <c r="I30" s="3" t="inlineStr">
        <is>
          <t>Kelly Crockford</t>
        </is>
      </c>
      <c r="J30" s="4" t="n">
        <v>44173.468668981484</v>
      </c>
      <c r="K30" s="5" t="n">
        <v>44173.0</v>
      </c>
      <c r="L30" s="5" t="n">
        <v>44173.0</v>
      </c>
      <c r="M30" s="3" t="inlineStr">
        <is>
          <t>Approved</t>
        </is>
      </c>
      <c r="N30" s="3" t="inlineStr">
        <is>
          <t/>
        </is>
      </c>
      <c r="O30" s="3" t="inlineStr">
        <is>
          <t>42847922MDD3001, 42847922MDD3003</t>
        </is>
      </c>
    </row>
    <row r="31">
      <c r="A31" s="2" t="str">
        <f>HYPERLINK("https://vtmf.veevavault.com/ui/#doc_info/14934302/1/0", "42847922MDD3001---Ongoing Third Party Oversight-14 Oct 2020 (v1.0)")</f>
        <v>42847922MDD3001---Ongoing Third Party Oversight-14 Oct 2020 (v1.0)</v>
      </c>
      <c r="B31" s="3" t="inlineStr">
        <is>
          <t>Third Parties</t>
        </is>
      </c>
      <c r="C31" s="3" t="inlineStr">
        <is>
          <t>Third Party Oversight</t>
        </is>
      </c>
      <c r="D31" s="3" t="inlineStr">
        <is>
          <t>Ongoing Third Party Oversight</t>
        </is>
      </c>
      <c r="E31" s="3" t="inlineStr">
        <is>
          <t>42847922MDD3001, 3002, 3003, 3005 ICON Status Reports Sept2020</t>
        </is>
      </c>
      <c r="F31" s="2" t="str">
        <f>HYPERLINK("https://vtmf.veevavault.com/ui/#doc_info/14934302/1/0", "VTMF-10675956")</f>
        <v>VTMF-10675956</v>
      </c>
      <c r="G31" s="3" t="inlineStr">
        <is>
          <t/>
        </is>
      </c>
      <c r="H31" s="3" t="inlineStr">
        <is>
          <t>Anthony Suarez (veeva.com)</t>
        </is>
      </c>
      <c r="I31" s="3" t="inlineStr">
        <is>
          <t>Kelly Crockford</t>
        </is>
      </c>
      <c r="J31" s="4" t="n">
        <v>44118.59738425926</v>
      </c>
      <c r="K31" s="5" t="n">
        <v>44118.0</v>
      </c>
      <c r="L31" s="5" t="n">
        <v>44118.0</v>
      </c>
      <c r="M31" s="3" t="inlineStr">
        <is>
          <t>Approved</t>
        </is>
      </c>
      <c r="N31" s="3" t="inlineStr">
        <is>
          <t/>
        </is>
      </c>
      <c r="O31" s="3" t="inlineStr">
        <is>
          <t>42847922MDD3001, 42847922MDD3003</t>
        </is>
      </c>
    </row>
    <row r="32">
      <c r="A32" s="2" t="str">
        <f>HYPERLINK("https://vtmf.veevavault.com/ui/#doc_info/14037354/1/0", "42847922MDD3001---Ongoing Third Party Oversight-14 Sep 2020 (v1.0)")</f>
        <v>42847922MDD3001---Ongoing Third Party Oversight-14 Sep 2020 (v1.0)</v>
      </c>
      <c r="B32" s="3" t="inlineStr">
        <is>
          <t>Third Parties</t>
        </is>
      </c>
      <c r="C32" s="3" t="inlineStr">
        <is>
          <t>Third Party Oversight</t>
        </is>
      </c>
      <c r="D32" s="3" t="inlineStr">
        <is>
          <t>Ongoing Third Party Oversight</t>
        </is>
      </c>
      <c r="E32" s="3" t="inlineStr">
        <is>
          <t>42847922MDD3001, 3002, 3003, 3005_ICON Status Reports_August 2020</t>
        </is>
      </c>
      <c r="F32" s="2" t="str">
        <f>HYPERLINK("https://vtmf.veevavault.com/ui/#doc_info/14037354/1/0", "VTMF-9798487")</f>
        <v>VTMF-9798487</v>
      </c>
      <c r="G32" s="3" t="inlineStr">
        <is>
          <t/>
        </is>
      </c>
      <c r="H32" s="3" t="inlineStr">
        <is>
          <t>Anthony Suarez (veeva.com)</t>
        </is>
      </c>
      <c r="I32" s="3" t="inlineStr">
        <is>
          <t>Kelly Crockford</t>
        </is>
      </c>
      <c r="J32" s="4" t="n">
        <v>44088.50377314815</v>
      </c>
      <c r="K32" s="5" t="n">
        <v>44088.0</v>
      </c>
      <c r="L32" s="5" t="n">
        <v>44088.0</v>
      </c>
      <c r="M32" s="3" t="inlineStr">
        <is>
          <t>Approved</t>
        </is>
      </c>
      <c r="N32" s="3" t="inlineStr">
        <is>
          <t/>
        </is>
      </c>
      <c r="O32" s="3" t="inlineStr">
        <is>
          <t>42847922MDD3001, 42847922MDD3003</t>
        </is>
      </c>
    </row>
    <row r="33">
      <c r="A33" s="2" t="str">
        <f>HYPERLINK("https://vtmf.veevavault.com/ui/#doc_info/13301648/1/0", "42847922MDD3001---Ongoing Third Party Oversight-17 Jul 2020 (v1.0)")</f>
        <v>42847922MDD3001---Ongoing Third Party Oversight-17 Jul 2020 (v1.0)</v>
      </c>
      <c r="B33" s="3" t="inlineStr">
        <is>
          <t>Third Parties</t>
        </is>
      </c>
      <c r="C33" s="3" t="inlineStr">
        <is>
          <t>Third Party Oversight</t>
        </is>
      </c>
      <c r="D33" s="3" t="inlineStr">
        <is>
          <t>Ongoing Third Party Oversight</t>
        </is>
      </c>
      <c r="E33" s="3" t="inlineStr">
        <is>
          <t>42847922MDD3001 ICON Status Reports Jun2020</t>
        </is>
      </c>
      <c r="F33" s="2" t="str">
        <f>HYPERLINK("https://vtmf.veevavault.com/ui/#doc_info/13301648/1/0", "VTMF-9093392")</f>
        <v>VTMF-9093392</v>
      </c>
      <c r="G33" s="3" t="inlineStr">
        <is>
          <t/>
        </is>
      </c>
      <c r="H33" s="3" t="inlineStr">
        <is>
          <t>Anthony Suarez (veeva.com)</t>
        </is>
      </c>
      <c r="I33" s="3" t="inlineStr">
        <is>
          <t>Kelly Crockford</t>
        </is>
      </c>
      <c r="J33" s="4" t="n">
        <v>44029.496157407404</v>
      </c>
      <c r="K33" s="5" t="n">
        <v>44029.0</v>
      </c>
      <c r="L33" s="5" t="n">
        <v>44029.0</v>
      </c>
      <c r="M33" s="3" t="inlineStr">
        <is>
          <t>Approved</t>
        </is>
      </c>
      <c r="N33" s="3" t="inlineStr">
        <is>
          <t/>
        </is>
      </c>
      <c r="O33" s="3" t="inlineStr">
        <is>
          <t>42847922MDD3001, 42847922MDD3003</t>
        </is>
      </c>
    </row>
    <row r="34">
      <c r="A34" s="2" t="str">
        <f>HYPERLINK("https://vtmf.veevavault.com/ui/#doc_info/20117990/1/0", "42847922MDD3001---Ongoing Third Party Oversight-21 Dec 2020 (v1.0)")</f>
        <v>42847922MDD3001---Ongoing Third Party Oversight-21 Dec 2020 (v1.0)</v>
      </c>
      <c r="B34" s="3" t="inlineStr">
        <is>
          <t>Third Parties</t>
        </is>
      </c>
      <c r="C34" s="3" t="inlineStr">
        <is>
          <t>Third Party Oversight</t>
        </is>
      </c>
      <c r="D34" s="3" t="inlineStr">
        <is>
          <t>Ongoing Third Party Oversight</t>
        </is>
      </c>
      <c r="E34" s="3" t="inlineStr">
        <is>
          <t>42847922MDD300X_ICON Status Reports_December 2020</t>
        </is>
      </c>
      <c r="F34" s="2" t="str">
        <f>HYPERLINK("https://vtmf.veevavault.com/ui/#doc_info/20117990/1/0", "VTMF-15628064")</f>
        <v>VTMF-15628064</v>
      </c>
      <c r="G34" s="3" t="inlineStr">
        <is>
          <t/>
        </is>
      </c>
      <c r="H34" s="3" t="inlineStr">
        <is>
          <t>Anthony Suarez (veeva.com)</t>
        </is>
      </c>
      <c r="I34" s="3" t="inlineStr">
        <is>
          <t>Alessandro Oliveto</t>
        </is>
      </c>
      <c r="J34" s="4" t="n">
        <v>44448.89130787037</v>
      </c>
      <c r="K34" s="5" t="n">
        <v>44448.0</v>
      </c>
      <c r="L34" s="5" t="n">
        <v>44186.0</v>
      </c>
      <c r="M34" s="3" t="inlineStr">
        <is>
          <t>Approved</t>
        </is>
      </c>
      <c r="N34" s="3" t="inlineStr">
        <is>
          <t/>
        </is>
      </c>
      <c r="O34" s="3" t="inlineStr">
        <is>
          <t>42847922MDD3001, 42847922MDD3003</t>
        </is>
      </c>
    </row>
    <row r="35">
      <c r="A35" s="2" t="str">
        <f>HYPERLINK("https://vtmf.veevavault.com/ui/#doc_info/20117953/1/0", "42847922MDD3001---Ongoing Third Party Oversight-21 Sep 2020 (v1.0)")</f>
        <v>42847922MDD3001---Ongoing Third Party Oversight-21 Sep 2020 (v1.0)</v>
      </c>
      <c r="B35" s="3" t="inlineStr">
        <is>
          <t>Third Parties</t>
        </is>
      </c>
      <c r="C35" s="3" t="inlineStr">
        <is>
          <t>Third Party Oversight</t>
        </is>
      </c>
      <c r="D35" s="3" t="inlineStr">
        <is>
          <t>Ongoing Third Party Oversight</t>
        </is>
      </c>
      <c r="E35" s="3" t="inlineStr">
        <is>
          <t>42847922MDD300X_ICON Status Reports_September 2020</t>
        </is>
      </c>
      <c r="F35" s="2" t="str">
        <f>HYPERLINK("https://vtmf.veevavault.com/ui/#doc_info/20117953/1/0", "VTMF-15628031")</f>
        <v>VTMF-15628031</v>
      </c>
      <c r="G35" s="3" t="inlineStr">
        <is>
          <t/>
        </is>
      </c>
      <c r="H35" s="3" t="inlineStr">
        <is>
          <t>Anthony Suarez (veeva.com)</t>
        </is>
      </c>
      <c r="I35" s="3" t="inlineStr">
        <is>
          <t>Alessandro Oliveto</t>
        </is>
      </c>
      <c r="J35" s="4" t="n">
        <v>44448.88414351852</v>
      </c>
      <c r="K35" s="5" t="n">
        <v>44448.0</v>
      </c>
      <c r="L35" s="5" t="n">
        <v>44095.0</v>
      </c>
      <c r="M35" s="3" t="inlineStr">
        <is>
          <t>Approved</t>
        </is>
      </c>
      <c r="N35" s="3" t="inlineStr">
        <is>
          <t/>
        </is>
      </c>
      <c r="O35" s="3" t="inlineStr">
        <is>
          <t>42847922MDD3001, 42847922MDD3003</t>
        </is>
      </c>
    </row>
    <row r="36">
      <c r="A36" s="2" t="str">
        <f>HYPERLINK("https://vtmf.veevavault.com/ui/#doc_info/20117908/1/0", "42847922MDD3001---Ongoing Third Party Oversight-24 Aug 2020 (v1.0)")</f>
        <v>42847922MDD3001---Ongoing Third Party Oversight-24 Aug 2020 (v1.0)</v>
      </c>
      <c r="B36" s="3" t="inlineStr">
        <is>
          <t>Third Parties</t>
        </is>
      </c>
      <c r="C36" s="3" t="inlineStr">
        <is>
          <t>Third Party Oversight</t>
        </is>
      </c>
      <c r="D36" s="3" t="inlineStr">
        <is>
          <t>Ongoing Third Party Oversight</t>
        </is>
      </c>
      <c r="E36" s="3" t="inlineStr">
        <is>
          <t>42847922MDD300X_ICON Status Reports_August 2020</t>
        </is>
      </c>
      <c r="F36" s="2" t="str">
        <f>HYPERLINK("https://vtmf.veevavault.com/ui/#doc_info/20117908/1/0", "VTMF-15627999")</f>
        <v>VTMF-15627999</v>
      </c>
      <c r="G36" s="3" t="inlineStr">
        <is>
          <t/>
        </is>
      </c>
      <c r="H36" s="3" t="inlineStr">
        <is>
          <t>Anthony Suarez (veeva.com)</t>
        </is>
      </c>
      <c r="I36" s="3" t="inlineStr">
        <is>
          <t>Alessandro Oliveto</t>
        </is>
      </c>
      <c r="J36" s="4" t="n">
        <v>44448.87819444444</v>
      </c>
      <c r="K36" s="5" t="n">
        <v>44448.0</v>
      </c>
      <c r="L36" s="5" t="n">
        <v>44067.0</v>
      </c>
      <c r="M36" s="3" t="inlineStr">
        <is>
          <t>Approved</t>
        </is>
      </c>
      <c r="N36" s="3" t="inlineStr">
        <is>
          <t/>
        </is>
      </c>
      <c r="O36" s="3" t="inlineStr">
        <is>
          <t>42847922MDD3001, 42847922MDD3003</t>
        </is>
      </c>
    </row>
    <row r="37">
      <c r="A37" s="2" t="str">
        <f>HYPERLINK("https://vtmf.veevavault.com/ui/#doc_info/13688431/1/0", "42847922MDD3001---Ongoing Third Party Oversight-26 Aug 2020 (v1.0)")</f>
        <v>42847922MDD3001---Ongoing Third Party Oversight-26 Aug 2020 (v1.0)</v>
      </c>
      <c r="B37" s="3" t="inlineStr">
        <is>
          <t>Third Parties</t>
        </is>
      </c>
      <c r="C37" s="3" t="inlineStr">
        <is>
          <t>Third Party Oversight</t>
        </is>
      </c>
      <c r="D37" s="3" t="inlineStr">
        <is>
          <t>Ongoing Third Party Oversight</t>
        </is>
      </c>
      <c r="E37" s="3" t="inlineStr">
        <is>
          <t>42847922MDD3001 ICON Status Reports July2020</t>
        </is>
      </c>
      <c r="F37" s="2" t="str">
        <f>HYPERLINK("https://vtmf.veevavault.com/ui/#doc_info/13688431/1/0", "VTMF-9458901")</f>
        <v>VTMF-9458901</v>
      </c>
      <c r="G37" s="3" t="inlineStr">
        <is>
          <t/>
        </is>
      </c>
      <c r="H37" s="3" t="inlineStr">
        <is>
          <t>Anthony Suarez (veeva.com)</t>
        </is>
      </c>
      <c r="I37" s="3" t="inlineStr">
        <is>
          <t>Kelly Crockford</t>
        </is>
      </c>
      <c r="J37" s="4" t="n">
        <v>44069.52313657408</v>
      </c>
      <c r="K37" s="5" t="n">
        <v>44069.0</v>
      </c>
      <c r="L37" s="5" t="n">
        <v>44069.0</v>
      </c>
      <c r="M37" s="3" t="inlineStr">
        <is>
          <t>Approved</t>
        </is>
      </c>
      <c r="N37" s="3" t="inlineStr">
        <is>
          <t/>
        </is>
      </c>
      <c r="O37" s="3" t="inlineStr">
        <is>
          <t>42847922MDD3001, 42847922MDD3003</t>
        </is>
      </c>
    </row>
    <row r="38">
      <c r="A38" s="2" t="str">
        <f>HYPERLINK("https://vtmf.veevavault.com/ui/#doc_info/13115364/1/0", "42847922MDD3001---Ongoing Third Party Oversight-26 May 2020 (v1.0)")</f>
        <v>42847922MDD3001---Ongoing Third Party Oversight-26 May 2020 (v1.0)</v>
      </c>
      <c r="B38" s="3" t="inlineStr">
        <is>
          <t>Third Parties</t>
        </is>
      </c>
      <c r="C38" s="3" t="inlineStr">
        <is>
          <t>Third Party Oversight</t>
        </is>
      </c>
      <c r="D38" s="3" t="inlineStr">
        <is>
          <t>Ongoing Third Party Oversight</t>
        </is>
      </c>
      <c r="E38" s="3" t="inlineStr">
        <is>
          <t>ICON Status Reports May 2020</t>
        </is>
      </c>
      <c r="F38" s="2" t="str">
        <f>HYPERLINK("https://vtmf.veevavault.com/ui/#doc_info/13115364/1/0", "VTMF-8928441")</f>
        <v>VTMF-8928441</v>
      </c>
      <c r="G38" s="3" t="inlineStr">
        <is>
          <t/>
        </is>
      </c>
      <c r="H38" s="3" t="inlineStr">
        <is>
          <t>Anthony Suarez (veeva.com)</t>
        </is>
      </c>
      <c r="I38" s="3" t="inlineStr">
        <is>
          <t>Kelly Crockford</t>
        </is>
      </c>
      <c r="J38" s="4" t="n">
        <v>43994.7109837963</v>
      </c>
      <c r="K38" s="5" t="n">
        <v>43994.0</v>
      </c>
      <c r="L38" s="5" t="n">
        <v>43977.0</v>
      </c>
      <c r="M38" s="3" t="inlineStr">
        <is>
          <t>Approved</t>
        </is>
      </c>
      <c r="N38" s="3" t="inlineStr">
        <is>
          <t/>
        </is>
      </c>
      <c r="O38" s="3" t="inlineStr">
        <is>
          <t>42847922MDD3001, 42847922MDD3003</t>
        </is>
      </c>
    </row>
    <row r="39">
      <c r="A39" s="2" t="str">
        <f>HYPERLINK("https://vtmf.veevavault.com/ui/#doc_info/20117747/1/0", "42847922MDD3001---Ongoing Third Party Oversight-26 May 2020 (v1.0)")</f>
        <v>42847922MDD3001---Ongoing Third Party Oversight-26 May 2020 (v1.0)</v>
      </c>
      <c r="B39" s="3" t="inlineStr">
        <is>
          <t>Third Parties</t>
        </is>
      </c>
      <c r="C39" s="3" t="inlineStr">
        <is>
          <t>Third Party Oversight</t>
        </is>
      </c>
      <c r="D39" s="3" t="inlineStr">
        <is>
          <t>Ongoing Third Party Oversight</t>
        </is>
      </c>
      <c r="E39" s="3" t="inlineStr">
        <is>
          <t>42847922MDD300X_ICON Status Reports_May 2020</t>
        </is>
      </c>
      <c r="F39" s="2" t="str">
        <f>HYPERLINK("https://vtmf.veevavault.com/ui/#doc_info/20117747/1/0", "VTMF-15627882")</f>
        <v>VTMF-15627882</v>
      </c>
      <c r="G39" s="3" t="inlineStr">
        <is>
          <t/>
        </is>
      </c>
      <c r="H39" s="3" t="inlineStr">
        <is>
          <t>Anthony Suarez (veeva.com)</t>
        </is>
      </c>
      <c r="I39" s="3" t="inlineStr">
        <is>
          <t>Alessandro Oliveto</t>
        </is>
      </c>
      <c r="J39" s="4" t="n">
        <v>44448.85818287037</v>
      </c>
      <c r="K39" s="5" t="n">
        <v>44448.0</v>
      </c>
      <c r="L39" s="5" t="n">
        <v>43977.0</v>
      </c>
      <c r="M39" s="3" t="inlineStr">
        <is>
          <t>Approved</t>
        </is>
      </c>
      <c r="N39" s="3" t="inlineStr">
        <is>
          <t/>
        </is>
      </c>
      <c r="O39" s="3" t="inlineStr">
        <is>
          <t>42847922MDD3001, 42847922MDD3003</t>
        </is>
      </c>
    </row>
    <row r="40">
      <c r="A40" s="2" t="str">
        <f>HYPERLINK("https://vtmf.veevavault.com/ui/#doc_info/20117969/1/0", "42847922MDD3001---Ongoing Third Party Oversight-26 Oct 2020 (v1.0)")</f>
        <v>42847922MDD3001---Ongoing Third Party Oversight-26 Oct 2020 (v1.0)</v>
      </c>
      <c r="B40" s="3" t="inlineStr">
        <is>
          <t>Third Parties</t>
        </is>
      </c>
      <c r="C40" s="3" t="inlineStr">
        <is>
          <t>Third Party Oversight</t>
        </is>
      </c>
      <c r="D40" s="3" t="inlineStr">
        <is>
          <t>Ongoing Third Party Oversight</t>
        </is>
      </c>
      <c r="E40" s="3" t="inlineStr">
        <is>
          <t>42847922MDD300X_ICON Status Reports_October 2020</t>
        </is>
      </c>
      <c r="F40" s="2" t="str">
        <f>HYPERLINK("https://vtmf.veevavault.com/ui/#doc_info/20117969/1/0", "VTMF-15628044")</f>
        <v>VTMF-15628044</v>
      </c>
      <c r="G40" s="3" t="inlineStr">
        <is>
          <t/>
        </is>
      </c>
      <c r="H40" s="3" t="inlineStr">
        <is>
          <t>Anthony Suarez (veeva.com)</t>
        </is>
      </c>
      <c r="I40" s="3" t="inlineStr">
        <is>
          <t>Alessandro Oliveto</t>
        </is>
      </c>
      <c r="J40" s="4" t="n">
        <v>44448.88625</v>
      </c>
      <c r="K40" s="5" t="n">
        <v>44448.0</v>
      </c>
      <c r="L40" s="5" t="n">
        <v>44130.0</v>
      </c>
      <c r="M40" s="3" t="inlineStr">
        <is>
          <t>Approved</t>
        </is>
      </c>
      <c r="N40" s="3" t="inlineStr">
        <is>
          <t/>
        </is>
      </c>
      <c r="O40" s="3" t="inlineStr">
        <is>
          <t>42847922MDD3001, 42847922MDD3003</t>
        </is>
      </c>
    </row>
    <row r="41">
      <c r="A41" s="2" t="str">
        <f>HYPERLINK("https://vtmf.veevavault.com/ui/#doc_info/13114869/1/0", "42847922MDD3001---Ongoing Third Party Oversight-27 Apr 2020 (v1.0)")</f>
        <v>42847922MDD3001---Ongoing Third Party Oversight-27 Apr 2020 (v1.0)</v>
      </c>
      <c r="B41" s="3" t="inlineStr">
        <is>
          <t>Third Parties</t>
        </is>
      </c>
      <c r="C41" s="3" t="inlineStr">
        <is>
          <t>Third Party Oversight</t>
        </is>
      </c>
      <c r="D41" s="3" t="inlineStr">
        <is>
          <t>Ongoing Third Party Oversight</t>
        </is>
      </c>
      <c r="E41" s="3" t="inlineStr">
        <is>
          <t>ICON Status Reports April 2020</t>
        </is>
      </c>
      <c r="F41" s="2" t="str">
        <f>HYPERLINK("https://vtmf.veevavault.com/ui/#doc_info/13114869/1/0", "VTMF-8927988")</f>
        <v>VTMF-8927988</v>
      </c>
      <c r="G41" s="3" t="inlineStr">
        <is>
          <t/>
        </is>
      </c>
      <c r="H41" s="3" t="inlineStr">
        <is>
          <t>Anthony Suarez (veeva.com)</t>
        </is>
      </c>
      <c r="I41" s="3" t="inlineStr">
        <is>
          <t>Kelly Crockford</t>
        </is>
      </c>
      <c r="J41" s="4" t="n">
        <v>43994.67086805555</v>
      </c>
      <c r="K41" s="5" t="n">
        <v>43994.0</v>
      </c>
      <c r="L41" s="5" t="n">
        <v>43948.0</v>
      </c>
      <c r="M41" s="3" t="inlineStr">
        <is>
          <t>Approved</t>
        </is>
      </c>
      <c r="N41" s="3" t="inlineStr">
        <is>
          <t/>
        </is>
      </c>
      <c r="O41" s="3" t="inlineStr">
        <is>
          <t>42847922MDD3001, 42847922MDD3003</t>
        </is>
      </c>
    </row>
    <row r="42">
      <c r="A42" s="2" t="str">
        <f>HYPERLINK("https://vtmf.veevavault.com/ui/#doc_info/20117645/1/0", "42847922MDD3001---Ongoing Third Party Oversight-27 Apr 2020 (v1.0)")</f>
        <v>42847922MDD3001---Ongoing Third Party Oversight-27 Apr 2020 (v1.0)</v>
      </c>
      <c r="B42" s="3" t="inlineStr">
        <is>
          <t>Third Parties</t>
        </is>
      </c>
      <c r="C42" s="3" t="inlineStr">
        <is>
          <t>Third Party Oversight</t>
        </is>
      </c>
      <c r="D42" s="3" t="inlineStr">
        <is>
          <t>Ongoing Third Party Oversight</t>
        </is>
      </c>
      <c r="E42" s="3" t="inlineStr">
        <is>
          <t>42847922MDD300X_ICON Status Reports_April 2020</t>
        </is>
      </c>
      <c r="F42" s="2" t="str">
        <f>HYPERLINK("https://vtmf.veevavault.com/ui/#doc_info/20117645/1/0", "VTMF-15627782")</f>
        <v>VTMF-15627782</v>
      </c>
      <c r="G42" s="3" t="inlineStr">
        <is>
          <t/>
        </is>
      </c>
      <c r="H42" s="3" t="inlineStr">
        <is>
          <t>Anthony Suarez (veeva.com)</t>
        </is>
      </c>
      <c r="I42" s="3" t="inlineStr">
        <is>
          <t>Alessandro Oliveto</t>
        </is>
      </c>
      <c r="J42" s="4" t="n">
        <v>44448.85439814815</v>
      </c>
      <c r="K42" s="5" t="n">
        <v>44448.0</v>
      </c>
      <c r="L42" s="5" t="n">
        <v>43948.0</v>
      </c>
      <c r="M42" s="3" t="inlineStr">
        <is>
          <t>Approved</t>
        </is>
      </c>
      <c r="N42" s="3" t="inlineStr">
        <is>
          <t/>
        </is>
      </c>
      <c r="O42" s="3" t="inlineStr">
        <is>
          <t>42847922MDD3001, 42847922MDD3003</t>
        </is>
      </c>
    </row>
    <row r="43">
      <c r="A43" s="2" t="str">
        <f>HYPERLINK("https://vtmf.veevavault.com/ui/#doc_info/20117900/1/0", "42847922MDD3001---Ongoing Third Party Oversight-28 Jul 2020 (v1.0)")</f>
        <v>42847922MDD3001---Ongoing Third Party Oversight-28 Jul 2020 (v1.0)</v>
      </c>
      <c r="B43" s="3" t="inlineStr">
        <is>
          <t>Third Parties</t>
        </is>
      </c>
      <c r="C43" s="3" t="inlineStr">
        <is>
          <t>Third Party Oversight</t>
        </is>
      </c>
      <c r="D43" s="3" t="inlineStr">
        <is>
          <t>Ongoing Third Party Oversight</t>
        </is>
      </c>
      <c r="E43" s="3" t="inlineStr">
        <is>
          <t>42847922MDD300X_ICON Status Reports_July 2020</t>
        </is>
      </c>
      <c r="F43" s="2" t="str">
        <f>HYPERLINK("https://vtmf.veevavault.com/ui/#doc_info/20117900/1/0", "VTMF-15627991")</f>
        <v>VTMF-15627991</v>
      </c>
      <c r="G43" s="3" t="inlineStr">
        <is>
          <t/>
        </is>
      </c>
      <c r="H43" s="3" t="inlineStr">
        <is>
          <t>Anthony Suarez (veeva.com)</t>
        </is>
      </c>
      <c r="I43" s="3" t="inlineStr">
        <is>
          <t>Alessandro Oliveto</t>
        </is>
      </c>
      <c r="J43" s="4" t="n">
        <v>44448.87571759259</v>
      </c>
      <c r="K43" s="5" t="n">
        <v>44448.0</v>
      </c>
      <c r="L43" s="5" t="n">
        <v>44040.0</v>
      </c>
      <c r="M43" s="3" t="inlineStr">
        <is>
          <t>Approved</t>
        </is>
      </c>
      <c r="N43" s="3" t="inlineStr">
        <is>
          <t/>
        </is>
      </c>
      <c r="O43" s="3" t="inlineStr">
        <is>
          <t>42847922MDD3001, 42847922MDD3003</t>
        </is>
      </c>
    </row>
    <row r="44">
      <c r="A44" s="2" t="str">
        <f>HYPERLINK("https://vtmf.veevavault.com/ui/#doc_info/20117798/1/0", "42847922MDD3001---Ongoing Third Party Oversight-30 Jun 2020 (v1.0)")</f>
        <v>42847922MDD3001---Ongoing Third Party Oversight-30 Jun 2020 (v1.0)</v>
      </c>
      <c r="B44" s="3" t="inlineStr">
        <is>
          <t>Third Parties</t>
        </is>
      </c>
      <c r="C44" s="3" t="inlineStr">
        <is>
          <t>Third Party Oversight</t>
        </is>
      </c>
      <c r="D44" s="3" t="inlineStr">
        <is>
          <t>Ongoing Third Party Oversight</t>
        </is>
      </c>
      <c r="E44" s="3" t="inlineStr">
        <is>
          <t>42847922MDD300X_ICON Status Reports_June 2020</t>
        </is>
      </c>
      <c r="F44" s="2" t="str">
        <f>HYPERLINK("https://vtmf.veevavault.com/ui/#doc_info/20117798/1/0", "VTMF-15627905")</f>
        <v>VTMF-15627905</v>
      </c>
      <c r="G44" s="3" t="inlineStr">
        <is>
          <t/>
        </is>
      </c>
      <c r="H44" s="3" t="inlineStr">
        <is>
          <t>Anthony Suarez (veeva.com)</t>
        </is>
      </c>
      <c r="I44" s="3" t="inlineStr">
        <is>
          <t>Alessandro Oliveto</t>
        </is>
      </c>
      <c r="J44" s="4" t="n">
        <v>44448.86178240741</v>
      </c>
      <c r="K44" s="5" t="n">
        <v>44448.0</v>
      </c>
      <c r="L44" s="5" t="n">
        <v>44012.0</v>
      </c>
      <c r="M44" s="3" t="inlineStr">
        <is>
          <t>Approved</t>
        </is>
      </c>
      <c r="N44" s="3" t="inlineStr">
        <is>
          <t/>
        </is>
      </c>
      <c r="O44" s="3" t="inlineStr">
        <is>
          <t>42847922MDD3001, 42847922MDD3003</t>
        </is>
      </c>
    </row>
    <row r="45">
      <c r="A45" s="2" t="str">
        <f>HYPERLINK("https://vtmf.veevavault.com/ui/#doc_info/13114840/1/0", "42847922MDD3001---Ongoing Third Party Oversight-30 Mar 2020 (v1.0)")</f>
        <v>42847922MDD3001---Ongoing Third Party Oversight-30 Mar 2020 (v1.0)</v>
      </c>
      <c r="B45" s="3" t="inlineStr">
        <is>
          <t>Third Parties</t>
        </is>
      </c>
      <c r="C45" s="3" t="inlineStr">
        <is>
          <t>Third Party Oversight</t>
        </is>
      </c>
      <c r="D45" s="3" t="inlineStr">
        <is>
          <t>Ongoing Third Party Oversight</t>
        </is>
      </c>
      <c r="E45" s="3" t="inlineStr">
        <is>
          <t>ICON Status Reports March 2020</t>
        </is>
      </c>
      <c r="F45" s="2" t="str">
        <f>HYPERLINK("https://vtmf.veevavault.com/ui/#doc_info/13114840/1/0", "VTMF-8927962")</f>
        <v>VTMF-8927962</v>
      </c>
      <c r="G45" s="3" t="inlineStr">
        <is>
          <t/>
        </is>
      </c>
      <c r="H45" s="3" t="inlineStr">
        <is>
          <t>Anthony Suarez (veeva.com)</t>
        </is>
      </c>
      <c r="I45" s="3" t="inlineStr">
        <is>
          <t>Kelly Crockford</t>
        </is>
      </c>
      <c r="J45" s="4" t="n">
        <v>43994.66710648148</v>
      </c>
      <c r="K45" s="5" t="n">
        <v>43994.0</v>
      </c>
      <c r="L45" s="5" t="n">
        <v>43920.0</v>
      </c>
      <c r="M45" s="3" t="inlineStr">
        <is>
          <t>Approved</t>
        </is>
      </c>
      <c r="N45" s="3" t="inlineStr">
        <is>
          <t/>
        </is>
      </c>
      <c r="O45" s="3" t="inlineStr">
        <is>
          <t>42847922MDD3001, 42847922MDD3003</t>
        </is>
      </c>
    </row>
    <row r="46">
      <c r="A46" s="2" t="str">
        <f>HYPERLINK("https://vtmf.veevavault.com/ui/#doc_info/20117618/1/0", "42847922MDD3001---Ongoing Third Party Oversight-30 Mar 2020 (v1.0)")</f>
        <v>42847922MDD3001---Ongoing Third Party Oversight-30 Mar 2020 (v1.0)</v>
      </c>
      <c r="B46" s="3" t="inlineStr">
        <is>
          <t>Third Parties</t>
        </is>
      </c>
      <c r="C46" s="3" t="inlineStr">
        <is>
          <t>Third Party Oversight</t>
        </is>
      </c>
      <c r="D46" s="3" t="inlineStr">
        <is>
          <t>Ongoing Third Party Oversight</t>
        </is>
      </c>
      <c r="E46" s="3" t="inlineStr">
        <is>
          <t>42847922MDD300X_ICON Status Reports_March 2020</t>
        </is>
      </c>
      <c r="F46" s="2" t="str">
        <f>HYPERLINK("https://vtmf.veevavault.com/ui/#doc_info/20117618/1/0", "VTMF-15627758")</f>
        <v>VTMF-15627758</v>
      </c>
      <c r="G46" s="3" t="inlineStr">
        <is>
          <t/>
        </is>
      </c>
      <c r="H46" s="3" t="inlineStr">
        <is>
          <t>Anthony Suarez (veeva.com)</t>
        </is>
      </c>
      <c r="I46" s="3" t="inlineStr">
        <is>
          <t>Alessandro Oliveto</t>
        </is>
      </c>
      <c r="J46" s="4" t="n">
        <v>44448.8515625</v>
      </c>
      <c r="K46" s="5" t="n">
        <v>44448.0</v>
      </c>
      <c r="L46" s="5" t="n">
        <v>43920.0</v>
      </c>
      <c r="M46" s="3" t="inlineStr">
        <is>
          <t>Approved</t>
        </is>
      </c>
      <c r="N46" s="3" t="inlineStr">
        <is>
          <t/>
        </is>
      </c>
      <c r="O46" s="3" t="inlineStr">
        <is>
          <t>42847922MDD3001, 42847922MDD3003</t>
        </is>
      </c>
    </row>
    <row r="47">
      <c r="A47" s="2" t="str">
        <f>HYPERLINK("https://vtmf.veevavault.com/ui/#doc_info/20117979/1/0", "42847922MDD3001---Ongoing Third Party Oversight-30 Nov 2020 (v1.0)")</f>
        <v>42847922MDD3001---Ongoing Third Party Oversight-30 Nov 2020 (v1.0)</v>
      </c>
      <c r="B47" s="3" t="inlineStr">
        <is>
          <t>Third Parties</t>
        </is>
      </c>
      <c r="C47" s="3" t="inlineStr">
        <is>
          <t>Third Party Oversight</t>
        </is>
      </c>
      <c r="D47" s="3" t="inlineStr">
        <is>
          <t>Ongoing Third Party Oversight</t>
        </is>
      </c>
      <c r="E47" s="3" t="inlineStr">
        <is>
          <t>42847922MDD300X_ICON Status Reports_November 2020</t>
        </is>
      </c>
      <c r="F47" s="2" t="str">
        <f>HYPERLINK("https://vtmf.veevavault.com/ui/#doc_info/20117979/1/0", "VTMF-15628053")</f>
        <v>VTMF-15628053</v>
      </c>
      <c r="G47" s="3" t="inlineStr">
        <is>
          <t/>
        </is>
      </c>
      <c r="H47" s="3" t="inlineStr">
        <is>
          <t>Anthony Suarez (veeva.com)</t>
        </is>
      </c>
      <c r="I47" s="3" t="inlineStr">
        <is>
          <t>Alessandro Oliveto</t>
        </is>
      </c>
      <c r="J47" s="4" t="n">
        <v>44448.88837962963</v>
      </c>
      <c r="K47" s="5" t="n">
        <v>44448.0</v>
      </c>
      <c r="L47" s="5" t="n">
        <v>44165.0</v>
      </c>
      <c r="M47" s="3" t="inlineStr">
        <is>
          <t>Approved</t>
        </is>
      </c>
      <c r="N47" s="3" t="inlineStr">
        <is>
          <t/>
        </is>
      </c>
      <c r="O47" s="3" t="inlineStr">
        <is>
          <t>42847922MDD3001, 42847922MDD3003</t>
        </is>
      </c>
    </row>
    <row r="48">
      <c r="A48" s="2" t="str">
        <f>HYPERLINK("https://vtmf.veevavault.com/ui/#doc_info/13844788/1/0", "42847922MDD3001---PRO and HeCON Form and Documentation-02 Sep 2020 (v1.0)")</f>
        <v>42847922MDD3001---PRO and HeCON Form and Documentation-02 Sep 2020 (v1.0)</v>
      </c>
      <c r="B48" s="3" t="inlineStr">
        <is>
          <t>Central Trial Documents</t>
        </is>
      </c>
      <c r="C48" s="3" t="inlineStr">
        <is>
          <t>Subject Documents</t>
        </is>
      </c>
      <c r="D48" s="3" t="inlineStr">
        <is>
          <t>PRO and HeCON Form and Documentation</t>
        </is>
      </c>
      <c r="E48" s="3" t="inlineStr">
        <is>
          <t>42847922MDD3001, 3002, 3003, 3005_C-SSRS User Manual</t>
        </is>
      </c>
      <c r="F48" s="2" t="str">
        <f>HYPERLINK("https://vtmf.veevavault.com/ui/#doc_info/13844788/1/0", "VTMF-9611179")</f>
        <v>VTMF-9611179</v>
      </c>
      <c r="G48" s="3" t="inlineStr">
        <is>
          <t/>
        </is>
      </c>
      <c r="H48" s="3" t="inlineStr">
        <is>
          <t>Anthony Suarez (veeva.com)</t>
        </is>
      </c>
      <c r="I48" s="3" t="inlineStr">
        <is>
          <t>Kelly Crockford</t>
        </is>
      </c>
      <c r="J48" s="4" t="n">
        <v>44076.58971064815</v>
      </c>
      <c r="K48" s="5" t="n">
        <v>44076.0</v>
      </c>
      <c r="L48" s="5" t="n">
        <v>44076.0</v>
      </c>
      <c r="M48" s="3" t="inlineStr">
        <is>
          <t>Approved</t>
        </is>
      </c>
      <c r="N48" s="3" t="inlineStr">
        <is>
          <t>Country Start, Study Start</t>
        </is>
      </c>
      <c r="O48" s="3" t="inlineStr">
        <is>
          <t>42847922MDD3001, 42847922MDD3003</t>
        </is>
      </c>
    </row>
    <row r="49">
      <c r="A49" s="2" t="str">
        <f>HYPERLINK("https://vtmf.veevavault.com/ui/#doc_info/13844849/1/0", "42847922MDD3001---PRO and HeCON Form and Documentation-02 Sep 2020 (v1.0)")</f>
        <v>42847922MDD3001---PRO and HeCON Form and Documentation-02 Sep 2020 (v1.0)</v>
      </c>
      <c r="B49" s="3" t="inlineStr">
        <is>
          <t>Central Trial Documents</t>
        </is>
      </c>
      <c r="C49" s="3" t="inlineStr">
        <is>
          <t>Subject Documents</t>
        </is>
      </c>
      <c r="D49" s="3" t="inlineStr">
        <is>
          <t>PRO and HeCON Form and Documentation</t>
        </is>
      </c>
      <c r="E49" s="3" t="inlineStr">
        <is>
          <t>42847922MDD3001, 3002. 3003, 3005_SDS Guidelines and Rating Instructions</t>
        </is>
      </c>
      <c r="F49" s="2" t="str">
        <f>HYPERLINK("https://vtmf.veevavault.com/ui/#doc_info/13844849/1/0", "VTMF-9611228")</f>
        <v>VTMF-9611228</v>
      </c>
      <c r="G49" s="3" t="inlineStr">
        <is>
          <t/>
        </is>
      </c>
      <c r="H49" s="3" t="inlineStr">
        <is>
          <t>Anthony Suarez (veeva.com)</t>
        </is>
      </c>
      <c r="I49" s="3" t="inlineStr">
        <is>
          <t>Kelly Crockford</t>
        </is>
      </c>
      <c r="J49" s="4" t="n">
        <v>44076.59721064815</v>
      </c>
      <c r="K49" s="5" t="n">
        <v>44076.0</v>
      </c>
      <c r="L49" s="5" t="n">
        <v>44076.0</v>
      </c>
      <c r="M49" s="3" t="inlineStr">
        <is>
          <t>Approved</t>
        </is>
      </c>
      <c r="N49" s="3" t="inlineStr">
        <is>
          <t>Country Start, Study Start</t>
        </is>
      </c>
      <c r="O49" s="3" t="inlineStr">
        <is>
          <t>42847922MDD3001, 42847922MDD3003</t>
        </is>
      </c>
    </row>
    <row r="50">
      <c r="A50" s="2" t="str">
        <f>HYPERLINK("https://vtmf.veevavault.com/ui/#doc_info/13844966/1/0", "42847922MDD3001---PRO and HeCON Form and Documentation-02 Sep 2020 (v1.0)")</f>
        <v>42847922MDD3001---PRO and HeCON Form and Documentation-02 Sep 2020 (v1.0)</v>
      </c>
      <c r="B50" s="3" t="inlineStr">
        <is>
          <t>Central Trial Documents</t>
        </is>
      </c>
      <c r="C50" s="3" t="inlineStr">
        <is>
          <t>Subject Documents</t>
        </is>
      </c>
      <c r="D50" s="3" t="inlineStr">
        <is>
          <t>PRO and HeCON Form and Documentation</t>
        </is>
      </c>
      <c r="E50" s="3" t="inlineStr">
        <is>
          <t>42847922MDD3001, 3002, 3003, 3005_ISI User Manual</t>
        </is>
      </c>
      <c r="F50" s="2" t="str">
        <f>HYPERLINK("https://vtmf.veevavault.com/ui/#doc_info/13844966/1/0", "VTMF-9611322")</f>
        <v>VTMF-9611322</v>
      </c>
      <c r="G50" s="3" t="inlineStr">
        <is>
          <t/>
        </is>
      </c>
      <c r="H50" s="3" t="inlineStr">
        <is>
          <t>Anthony Suarez (veeva.com)</t>
        </is>
      </c>
      <c r="I50" s="3" t="inlineStr">
        <is>
          <t>Kelly Crockford</t>
        </is>
      </c>
      <c r="J50" s="4" t="n">
        <v>44076.609293981484</v>
      </c>
      <c r="K50" s="5" t="n">
        <v>44076.0</v>
      </c>
      <c r="L50" s="5" t="n">
        <v>44076.0</v>
      </c>
      <c r="M50" s="3" t="inlineStr">
        <is>
          <t>Approved</t>
        </is>
      </c>
      <c r="N50" s="3" t="inlineStr">
        <is>
          <t>Country Start, Study Start</t>
        </is>
      </c>
      <c r="O50" s="3" t="inlineStr">
        <is>
          <t>42847922MDD3001, 42847922MDD3003</t>
        </is>
      </c>
    </row>
    <row r="51">
      <c r="A51" s="2" t="str">
        <f>HYPERLINK("https://vtmf.veevavault.com/ui/#doc_info/13845003/1/0", "42847922MDD3001---PRO and HeCON Form and Documentation-02 Sep 2020 (v1.0)")</f>
        <v>42847922MDD3001---PRO and HeCON Form and Documentation-02 Sep 2020 (v1.0)</v>
      </c>
      <c r="B51" s="3" t="inlineStr">
        <is>
          <t>Central Trial Documents</t>
        </is>
      </c>
      <c r="C51" s="3" t="inlineStr">
        <is>
          <t>Subject Documents</t>
        </is>
      </c>
      <c r="D51" s="3" t="inlineStr">
        <is>
          <t>PRO and HeCON Form and Documentation</t>
        </is>
      </c>
      <c r="E51" s="3" t="inlineStr">
        <is>
          <t>42847922MDD3001, 3002, 3003, 3005_PHQ Instructions</t>
        </is>
      </c>
      <c r="F51" s="2" t="str">
        <f>HYPERLINK("https://vtmf.veevavault.com/ui/#doc_info/13845003/1/0", "VTMF-9611350")</f>
        <v>VTMF-9611350</v>
      </c>
      <c r="G51" s="3" t="inlineStr">
        <is>
          <t/>
        </is>
      </c>
      <c r="H51" s="3" t="inlineStr">
        <is>
          <t>Anthony Suarez (veeva.com)</t>
        </is>
      </c>
      <c r="I51" s="3" t="inlineStr">
        <is>
          <t>Kelly Crockford</t>
        </is>
      </c>
      <c r="J51" s="4" t="n">
        <v>44076.614641203705</v>
      </c>
      <c r="K51" s="5" t="n">
        <v>44076.0</v>
      </c>
      <c r="L51" s="5" t="n">
        <v>44076.0</v>
      </c>
      <c r="M51" s="3" t="inlineStr">
        <is>
          <t>Approved</t>
        </is>
      </c>
      <c r="N51" s="3" t="inlineStr">
        <is>
          <t>Country Start, Study Start</t>
        </is>
      </c>
      <c r="O51" s="3" t="inlineStr">
        <is>
          <t>42847922MDD3001, 42847922MDD3003</t>
        </is>
      </c>
    </row>
    <row r="52">
      <c r="A52" s="2" t="str">
        <f>HYPERLINK("https://vtmf.veevavault.com/ui/#doc_info/13845302/1/0", "42847922MDD3001---PRO and HeCON Form and Documentation-02 Sep 2020 (v1.0)")</f>
        <v>42847922MDD3001---PRO and HeCON Form and Documentation-02 Sep 2020 (v1.0)</v>
      </c>
      <c r="B52" s="3" t="inlineStr">
        <is>
          <t>Central Trial Documents</t>
        </is>
      </c>
      <c r="C52" s="3" t="inlineStr">
        <is>
          <t>Subject Documents</t>
        </is>
      </c>
      <c r="D52" s="3" t="inlineStr">
        <is>
          <t>PRO and HeCON Form and Documentation</t>
        </is>
      </c>
      <c r="E52" s="3" t="inlineStr">
        <is>
          <t>42847922MDD3001, 3002, 3003, 3005_PROMIS Sleep Disturbance Scoring Manual</t>
        </is>
      </c>
      <c r="F52" s="2" t="str">
        <f>HYPERLINK("https://vtmf.veevavault.com/ui/#doc_info/13845302/1/0", "VTMF-9611623")</f>
        <v>VTMF-9611623</v>
      </c>
      <c r="G52" s="3" t="inlineStr">
        <is>
          <t/>
        </is>
      </c>
      <c r="H52" s="3" t="inlineStr">
        <is>
          <t>Anthony Suarez (veeva.com)</t>
        </is>
      </c>
      <c r="I52" s="3" t="inlineStr">
        <is>
          <t>Kelly Crockford</t>
        </is>
      </c>
      <c r="J52" s="4" t="n">
        <v>44076.62966435185</v>
      </c>
      <c r="K52" s="5" t="n">
        <v>44076.0</v>
      </c>
      <c r="L52" s="5" t="n">
        <v>44076.0</v>
      </c>
      <c r="M52" s="3" t="inlineStr">
        <is>
          <t>Approved</t>
        </is>
      </c>
      <c r="N52" s="3" t="inlineStr">
        <is>
          <t>Country Start, Study Start</t>
        </is>
      </c>
      <c r="O52" s="3" t="inlineStr">
        <is>
          <t>42847922MDD3001, 42847922MDD3003</t>
        </is>
      </c>
    </row>
    <row r="53">
      <c r="A53" s="2" t="str">
        <f>HYPERLINK("https://vtmf.veevavault.com/ui/#doc_info/13983288/1/0", "42847922MDD3001---PRO and HeCON Form and Documentation-10 Sep 2020 (v1.0)")</f>
        <v>42847922MDD3001---PRO and HeCON Form and Documentation-10 Sep 2020 (v1.0)</v>
      </c>
      <c r="B53" s="3" t="inlineStr">
        <is>
          <t>Central Trial Documents</t>
        </is>
      </c>
      <c r="C53" s="3" t="inlineStr">
        <is>
          <t>Subject Documents</t>
        </is>
      </c>
      <c r="D53" s="3" t="inlineStr">
        <is>
          <t>PRO and HeCON Form and Documentation</t>
        </is>
      </c>
      <c r="E53" s="3" t="inlineStr">
        <is>
          <t>42847922MDD3001_EQ-5D-5L User Manual</t>
        </is>
      </c>
      <c r="F53" s="2" t="str">
        <f>HYPERLINK("https://vtmf.veevavault.com/ui/#doc_info/13983288/1/0", "VTMF-9745705")</f>
        <v>VTMF-9745705</v>
      </c>
      <c r="G53" s="3" t="inlineStr">
        <is>
          <t/>
        </is>
      </c>
      <c r="H53" s="3" t="inlineStr">
        <is>
          <t>Anthony Suarez (veeva.com)</t>
        </is>
      </c>
      <c r="I53" s="3" t="inlineStr">
        <is>
          <t>Kelly Crockford</t>
        </is>
      </c>
      <c r="J53" s="4" t="n">
        <v>44084.56653935185</v>
      </c>
      <c r="K53" s="5" t="n">
        <v>44084.0</v>
      </c>
      <c r="L53" s="5" t="n">
        <v>44084.0</v>
      </c>
      <c r="M53" s="3" t="inlineStr">
        <is>
          <t>Approved</t>
        </is>
      </c>
      <c r="N53" s="3" t="inlineStr">
        <is>
          <t>Country Start, Study Start</t>
        </is>
      </c>
      <c r="O53" s="3" t="inlineStr">
        <is>
          <t>42847922MDD3001, 42847922MDD3003</t>
        </is>
      </c>
    </row>
    <row r="54">
      <c r="A54" s="2" t="str">
        <f>HYPERLINK("https://vtmf.veevavault.com/ui/#doc_info/15349485/1/0", "42847922MDD3001---PRO and HeCON Form and Documentation-16 Dec 2020 (v1.0)")</f>
        <v>42847922MDD3001---PRO and HeCON Form and Documentation-16 Dec 2020 (v1.0)</v>
      </c>
      <c r="B54" s="3" t="inlineStr">
        <is>
          <t>Central Trial Documents</t>
        </is>
      </c>
      <c r="C54" s="3" t="inlineStr">
        <is>
          <t>Subject Documents</t>
        </is>
      </c>
      <c r="D54" s="3" t="inlineStr">
        <is>
          <t>PRO and HeCON Form and Documentation</t>
        </is>
      </c>
      <c r="E54" s="3" t="inlineStr">
        <is>
          <t>42847922MDD300x_ICON PROMIS SD Final Reports</t>
        </is>
      </c>
      <c r="F54" s="2" t="str">
        <f>HYPERLINK("https://vtmf.veevavault.com/ui/#doc_info/15349485/1/0", "VTMF-11050122")</f>
        <v>VTMF-11050122</v>
      </c>
      <c r="G54" s="3" t="inlineStr">
        <is>
          <t/>
        </is>
      </c>
      <c r="H54" s="3" t="inlineStr">
        <is>
          <t>Anthony Suarez (veeva.com)</t>
        </is>
      </c>
      <c r="I54" s="3" t="inlineStr">
        <is>
          <t>Kelly Crockford</t>
        </is>
      </c>
      <c r="J54" s="4" t="n">
        <v>44181.48028935185</v>
      </c>
      <c r="K54" s="5" t="n">
        <v>44181.0</v>
      </c>
      <c r="L54" s="5" t="n">
        <v>44181.0</v>
      </c>
      <c r="M54" s="3" t="inlineStr">
        <is>
          <t>Approved</t>
        </is>
      </c>
      <c r="N54" s="3" t="inlineStr">
        <is>
          <t>Country Start, Study Start</t>
        </is>
      </c>
      <c r="O54" s="3" t="inlineStr">
        <is>
          <t>42847922MDD3001, 42847922MDD3003</t>
        </is>
      </c>
    </row>
    <row r="55">
      <c r="A55" s="2" t="str">
        <f>HYPERLINK("https://vtmf.veevavault.com/ui/#doc_info/11958114/1/0", "42847922MDD3001---QP (Qualified Person) Certification (v1.0)")</f>
        <v>42847922MDD3001---QP (Qualified Person) Certification (v1.0)</v>
      </c>
      <c r="B55" s="3" t="inlineStr">
        <is>
          <t>IP and Trial Supplies</t>
        </is>
      </c>
      <c r="C55" s="3" t="inlineStr">
        <is>
          <t>IP Release Process Documentation</t>
        </is>
      </c>
      <c r="D55" s="3" t="inlineStr">
        <is>
          <t>QP (Qualified Person) Certification</t>
        </is>
      </c>
      <c r="E55" s="3" t="inlineStr">
        <is>
          <t>NTF_QA_CSC_16-020</t>
        </is>
      </c>
      <c r="F55" s="2" t="str">
        <f>HYPERLINK("https://vtmf.veevavault.com/ui/#doc_info/11958114/1/0", "VTMF-7850113")</f>
        <v>VTMF-7850113</v>
      </c>
      <c r="G55" s="3" t="inlineStr">
        <is>
          <t/>
        </is>
      </c>
      <c r="H55" s="3" t="inlineStr">
        <is>
          <t>Anthony Suarez (veeva.com)</t>
        </is>
      </c>
      <c r="I55" s="3" t="inlineStr">
        <is>
          <t>Reginald Drummond</t>
        </is>
      </c>
      <c r="J55" s="4" t="n">
        <v>43832.94054398148</v>
      </c>
      <c r="K55" s="5" t="n">
        <v>43833.0</v>
      </c>
      <c r="L55" s="5" t="inlineStr">
        <is>
          <t/>
        </is>
      </c>
      <c r="M55" s="3" t="inlineStr">
        <is>
          <t>Approved</t>
        </is>
      </c>
      <c r="N55" s="3" t="inlineStr">
        <is>
          <t>Study Start</t>
        </is>
      </c>
      <c r="O55" s="3" t="inlineStr">
        <is>
          <t>42847922MDD1013, 42847922MDD1014, 42847922MDD3001, 42847922MDD3003, 64091742PCR3002, 64304500CRD1002, 70033093THR1002</t>
        </is>
      </c>
    </row>
    <row r="56">
      <c r="A56" s="2" t="str">
        <f>HYPERLINK("https://vtmf.veevavault.com/ui/#doc_info/28783496/1/0", "42847922MDD3003-- - Other Safety Documentation-01 Apr 2025 (v1.0)")</f>
        <v>42847922MDD3003-- - Other Safety Documentation-01 Apr 2025 (v1.0)</v>
      </c>
      <c r="B56" s="3" t="inlineStr">
        <is>
          <t>Safety Reporting</t>
        </is>
      </c>
      <c r="C56" s="3" t="inlineStr">
        <is>
          <t>Trial Status Reporting</t>
        </is>
      </c>
      <c r="D56" s="3" t="inlineStr">
        <is>
          <t>Other Safety Documentation</t>
        </is>
      </c>
      <c r="E56" s="3" t="inlineStr">
        <is>
          <t>MDD3003 MDR SUMMARY REPORT MARCH 2025 FINAL</t>
        </is>
      </c>
      <c r="F56" s="2" t="str">
        <f>HYPERLINK("https://vtmf.veevavault.com/ui/#doc_info/28783496/1/0", "VTMF-23125901")</f>
        <v>VTMF-23125901</v>
      </c>
      <c r="G56" s="3" t="inlineStr">
        <is>
          <t/>
        </is>
      </c>
      <c r="H56" s="3" t="inlineStr">
        <is>
          <t>Anthony Suarez (veeva.com)</t>
        </is>
      </c>
      <c r="I56" s="3" t="inlineStr">
        <is>
          <t>Roshan Kanekar</t>
        </is>
      </c>
      <c r="J56" s="4" t="n">
        <v>45748.48399305555</v>
      </c>
      <c r="K56" s="5" t="n">
        <v>45748.0</v>
      </c>
      <c r="L56" s="5" t="n">
        <v>45748.0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42847922MDD3003</t>
        </is>
      </c>
    </row>
    <row r="57">
      <c r="A57" s="2" t="str">
        <f>HYPERLINK("https://vtmf.veevavault.com/ui/#doc_info/30084979/1/0", "42847922MDD3003-- - Other Safety Documentation-02 Oct 2025 (v1.0)")</f>
        <v>42847922MDD3003-- - Other Safety Documentation-02 Oct 2025 (v1.0)</v>
      </c>
      <c r="B57" s="3" t="inlineStr">
        <is>
          <t>Safety Reporting</t>
        </is>
      </c>
      <c r="C57" s="3" t="inlineStr">
        <is>
          <t>Trial Status Reporting</t>
        </is>
      </c>
      <c r="D57" s="3" t="inlineStr">
        <is>
          <t>Other Safety Documentation</t>
        </is>
      </c>
      <c r="E57" s="3" t="inlineStr">
        <is>
          <t>Summary of medical review form_Sep 2025</t>
        </is>
      </c>
      <c r="F57" s="2" t="str">
        <f>HYPERLINK("https://vtmf.veevavault.com/ui/#doc_info/30084979/1/0", "VTMF-24216571")</f>
        <v>VTMF-24216571</v>
      </c>
      <c r="G57" s="3" t="inlineStr">
        <is>
          <t/>
        </is>
      </c>
      <c r="H57" s="3" t="inlineStr">
        <is>
          <t>Anthony Suarez (veeva.com)</t>
        </is>
      </c>
      <c r="I57" s="3" t="inlineStr">
        <is>
          <t>LU XIA</t>
        </is>
      </c>
      <c r="J57" s="4" t="n">
        <v>45932.67309027778</v>
      </c>
      <c r="K57" s="5" t="n">
        <v>45932.0</v>
      </c>
      <c r="L57" s="5" t="n">
        <v>45932.0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42847922MDD3003</t>
        </is>
      </c>
    </row>
    <row r="58">
      <c r="A58" s="2" t="str">
        <f>HYPERLINK("https://vtmf.veevavault.com/ui/#doc_info/31552463/1/0", "42847922MDD3003-- - Other Safety Documentation-03 Apr 2026 (v1.0)")</f>
        <v>42847922MDD3003-- - Other Safety Documentation-03 Apr 2026 (v1.0)</v>
      </c>
      <c r="B58" s="3" t="inlineStr">
        <is>
          <t>Safety Reporting</t>
        </is>
      </c>
      <c r="C58" s="3" t="inlineStr">
        <is>
          <t>Trial Status Reporting</t>
        </is>
      </c>
      <c r="D58" s="3" t="inlineStr">
        <is>
          <t>Other Safety Documentation</t>
        </is>
      </c>
      <c r="E58" s="3" t="inlineStr">
        <is>
          <t>MDR SUMMARY REPORT MDD3003 APRIL 2026</t>
        </is>
      </c>
      <c r="F58" s="2" t="str">
        <f>HYPERLINK("https://vtmf.veevavault.com/ui/#doc_info/31552463/1/0", "VTMF-25463341")</f>
        <v>VTMF-25463341</v>
      </c>
      <c r="G58" s="3" t="inlineStr">
        <is>
          <t/>
        </is>
      </c>
      <c r="H58" s="3" t="inlineStr">
        <is>
          <t>System</t>
        </is>
      </c>
      <c r="I58" s="3" t="inlineStr">
        <is>
          <t>Karishma Adhikari</t>
        </is>
      </c>
      <c r="J58" s="4" t="n">
        <v>46141.37260416667</v>
      </c>
      <c r="K58" s="5" t="n">
        <v>46141.0</v>
      </c>
      <c r="L58" s="5" t="n">
        <v>46115.0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42847922MDD3003</t>
        </is>
      </c>
    </row>
    <row r="59">
      <c r="A59" s="2" t="str">
        <f>HYPERLINK("https://vtmf.veevavault.com/ui/#doc_info/30922067/1/0", "42847922MDD3003-- - Other Safety Documentation-03 Jan 2026 (v1.0)")</f>
        <v>42847922MDD3003-- - Other Safety Documentation-03 Jan 2026 (v1.0)</v>
      </c>
      <c r="B59" s="3" t="inlineStr">
        <is>
          <t>Safety Reporting</t>
        </is>
      </c>
      <c r="C59" s="3" t="inlineStr">
        <is>
          <t>Trial Status Reporting</t>
        </is>
      </c>
      <c r="D59" s="3" t="inlineStr">
        <is>
          <t>Other Safety Documentation</t>
        </is>
      </c>
      <c r="E59" s="3" t="inlineStr">
        <is>
          <t>MDD3003 MDR SUMMARY REPORT JANUARY 2026 FINAL</t>
        </is>
      </c>
      <c r="F59" s="2" t="str">
        <f>HYPERLINK("https://vtmf.veevavault.com/ui/#doc_info/30922067/1/0", "VTMF-24923226")</f>
        <v>VTMF-24923226</v>
      </c>
      <c r="G59" s="3" t="inlineStr">
        <is>
          <t/>
        </is>
      </c>
      <c r="H59" s="3" t="inlineStr">
        <is>
          <t>System</t>
        </is>
      </c>
      <c r="I59" s="3" t="inlineStr">
        <is>
          <t>Karishma Adhikari</t>
        </is>
      </c>
      <c r="J59" s="4" t="n">
        <v>46057.869525462964</v>
      </c>
      <c r="K59" s="5" t="n">
        <v>46057.0</v>
      </c>
      <c r="L59" s="5" t="n">
        <v>46025.0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42847922MDD3003</t>
        </is>
      </c>
    </row>
    <row r="60">
      <c r="A60" s="2" t="str">
        <f>HYPERLINK("https://vtmf.veevavault.com/ui/#doc_info/30097771/1/0", "42847922MDD3003-- - Other Safety Documentation-05 Oct 2025 (v1.0)")</f>
        <v>42847922MDD3003-- - Other Safety Documentation-05 Oct 2025 (v1.0)</v>
      </c>
      <c r="B60" s="3" t="inlineStr">
        <is>
          <t>Safety Reporting</t>
        </is>
      </c>
      <c r="C60" s="3" t="inlineStr">
        <is>
          <t>Trial Status Reporting</t>
        </is>
      </c>
      <c r="D60" s="3" t="inlineStr">
        <is>
          <t>Other Safety Documentation</t>
        </is>
      </c>
      <c r="E60" s="3" t="inlineStr">
        <is>
          <t>MDD3003 MDR SUMMARY REPORT SEPTEMBER 2025 FINAL</t>
        </is>
      </c>
      <c r="F60" s="2" t="str">
        <f>HYPERLINK("https://vtmf.veevavault.com/ui/#doc_info/30097771/1/0", "VTMF-24227752")</f>
        <v>VTMF-24227752</v>
      </c>
      <c r="G60" s="3" t="inlineStr">
        <is>
          <t/>
        </is>
      </c>
      <c r="H60" s="3" t="inlineStr">
        <is>
          <t>Anthony Suarez (veeva.com)</t>
        </is>
      </c>
      <c r="I60" s="3" t="inlineStr">
        <is>
          <t>Karishma Adhikari</t>
        </is>
      </c>
      <c r="J60" s="4" t="n">
        <v>45935.13006944444</v>
      </c>
      <c r="K60" s="5" t="n">
        <v>45934.0</v>
      </c>
      <c r="L60" s="5" t="n">
        <v>45935.0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42847922MDD3003</t>
        </is>
      </c>
    </row>
    <row r="61">
      <c r="A61" s="2" t="str">
        <f>HYPERLINK("https://vtmf.veevavault.com/ui/#doc_info/28239771/1/0", "42847922MDD3003-- - Other Safety Documentation-06 Dec 2024 (v1.0)")</f>
        <v>42847922MDD3003-- - Other Safety Documentation-06 Dec 2024 (v1.0)</v>
      </c>
      <c r="B61" s="3" t="inlineStr">
        <is>
          <t>Safety Reporting</t>
        </is>
      </c>
      <c r="C61" s="3" t="inlineStr">
        <is>
          <t>Trial Status Reporting</t>
        </is>
      </c>
      <c r="D61" s="3" t="inlineStr">
        <is>
          <t>Other Safety Documentation</t>
        </is>
      </c>
      <c r="E61" s="3" t="inlineStr">
        <is>
          <t>MDD3003 SUMMARY REPORT DECEMBER 2024 FINAL</t>
        </is>
      </c>
      <c r="F61" s="2" t="str">
        <f>HYPERLINK("https://vtmf.veevavault.com/ui/#doc_info/28239771/1/0", "VTMF-22650409")</f>
        <v>VTMF-22650409</v>
      </c>
      <c r="G61" s="3" t="inlineStr">
        <is>
          <t/>
        </is>
      </c>
      <c r="H61" s="3" t="inlineStr">
        <is>
          <t>Anthony Suarez (veeva.com)</t>
        </is>
      </c>
      <c r="I61" s="3" t="inlineStr">
        <is>
          <t>Roshan Kanekar</t>
        </is>
      </c>
      <c r="J61" s="4" t="n">
        <v>45694.43255787037</v>
      </c>
      <c r="K61" s="5" t="n">
        <v>45694.0</v>
      </c>
      <c r="L61" s="5" t="n">
        <v>45632.0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42847922MDD3003</t>
        </is>
      </c>
    </row>
    <row r="62">
      <c r="A62" s="2" t="str">
        <f>HYPERLINK("https://vtmf.veevavault.com/ui/#doc_info/28239790/1/0", "42847922MDD3003-- - Other Safety Documentation-06 Feb 2025 (v1.0)")</f>
        <v>42847922MDD3003-- - Other Safety Documentation-06 Feb 2025 (v1.0)</v>
      </c>
      <c r="B62" s="3" t="inlineStr">
        <is>
          <t>Safety Reporting</t>
        </is>
      </c>
      <c r="C62" s="3" t="inlineStr">
        <is>
          <t>Trial Status Reporting</t>
        </is>
      </c>
      <c r="D62" s="3" t="inlineStr">
        <is>
          <t>Other Safety Documentation</t>
        </is>
      </c>
      <c r="E62" s="3" t="inlineStr">
        <is>
          <t>MDD30003 SUMMARY REPORT JAN 2025 FINAL</t>
        </is>
      </c>
      <c r="F62" s="2" t="str">
        <f>HYPERLINK("https://vtmf.veevavault.com/ui/#doc_info/28239790/1/0", "VTMF-22650449")</f>
        <v>VTMF-22650449</v>
      </c>
      <c r="G62" s="3" t="inlineStr">
        <is>
          <t/>
        </is>
      </c>
      <c r="H62" s="3" t="inlineStr">
        <is>
          <t>Anthony Suarez (veeva.com)</t>
        </is>
      </c>
      <c r="I62" s="3" t="inlineStr">
        <is>
          <t>Roshan Kanekar</t>
        </is>
      </c>
      <c r="J62" s="4" t="n">
        <v>45694.43740740741</v>
      </c>
      <c r="K62" s="5" t="n">
        <v>45694.0</v>
      </c>
      <c r="L62" s="5" t="n">
        <v>45694.0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42847922MDD3003</t>
        </is>
      </c>
    </row>
    <row r="63">
      <c r="A63" s="2" t="str">
        <f>HYPERLINK("https://vtmf.veevavault.com/ui/#doc_info/31129080/1/0", "42847922MDD3003-- - Other Safety Documentation-06 Feb 2026 (v1.0)")</f>
        <v>42847922MDD3003-- - Other Safety Documentation-06 Feb 2026 (v1.0)</v>
      </c>
      <c r="B63" s="3" t="inlineStr">
        <is>
          <t>Safety Reporting</t>
        </is>
      </c>
      <c r="C63" s="3" t="inlineStr">
        <is>
          <t>Trial Status Reporting</t>
        </is>
      </c>
      <c r="D63" s="3" t="inlineStr">
        <is>
          <t>Other Safety Documentation</t>
        </is>
      </c>
      <c r="E63" s="3" t="inlineStr">
        <is>
          <t>MDD3003 MDR SUMMARY REPORT FEBRUARY 2026 FINAL</t>
        </is>
      </c>
      <c r="F63" s="2" t="str">
        <f>HYPERLINK("https://vtmf.veevavault.com/ui/#doc_info/31129080/1/0", "VTMF-25098128")</f>
        <v>VTMF-25098128</v>
      </c>
      <c r="G63" s="3" t="inlineStr">
        <is>
          <t/>
        </is>
      </c>
      <c r="H63" s="3" t="inlineStr">
        <is>
          <t>System</t>
        </is>
      </c>
      <c r="I63" s="3" t="inlineStr">
        <is>
          <t>Karishma Adhikari</t>
        </is>
      </c>
      <c r="J63" s="4" t="n">
        <v>46087.52564814815</v>
      </c>
      <c r="K63" s="5" t="n">
        <v>46087.0</v>
      </c>
      <c r="L63" s="5" t="n">
        <v>46059.0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42847922MDD3003</t>
        </is>
      </c>
    </row>
    <row r="64">
      <c r="A64" s="2" t="str">
        <f>HYPERLINK("https://vtmf.veevavault.com/ui/#doc_info/27416246/1/0", "42847922MDD3003-- - Other Safety Documentation-06 Nov 2024 (v1.0)")</f>
        <v>42847922MDD3003-- - Other Safety Documentation-06 Nov 2024 (v1.0)</v>
      </c>
      <c r="B64" s="3" t="inlineStr">
        <is>
          <t>Safety Reporting</t>
        </is>
      </c>
      <c r="C64" s="3" t="inlineStr">
        <is>
          <t>Trial Status Reporting</t>
        </is>
      </c>
      <c r="D64" s="3" t="inlineStr">
        <is>
          <t>Other Safety Documentation</t>
        </is>
      </c>
      <c r="E64" s="3" t="inlineStr">
        <is>
          <t>Summary of monthly medical review form_Oct 2024</t>
        </is>
      </c>
      <c r="F64" s="2" t="str">
        <f>HYPERLINK("https://vtmf.veevavault.com/ui/#doc_info/27416246/1/0", "VTMF-21992691")</f>
        <v>VTMF-21992691</v>
      </c>
      <c r="G64" s="3" t="inlineStr">
        <is>
          <t/>
        </is>
      </c>
      <c r="H64" s="3" t="inlineStr">
        <is>
          <t>Anthony Suarez (veeva.com)</t>
        </is>
      </c>
      <c r="I64" s="3" t="inlineStr">
        <is>
          <t>LU XIA</t>
        </is>
      </c>
      <c r="J64" s="4" t="n">
        <v>45601.64703703704</v>
      </c>
      <c r="K64" s="5" t="n">
        <v>45602.0</v>
      </c>
      <c r="L64" s="5" t="n">
        <v>45602.0</v>
      </c>
      <c r="M64" s="3" t="inlineStr">
        <is>
          <t>Approved</t>
        </is>
      </c>
      <c r="N64" s="3" t="inlineStr">
        <is>
          <t>Study Close</t>
        </is>
      </c>
      <c r="O64" s="3" t="inlineStr">
        <is>
          <t>42847922MDD3003</t>
        </is>
      </c>
    </row>
    <row r="65">
      <c r="A65" s="2" t="str">
        <f>HYPERLINK("https://vtmf.veevavault.com/ui/#doc_info/28029343/1/0", "42847922MDD3003-- - Other Safety Documentation-07 Jan 2025 (v1.0)")</f>
        <v>42847922MDD3003-- - Other Safety Documentation-07 Jan 2025 (v1.0)</v>
      </c>
      <c r="B65" s="3" t="inlineStr">
        <is>
          <t>Safety Reporting</t>
        </is>
      </c>
      <c r="C65" s="3" t="inlineStr">
        <is>
          <t>Trial Status Reporting</t>
        </is>
      </c>
      <c r="D65" s="3" t="inlineStr">
        <is>
          <t>Other Safety Documentation</t>
        </is>
      </c>
      <c r="E65" s="3" t="inlineStr">
        <is>
          <t>Summary of medical review_November 2024</t>
        </is>
      </c>
      <c r="F65" s="2" t="str">
        <f>HYPERLINK("https://vtmf.veevavault.com/ui/#doc_info/28029343/1/0", "VTMF-22476801")</f>
        <v>VTMF-22476801</v>
      </c>
      <c r="G65" s="3" t="inlineStr">
        <is>
          <t/>
        </is>
      </c>
      <c r="H65" s="3" t="inlineStr">
        <is>
          <t>Anthony Suarez (veeva.com)</t>
        </is>
      </c>
      <c r="I65" s="3" t="inlineStr">
        <is>
          <t>LU XIA</t>
        </is>
      </c>
      <c r="J65" s="4" t="n">
        <v>45664.75493055556</v>
      </c>
      <c r="K65" s="5" t="n">
        <v>45664.0</v>
      </c>
      <c r="L65" s="5" t="n">
        <v>45664.0</v>
      </c>
      <c r="M65" s="3" t="inlineStr">
        <is>
          <t>Approved</t>
        </is>
      </c>
      <c r="N65" s="3" t="inlineStr">
        <is>
          <t>Study Close</t>
        </is>
      </c>
      <c r="O65" s="3" t="inlineStr">
        <is>
          <t>42847922MDD3003</t>
        </is>
      </c>
    </row>
    <row r="66">
      <c r="A66" s="2" t="str">
        <f>HYPERLINK("https://vtmf.veevavault.com/ui/#doc_info/28029348/1/0", "42847922MDD3003-- - Other Safety Documentation-07 Jan 2025 (v1.0)")</f>
        <v>42847922MDD3003-- - Other Safety Documentation-07 Jan 2025 (v1.0)</v>
      </c>
      <c r="B66" s="3" t="inlineStr">
        <is>
          <t>Safety Reporting</t>
        </is>
      </c>
      <c r="C66" s="3" t="inlineStr">
        <is>
          <t>Trial Status Reporting</t>
        </is>
      </c>
      <c r="D66" s="3" t="inlineStr">
        <is>
          <t>Other Safety Documentation</t>
        </is>
      </c>
      <c r="E66" s="3" t="inlineStr">
        <is>
          <t>Summary of medical review_December 2024</t>
        </is>
      </c>
      <c r="F66" s="2" t="str">
        <f>HYPERLINK("https://vtmf.veevavault.com/ui/#doc_info/28029348/1/0", "VTMF-22476811")</f>
        <v>VTMF-22476811</v>
      </c>
      <c r="G66" s="3" t="inlineStr">
        <is>
          <t/>
        </is>
      </c>
      <c r="H66" s="3" t="inlineStr">
        <is>
          <t>Anthony Suarez (veeva.com)</t>
        </is>
      </c>
      <c r="I66" s="3" t="inlineStr">
        <is>
          <t>LU XIA</t>
        </is>
      </c>
      <c r="J66" s="4" t="n">
        <v>45664.756747685184</v>
      </c>
      <c r="K66" s="5" t="n">
        <v>45664.0</v>
      </c>
      <c r="L66" s="5" t="n">
        <v>45664.0</v>
      </c>
      <c r="M66" s="3" t="inlineStr">
        <is>
          <t>Approved</t>
        </is>
      </c>
      <c r="N66" s="3" t="inlineStr">
        <is>
          <t>Study Close</t>
        </is>
      </c>
      <c r="O66" s="3" t="inlineStr">
        <is>
          <t>42847922MDD3003</t>
        </is>
      </c>
    </row>
    <row r="67">
      <c r="A67" s="2" t="str">
        <f>HYPERLINK("https://vtmf.veevavault.com/ui/#doc_info/28621512/1/0", "42847922MDD3003-- - Other Safety Documentation-07 Mar 2025 (v1.0)")</f>
        <v>42847922MDD3003-- - Other Safety Documentation-07 Mar 2025 (v1.0)</v>
      </c>
      <c r="B67" s="3" t="inlineStr">
        <is>
          <t>Safety Reporting</t>
        </is>
      </c>
      <c r="C67" s="3" t="inlineStr">
        <is>
          <t>Trial Status Reporting</t>
        </is>
      </c>
      <c r="D67" s="3" t="inlineStr">
        <is>
          <t>Other Safety Documentation</t>
        </is>
      </c>
      <c r="E67" s="3" t="inlineStr">
        <is>
          <t>MDD3003 MDR SUMMARY REPORT FEBRUARY 2025 FINAL</t>
        </is>
      </c>
      <c r="F67" s="2" t="str">
        <f>HYPERLINK("https://vtmf.veevavault.com/ui/#doc_info/28621512/1/0", "VTMF-22988651")</f>
        <v>VTMF-22988651</v>
      </c>
      <c r="G67" s="3" t="inlineStr">
        <is>
          <t/>
        </is>
      </c>
      <c r="H67" s="3" t="inlineStr">
        <is>
          <t>Anthony Suarez (veeva.com)</t>
        </is>
      </c>
      <c r="I67" s="3" t="inlineStr">
        <is>
          <t>Roshan Kanekar</t>
        </is>
      </c>
      <c r="J67" s="4" t="n">
        <v>45723.54517361111</v>
      </c>
      <c r="K67" s="5" t="n">
        <v>45723.0</v>
      </c>
      <c r="L67" s="5" t="n">
        <v>45723.0</v>
      </c>
      <c r="M67" s="3" t="inlineStr">
        <is>
          <t>Approved</t>
        </is>
      </c>
      <c r="N67" s="3" t="inlineStr">
        <is>
          <t>Study Close</t>
        </is>
      </c>
      <c r="O67" s="3" t="inlineStr">
        <is>
          <t>42847922MDD3003</t>
        </is>
      </c>
    </row>
    <row r="68">
      <c r="A68" s="2" t="str">
        <f>HYPERLINK("https://vtmf.veevavault.com/ui/#doc_info/28239753/1/0", "42847922MDD3003-- - Other Safety Documentation-07 Nov 2024 (v1.0)")</f>
        <v>42847922MDD3003-- - Other Safety Documentation-07 Nov 2024 (v1.0)</v>
      </c>
      <c r="B68" s="3" t="inlineStr">
        <is>
          <t>Safety Reporting</t>
        </is>
      </c>
      <c r="C68" s="3" t="inlineStr">
        <is>
          <t>Trial Status Reporting</t>
        </is>
      </c>
      <c r="D68" s="3" t="inlineStr">
        <is>
          <t>Other Safety Documentation</t>
        </is>
      </c>
      <c r="E68" s="3" t="inlineStr">
        <is>
          <t>MDD3003 MDR SUMMARYNOVEMBER 2024 FINAL</t>
        </is>
      </c>
      <c r="F68" s="2" t="str">
        <f>HYPERLINK("https://vtmf.veevavault.com/ui/#doc_info/28239753/1/0", "VTMF-22650373")</f>
        <v>VTMF-22650373</v>
      </c>
      <c r="G68" s="3" t="inlineStr">
        <is>
          <t/>
        </is>
      </c>
      <c r="H68" s="3" t="inlineStr">
        <is>
          <t>Anthony Suarez (veeva.com)</t>
        </is>
      </c>
      <c r="I68" s="3" t="inlineStr">
        <is>
          <t>Roshan Kanekar</t>
        </is>
      </c>
      <c r="J68" s="4" t="n">
        <v>45694.42796296296</v>
      </c>
      <c r="K68" s="5" t="n">
        <v>45694.0</v>
      </c>
      <c r="L68" s="5" t="n">
        <v>45603.0</v>
      </c>
      <c r="M68" s="3" t="inlineStr">
        <is>
          <t>Approved</t>
        </is>
      </c>
      <c r="N68" s="3" t="inlineStr">
        <is>
          <t>Study Close</t>
        </is>
      </c>
      <c r="O68" s="3" t="inlineStr">
        <is>
          <t>42847922MDD3003</t>
        </is>
      </c>
    </row>
    <row r="69">
      <c r="A69" s="2" t="str">
        <f>HYPERLINK("https://vtmf.veevavault.com/ui/#doc_info/28234437/1/0", "42847922MDD3003-- - Other Safety Documentation-07 Oct 2024 (v1.0)")</f>
        <v>42847922MDD3003-- - Other Safety Documentation-07 Oct 2024 (v1.0)</v>
      </c>
      <c r="B69" s="3" t="inlineStr">
        <is>
          <t>Safety Reporting</t>
        </is>
      </c>
      <c r="C69" s="3" t="inlineStr">
        <is>
          <t>Trial Status Reporting</t>
        </is>
      </c>
      <c r="D69" s="3" t="inlineStr">
        <is>
          <t>Other Safety Documentation</t>
        </is>
      </c>
      <c r="E69" s="3" t="inlineStr">
        <is>
          <t>MDD3003 MDR SUMMARY REPORT OCTOBER 2024 FINAL</t>
        </is>
      </c>
      <c r="F69" s="2" t="str">
        <f>HYPERLINK("https://vtmf.veevavault.com/ui/#doc_info/28234437/1/0", "VTMF-22645819")</f>
        <v>VTMF-22645819</v>
      </c>
      <c r="G69" s="3" t="inlineStr">
        <is>
          <t/>
        </is>
      </c>
      <c r="H69" s="3" t="inlineStr">
        <is>
          <t>Anthony Suarez (veeva.com)</t>
        </is>
      </c>
      <c r="I69" s="3" t="inlineStr">
        <is>
          <t>Roshan Kanekar</t>
        </is>
      </c>
      <c r="J69" s="4" t="n">
        <v>45693.71491898148</v>
      </c>
      <c r="K69" s="5" t="n">
        <v>45693.0</v>
      </c>
      <c r="L69" s="5" t="n">
        <v>45572.0</v>
      </c>
      <c r="M69" s="3" t="inlineStr">
        <is>
          <t>Approved</t>
        </is>
      </c>
      <c r="N69" s="3" t="inlineStr">
        <is>
          <t>Study Close</t>
        </is>
      </c>
      <c r="O69" s="3" t="inlineStr">
        <is>
          <t>42847922MDD3003</t>
        </is>
      </c>
    </row>
    <row r="70">
      <c r="A70" s="2" t="str">
        <f>HYPERLINK("https://vtmf.veevavault.com/ui/#doc_info/30558978/1/0", "42847922MDD3003-- - Other Safety Documentation-08 Dec 2025 (v1.0)")</f>
        <v>42847922MDD3003-- - Other Safety Documentation-08 Dec 2025 (v1.0)</v>
      </c>
      <c r="B70" s="3" t="inlineStr">
        <is>
          <t>Safety Reporting</t>
        </is>
      </c>
      <c r="C70" s="3" t="inlineStr">
        <is>
          <t>Trial Status Reporting</t>
        </is>
      </c>
      <c r="D70" s="3" t="inlineStr">
        <is>
          <t>Other Safety Documentation</t>
        </is>
      </c>
      <c r="E70" s="3" t="inlineStr">
        <is>
          <t>Summary of Medical Review Form (Nov 2025)</t>
        </is>
      </c>
      <c r="F70" s="2" t="str">
        <f>HYPERLINK("https://vtmf.veevavault.com/ui/#doc_info/30558978/1/0", "VTMF-24620890")</f>
        <v>VTMF-24620890</v>
      </c>
      <c r="G70" s="3" t="inlineStr">
        <is>
          <t/>
        </is>
      </c>
      <c r="H70" s="3" t="inlineStr">
        <is>
          <t>Anthony Suarez (veeva.com)</t>
        </is>
      </c>
      <c r="I70" s="3" t="inlineStr">
        <is>
          <t>LU XIA</t>
        </is>
      </c>
      <c r="J70" s="4" t="n">
        <v>45999.776967592596</v>
      </c>
      <c r="K70" s="5" t="n">
        <v>45999.0</v>
      </c>
      <c r="L70" s="5" t="n">
        <v>45999.0</v>
      </c>
      <c r="M70" s="3" t="inlineStr">
        <is>
          <t>Approved</t>
        </is>
      </c>
      <c r="N70" s="3" t="inlineStr">
        <is>
          <t>Study Close</t>
        </is>
      </c>
      <c r="O70" s="3" t="inlineStr">
        <is>
          <t>42847922MDD3003</t>
        </is>
      </c>
    </row>
    <row r="71">
      <c r="A71" s="2" t="str">
        <f>HYPERLINK("https://vtmf.veevavault.com/ui/#doc_info/29071979/1/0", "42847922MDD3003-- - Other Safety Documentation-08 May 2025 (v1.0)")</f>
        <v>42847922MDD3003-- - Other Safety Documentation-08 May 2025 (v1.0)</v>
      </c>
      <c r="B71" s="3" t="inlineStr">
        <is>
          <t>Safety Reporting</t>
        </is>
      </c>
      <c r="C71" s="3" t="inlineStr">
        <is>
          <t>Trial Status Reporting</t>
        </is>
      </c>
      <c r="D71" s="3" t="inlineStr">
        <is>
          <t>Other Safety Documentation</t>
        </is>
      </c>
      <c r="E71" s="3" t="inlineStr">
        <is>
          <t>Summary of Medical Review Form_March 2025</t>
        </is>
      </c>
      <c r="F71" s="2" t="str">
        <f>HYPERLINK("https://vtmf.veevavault.com/ui/#doc_info/29071979/1/0", "VTMF-23358835")</f>
        <v>VTMF-23358835</v>
      </c>
      <c r="G71" s="3" t="inlineStr">
        <is>
          <t/>
        </is>
      </c>
      <c r="H71" s="3" t="inlineStr">
        <is>
          <t>Anthony Suarez (veeva.com)</t>
        </is>
      </c>
      <c r="I71" s="3" t="inlineStr">
        <is>
          <t>LU XIA</t>
        </is>
      </c>
      <c r="J71" s="4" t="n">
        <v>45785.78105324074</v>
      </c>
      <c r="K71" s="5" t="n">
        <v>45785.0</v>
      </c>
      <c r="L71" s="5" t="n">
        <v>45785.0</v>
      </c>
      <c r="M71" s="3" t="inlineStr">
        <is>
          <t>Approved</t>
        </is>
      </c>
      <c r="N71" s="3" t="inlineStr">
        <is>
          <t>Study Close</t>
        </is>
      </c>
      <c r="O71" s="3" t="inlineStr">
        <is>
          <t>42847922MDD3003</t>
        </is>
      </c>
    </row>
    <row r="72">
      <c r="A72" s="2" t="str">
        <f>HYPERLINK("https://vtmf.veevavault.com/ui/#doc_info/31695303/1/0", "42847922MDD3003-- - Other Safety Documentation-09 May 2026 (v1.0)")</f>
        <v>42847922MDD3003-- - Other Safety Documentation-09 May 2026 (v1.0)</v>
      </c>
      <c r="B72" s="3" t="inlineStr">
        <is>
          <t>Safety Reporting</t>
        </is>
      </c>
      <c r="C72" s="3" t="inlineStr">
        <is>
          <t>Trial Status Reporting</t>
        </is>
      </c>
      <c r="D72" s="3" t="inlineStr">
        <is>
          <t>Other Safety Documentation</t>
        </is>
      </c>
      <c r="E72" s="3" t="inlineStr">
        <is>
          <t>MDR SUMMARY REPORT MDD3003 MAY 2026</t>
        </is>
      </c>
      <c r="F72" s="2" t="str">
        <f>HYPERLINK("https://vtmf.veevavault.com/ui/#doc_info/31695303/1/0", "VTMF-25577820")</f>
        <v>VTMF-25577820</v>
      </c>
      <c r="G72" s="3" t="inlineStr">
        <is>
          <t/>
        </is>
      </c>
      <c r="H72" s="3" t="inlineStr">
        <is>
          <t>System</t>
        </is>
      </c>
      <c r="I72" s="3" t="inlineStr">
        <is>
          <t>Karishma Adhikari</t>
        </is>
      </c>
      <c r="J72" s="4" t="n">
        <v>46161.50633101852</v>
      </c>
      <c r="K72" s="5" t="n">
        <v>46161.0</v>
      </c>
      <c r="L72" s="5" t="n">
        <v>46151.0</v>
      </c>
      <c r="M72" s="3" t="inlineStr">
        <is>
          <t>Approved</t>
        </is>
      </c>
      <c r="N72" s="3" t="inlineStr">
        <is>
          <t>Study Close</t>
        </is>
      </c>
      <c r="O72" s="3" t="inlineStr">
        <is>
          <t>42847922MDD3003</t>
        </is>
      </c>
    </row>
    <row r="73">
      <c r="A73" s="2" t="str">
        <f>HYPERLINK("https://vtmf.veevavault.com/ui/#doc_info/29352243/1/0", "42847922MDD3003-- - Other Safety Documentation-13 Jun 2025 (v1.0)")</f>
        <v>42847922MDD3003-- - Other Safety Documentation-13 Jun 2025 (v1.0)</v>
      </c>
      <c r="B73" s="3" t="inlineStr">
        <is>
          <t>Safety Reporting</t>
        </is>
      </c>
      <c r="C73" s="3" t="inlineStr">
        <is>
          <t>Trial Status Reporting</t>
        </is>
      </c>
      <c r="D73" s="3" t="inlineStr">
        <is>
          <t>Other Safety Documentation</t>
        </is>
      </c>
      <c r="E73" s="3" t="inlineStr">
        <is>
          <t>Summary of monthly medical review form_April 2025</t>
        </is>
      </c>
      <c r="F73" s="2" t="str">
        <f>HYPERLINK("https://vtmf.veevavault.com/ui/#doc_info/29352243/1/0", "VTMF-23595885")</f>
        <v>VTMF-23595885</v>
      </c>
      <c r="G73" s="3" t="inlineStr">
        <is>
          <t/>
        </is>
      </c>
      <c r="H73" s="3" t="inlineStr">
        <is>
          <t>Anthony Suarez (veeva.com)</t>
        </is>
      </c>
      <c r="I73" s="3" t="inlineStr">
        <is>
          <t>LU XIA</t>
        </is>
      </c>
      <c r="J73" s="4" t="n">
        <v>45821.65599537037</v>
      </c>
      <c r="K73" s="5" t="n">
        <v>45824.0</v>
      </c>
      <c r="L73" s="5" t="n">
        <v>45821.0</v>
      </c>
      <c r="M73" s="3" t="inlineStr">
        <is>
          <t>Approved</t>
        </is>
      </c>
      <c r="N73" s="3" t="inlineStr">
        <is>
          <t>Study Close</t>
        </is>
      </c>
      <c r="O73" s="3" t="inlineStr">
        <is>
          <t>42847922MDD3003</t>
        </is>
      </c>
    </row>
    <row r="74">
      <c r="A74" s="2" t="str">
        <f>HYPERLINK("https://vtmf.veevavault.com/ui/#doc_info/29352278/1/0", "42847922MDD3003-- - Other Safety Documentation-13 Jun 2025 (v1.0)")</f>
        <v>42847922MDD3003-- - Other Safety Documentation-13 Jun 2025 (v1.0)</v>
      </c>
      <c r="B74" s="3" t="inlineStr">
        <is>
          <t>Safety Reporting</t>
        </is>
      </c>
      <c r="C74" s="3" t="inlineStr">
        <is>
          <t>Trial Status Reporting</t>
        </is>
      </c>
      <c r="D74" s="3" t="inlineStr">
        <is>
          <t>Other Safety Documentation</t>
        </is>
      </c>
      <c r="E74" s="3" t="inlineStr">
        <is>
          <t>Summary of Medical Review Form_May2025</t>
        </is>
      </c>
      <c r="F74" s="2" t="str">
        <f>HYPERLINK("https://vtmf.veevavault.com/ui/#doc_info/29352278/1/0", "VTMF-23595928")</f>
        <v>VTMF-23595928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LU XIA</t>
        </is>
      </c>
      <c r="J74" s="4" t="n">
        <v>45821.657638888886</v>
      </c>
      <c r="K74" s="5" t="n">
        <v>45824.0</v>
      </c>
      <c r="L74" s="5" t="n">
        <v>45821.0</v>
      </c>
      <c r="M74" s="3" t="inlineStr">
        <is>
          <t>Approved</t>
        </is>
      </c>
      <c r="N74" s="3" t="inlineStr">
        <is>
          <t>Study Close</t>
        </is>
      </c>
      <c r="O74" s="3" t="inlineStr">
        <is>
          <t>42847922MDD3003</t>
        </is>
      </c>
    </row>
    <row r="75">
      <c r="A75" s="2" t="str">
        <f>HYPERLINK("https://vtmf.veevavault.com/ui/#doc_info/29767955/1/0", "42847922MDD3003-- - Other Safety Documentation-14 Aug 2025 (v1.0)")</f>
        <v>42847922MDD3003-- - Other Safety Documentation-14 Aug 2025 (v1.0)</v>
      </c>
      <c r="B75" s="3" t="inlineStr">
        <is>
          <t>Safety Reporting</t>
        </is>
      </c>
      <c r="C75" s="3" t="inlineStr">
        <is>
          <t>Trial Status Reporting</t>
        </is>
      </c>
      <c r="D75" s="3" t="inlineStr">
        <is>
          <t>Other Safety Documentation</t>
        </is>
      </c>
      <c r="E75" s="3" t="inlineStr">
        <is>
          <t>Summary of Medical Review Form_July 2025</t>
        </is>
      </c>
      <c r="F75" s="2" t="str">
        <f>HYPERLINK("https://vtmf.veevavault.com/ui/#doc_info/29767955/1/0", "VTMF-23953981")</f>
        <v>VTMF-23953981</v>
      </c>
      <c r="G75" s="3" t="inlineStr">
        <is>
          <t/>
        </is>
      </c>
      <c r="H75" s="3" t="inlineStr">
        <is>
          <t>Anthony Suarez (veeva.com)</t>
        </is>
      </c>
      <c r="I75" s="3" t="inlineStr">
        <is>
          <t>LU XIA</t>
        </is>
      </c>
      <c r="J75" s="4" t="n">
        <v>45883.902349537035</v>
      </c>
      <c r="K75" s="5" t="n">
        <v>45887.0</v>
      </c>
      <c r="L75" s="5" t="n">
        <v>45883.0</v>
      </c>
      <c r="M75" s="3" t="inlineStr">
        <is>
          <t>Approved</t>
        </is>
      </c>
      <c r="N75" s="3" t="inlineStr">
        <is>
          <t>Study Close</t>
        </is>
      </c>
      <c r="O75" s="3" t="inlineStr">
        <is>
          <t>42847922MDD3003</t>
        </is>
      </c>
    </row>
    <row r="76">
      <c r="A76" s="2" t="str">
        <f>HYPERLINK("https://vtmf.veevavault.com/ui/#doc_info/31468624/1/0", "42847922MDD3003-- - Other Safety Documentation-16 Apr 2026 (v1.0)")</f>
        <v>42847922MDD3003-- - Other Safety Documentation-16 Apr 2026 (v1.0)</v>
      </c>
      <c r="B76" s="3" t="inlineStr">
        <is>
          <t>Safety Reporting</t>
        </is>
      </c>
      <c r="C76" s="3" t="inlineStr">
        <is>
          <t>Trial Status Reporting</t>
        </is>
      </c>
      <c r="D76" s="3" t="inlineStr">
        <is>
          <t>Other Safety Documentation</t>
        </is>
      </c>
      <c r="E76" s="3" t="inlineStr">
        <is>
          <t>Summary of Medical Review Form_March 2026</t>
        </is>
      </c>
      <c r="F76" s="2" t="str">
        <f>HYPERLINK("https://vtmf.veevavault.com/ui/#doc_info/31468624/1/0", "VTMF-25392351")</f>
        <v>VTMF-25392351</v>
      </c>
      <c r="G76" s="3" t="inlineStr">
        <is>
          <t/>
        </is>
      </c>
      <c r="H76" s="3" t="inlineStr">
        <is>
          <t>System</t>
        </is>
      </c>
      <c r="I76" s="3" t="inlineStr">
        <is>
          <t>LU XIA</t>
        </is>
      </c>
      <c r="J76" s="4" t="n">
        <v>46128.655636574076</v>
      </c>
      <c r="K76" s="5" t="n">
        <v>46128.0</v>
      </c>
      <c r="L76" s="5" t="n">
        <v>46128.0</v>
      </c>
      <c r="M76" s="3" t="inlineStr">
        <is>
          <t>Approved</t>
        </is>
      </c>
      <c r="N76" s="3" t="inlineStr">
        <is>
          <t>Study Close</t>
        </is>
      </c>
      <c r="O76" s="3" t="inlineStr">
        <is>
          <t>42847922MDD3003</t>
        </is>
      </c>
    </row>
    <row r="77">
      <c r="A77" s="2" t="str">
        <f>HYPERLINK("https://vtmf.veevavault.com/ui/#doc_info/31897187/1/0", "42847922MDD3003-- - Other Safety Documentation-17 Jun 2026 (v1.0)")</f>
        <v>42847922MDD3003-- - Other Safety Documentation-17 Jun 2026 (v1.0)</v>
      </c>
      <c r="B77" s="3" t="inlineStr">
        <is>
          <t>Safety Reporting</t>
        </is>
      </c>
      <c r="C77" s="3" t="inlineStr">
        <is>
          <t>Trial Status Reporting</t>
        </is>
      </c>
      <c r="D77" s="3" t="inlineStr">
        <is>
          <t>Other Safety Documentation</t>
        </is>
      </c>
      <c r="E77" s="3" t="inlineStr">
        <is>
          <t>42847922MDD3003 Summary of Medical Review Form_May 2026</t>
        </is>
      </c>
      <c r="F77" s="2" t="str">
        <f>HYPERLINK("https://vtmf.veevavault.com/ui/#doc_info/31897187/1/0", "VTMF-25752132")</f>
        <v>VTMF-25752132</v>
      </c>
      <c r="G77" s="3" t="inlineStr">
        <is>
          <t/>
        </is>
      </c>
      <c r="H77" s="3" t="inlineStr">
        <is>
          <t>System</t>
        </is>
      </c>
      <c r="I77" s="3" t="inlineStr">
        <is>
          <t>LU XIA</t>
        </is>
      </c>
      <c r="J77" s="4" t="n">
        <v>46190.74167824074</v>
      </c>
      <c r="K77" s="5" t="n">
        <v>46190.0</v>
      </c>
      <c r="L77" s="5" t="n">
        <v>46190.0</v>
      </c>
      <c r="M77" s="3" t="inlineStr">
        <is>
          <t>Approved</t>
        </is>
      </c>
      <c r="N77" s="3" t="inlineStr">
        <is>
          <t>Study Close</t>
        </is>
      </c>
      <c r="O77" s="3" t="inlineStr">
        <is>
          <t>42847922MDD3003</t>
        </is>
      </c>
    </row>
    <row r="78">
      <c r="A78" s="2" t="str">
        <f>HYPERLINK("https://vtmf.veevavault.com/ui/#doc_info/28320071/1/0", "42847922MDD3003-- - Other Safety Documentation-18 Feb 2025 (v1.0)")</f>
        <v>42847922MDD3003-- - Other Safety Documentation-18 Feb 2025 (v1.0)</v>
      </c>
      <c r="B78" s="3" t="inlineStr">
        <is>
          <t>Safety Reporting</t>
        </is>
      </c>
      <c r="C78" s="3" t="inlineStr">
        <is>
          <t>Trial Status Reporting</t>
        </is>
      </c>
      <c r="D78" s="3" t="inlineStr">
        <is>
          <t>Other Safety Documentation</t>
        </is>
      </c>
      <c r="E78" s="3" t="inlineStr">
        <is>
          <t>Summary of monthly medical review form_Jan 2025</t>
        </is>
      </c>
      <c r="F78" s="2" t="str">
        <f>HYPERLINK("https://vtmf.veevavault.com/ui/#doc_info/28320071/1/0", "VTMF-22719477")</f>
        <v>VTMF-22719477</v>
      </c>
      <c r="G78" s="3" t="inlineStr">
        <is>
          <t/>
        </is>
      </c>
      <c r="H78" s="3" t="inlineStr">
        <is>
          <t>Anthony Suarez (veeva.com)</t>
        </is>
      </c>
      <c r="I78" s="3" t="inlineStr">
        <is>
          <t>LU XIA</t>
        </is>
      </c>
      <c r="J78" s="4" t="n">
        <v>45706.715104166666</v>
      </c>
      <c r="K78" s="5" t="n">
        <v>45709.0</v>
      </c>
      <c r="L78" s="5" t="n">
        <v>45706.0</v>
      </c>
      <c r="M78" s="3" t="inlineStr">
        <is>
          <t>Approved</t>
        </is>
      </c>
      <c r="N78" s="3" t="inlineStr">
        <is>
          <t>Study Close</t>
        </is>
      </c>
      <c r="O78" s="3" t="inlineStr">
        <is>
          <t>42847922MDD3003</t>
        </is>
      </c>
    </row>
    <row r="79">
      <c r="A79" s="2" t="str">
        <f>HYPERLINK("https://vtmf.veevavault.com/ui/#doc_info/29633654/1/0", "42847922MDD3003-- - Other Safety Documentation-18 Jul 2025 (v1.0)")</f>
        <v>42847922MDD3003-- - Other Safety Documentation-18 Jul 2025 (v1.0)</v>
      </c>
      <c r="B79" s="3" t="inlineStr">
        <is>
          <t>Safety Reporting</t>
        </is>
      </c>
      <c r="C79" s="3" t="inlineStr">
        <is>
          <t>Trial Status Reporting</t>
        </is>
      </c>
      <c r="D79" s="3" t="inlineStr">
        <is>
          <t>Other Safety Documentation</t>
        </is>
      </c>
      <c r="E79" s="3" t="inlineStr">
        <is>
          <t>Janssen 42847922MDD3003 _MSS Report No.10 08 June 2025 to 09 July 2025_ Safety Call 18 July2025.Final</t>
        </is>
      </c>
      <c r="F79" s="2" t="str">
        <f>HYPERLINK("https://vtmf.veevavault.com/ui/#doc_info/29633654/1/0", "VTMF-23839463")</f>
        <v>VTMF-23839463</v>
      </c>
      <c r="G79" s="3" t="inlineStr">
        <is>
          <t/>
        </is>
      </c>
      <c r="H79" s="3" t="inlineStr">
        <is>
          <t>Anthony Suarez (veeva.com)</t>
        </is>
      </c>
      <c r="I79" s="3" t="inlineStr">
        <is>
          <t>Ankita P Dhamanaskar</t>
        </is>
      </c>
      <c r="J79" s="4" t="n">
        <v>45863.98663194444</v>
      </c>
      <c r="K79" s="5" t="n">
        <v>45864.0</v>
      </c>
      <c r="L79" s="5" t="n">
        <v>45856.0</v>
      </c>
      <c r="M79" s="3" t="inlineStr">
        <is>
          <t>Approved</t>
        </is>
      </c>
      <c r="N79" s="3" t="inlineStr">
        <is>
          <t>Study Close</t>
        </is>
      </c>
      <c r="O79" s="3" t="inlineStr">
        <is>
          <t>42847922MDD3003</t>
        </is>
      </c>
    </row>
    <row r="80">
      <c r="A80" s="2" t="str">
        <f>HYPERLINK("https://vtmf.veevavault.com/ui/#doc_info/29378258/1/0", "42847922MDD3003-- - Other Safety Documentation-18 Jun 2025 (v1.0)")</f>
        <v>42847922MDD3003-- - Other Safety Documentation-18 Jun 2025 (v1.0)</v>
      </c>
      <c r="B80" s="3" t="inlineStr">
        <is>
          <t>Safety Reporting</t>
        </is>
      </c>
      <c r="C80" s="3" t="inlineStr">
        <is>
          <t>Trial Status Reporting</t>
        </is>
      </c>
      <c r="D80" s="3" t="inlineStr">
        <is>
          <t>Other Safety Documentation</t>
        </is>
      </c>
      <c r="E80" s="3" t="inlineStr">
        <is>
          <t>Janssen 42847922MDD3003 _MSS Report No.4_06Dec2024 - 7Jan2025_ Safety Call 17Jan2025 (002)</t>
        </is>
      </c>
      <c r="F80" s="2" t="str">
        <f>HYPERLINK("https://vtmf.veevavault.com/ui/#doc_info/29378258/1/0", "VTMF-23618985")</f>
        <v>VTMF-23618985</v>
      </c>
      <c r="G80" s="3" t="inlineStr">
        <is>
          <t/>
        </is>
      </c>
      <c r="H80" s="3" t="inlineStr">
        <is>
          <t>Anthony Suarez (veeva.com)</t>
        </is>
      </c>
      <c r="I80" s="3" t="inlineStr">
        <is>
          <t>Vidhya Wakde</t>
        </is>
      </c>
      <c r="J80" s="4" t="n">
        <v>45826.49159722222</v>
      </c>
      <c r="K80" s="5" t="n">
        <v>45826.0</v>
      </c>
      <c r="L80" s="5" t="n">
        <v>45826.0</v>
      </c>
      <c r="M80" s="3" t="inlineStr">
        <is>
          <t>Approved</t>
        </is>
      </c>
      <c r="N80" s="3" t="inlineStr">
        <is>
          <t>Study Close</t>
        </is>
      </c>
      <c r="O80" s="3" t="inlineStr">
        <is>
          <t>42847922MDD3003</t>
        </is>
      </c>
    </row>
    <row r="81">
      <c r="A81" s="2" t="str">
        <f>HYPERLINK("https://vtmf.veevavault.com/ui/#doc_info/29378259/1/0", "42847922MDD3003-- - Other Safety Documentation-18 Jun 2025 (v1.0)")</f>
        <v>42847922MDD3003-- - Other Safety Documentation-18 Jun 2025 (v1.0)</v>
      </c>
      <c r="B81" s="3" t="inlineStr">
        <is>
          <t>Safety Reporting</t>
        </is>
      </c>
      <c r="C81" s="3" t="inlineStr">
        <is>
          <t>Trial Status Reporting</t>
        </is>
      </c>
      <c r="D81" s="3" t="inlineStr">
        <is>
          <t>Other Safety Documentation</t>
        </is>
      </c>
      <c r="E81" s="3" t="inlineStr">
        <is>
          <t>Janssen 42847922MDD3003 _MSS Report No.5_8Jan2025-7Feb2025_ Safety Call 21Feb2025</t>
        </is>
      </c>
      <c r="F81" s="2" t="str">
        <f>HYPERLINK("https://vtmf.veevavault.com/ui/#doc_info/29378259/1/0", "VTMF-23618986")</f>
        <v>VTMF-23618986</v>
      </c>
      <c r="G81" s="3" t="inlineStr">
        <is>
          <t/>
        </is>
      </c>
      <c r="H81" s="3" t="inlineStr">
        <is>
          <t>Anthony Suarez (veeva.com)</t>
        </is>
      </c>
      <c r="I81" s="3" t="inlineStr">
        <is>
          <t>Vidhya Wakde</t>
        </is>
      </c>
      <c r="J81" s="4" t="n">
        <v>45826.49159722222</v>
      </c>
      <c r="K81" s="5" t="n">
        <v>45826.0</v>
      </c>
      <c r="L81" s="5" t="n">
        <v>45826.0</v>
      </c>
      <c r="M81" s="3" t="inlineStr">
        <is>
          <t>Approved</t>
        </is>
      </c>
      <c r="N81" s="3" t="inlineStr">
        <is>
          <t>Study Close</t>
        </is>
      </c>
      <c r="O81" s="3" t="inlineStr">
        <is>
          <t>42847922MDD3003</t>
        </is>
      </c>
    </row>
    <row r="82">
      <c r="A82" s="2" t="str">
        <f>HYPERLINK("https://vtmf.veevavault.com/ui/#doc_info/29378261/1/0", "42847922MDD3003-- - Other Safety Documentation-18 Jun 2025 (v1.0)")</f>
        <v>42847922MDD3003-- - Other Safety Documentation-18 Jun 2025 (v1.0)</v>
      </c>
      <c r="B82" s="3" t="inlineStr">
        <is>
          <t>Safety Reporting</t>
        </is>
      </c>
      <c r="C82" s="3" t="inlineStr">
        <is>
          <t>Trial Status Reporting</t>
        </is>
      </c>
      <c r="D82" s="3" t="inlineStr">
        <is>
          <t>Other Safety Documentation</t>
        </is>
      </c>
      <c r="E82" s="3" t="inlineStr">
        <is>
          <t>Janssen 42847922MDD3003 _MSS Report No.7_08Mar2025-7 April2025</t>
        </is>
      </c>
      <c r="F82" s="2" t="str">
        <f>HYPERLINK("https://vtmf.veevavault.com/ui/#doc_info/29378261/1/0", "VTMF-23618988")</f>
        <v>VTMF-23618988</v>
      </c>
      <c r="G82" s="3" t="inlineStr">
        <is>
          <t/>
        </is>
      </c>
      <c r="H82" s="3" t="inlineStr">
        <is>
          <t>Anthony Suarez (veeva.com)</t>
        </is>
      </c>
      <c r="I82" s="3" t="inlineStr">
        <is>
          <t>Vidhya Wakde</t>
        </is>
      </c>
      <c r="J82" s="4" t="n">
        <v>45826.49159722222</v>
      </c>
      <c r="K82" s="5" t="n">
        <v>45826.0</v>
      </c>
      <c r="L82" s="5" t="n">
        <v>45826.0</v>
      </c>
      <c r="M82" s="3" t="inlineStr">
        <is>
          <t>Approved</t>
        </is>
      </c>
      <c r="N82" s="3" t="inlineStr">
        <is>
          <t>Study Close</t>
        </is>
      </c>
      <c r="O82" s="3" t="inlineStr">
        <is>
          <t>42847922MDD3003</t>
        </is>
      </c>
    </row>
    <row r="83">
      <c r="A83" s="2" t="str">
        <f>HYPERLINK("https://vtmf.veevavault.com/ui/#doc_info/29378262/1/0", "42847922MDD3003-- - Other Safety Documentation-18 Jun 2025 (v1.0)")</f>
        <v>42847922MDD3003-- - Other Safety Documentation-18 Jun 2025 (v1.0)</v>
      </c>
      <c r="B83" s="3" t="inlineStr">
        <is>
          <t>Safety Reporting</t>
        </is>
      </c>
      <c r="C83" s="3" t="inlineStr">
        <is>
          <t>Trial Status Reporting</t>
        </is>
      </c>
      <c r="D83" s="3" t="inlineStr">
        <is>
          <t>Other Safety Documentation</t>
        </is>
      </c>
      <c r="E83" s="3" t="inlineStr">
        <is>
          <t>Janssen 42847922MDD3003 _MSS Report No.8_08Apr2025-5May2025</t>
        </is>
      </c>
      <c r="F83" s="2" t="str">
        <f>HYPERLINK("https://vtmf.veevavault.com/ui/#doc_info/29378262/1/0", "VTMF-23618989")</f>
        <v>VTMF-23618989</v>
      </c>
      <c r="G83" s="3" t="inlineStr">
        <is>
          <t/>
        </is>
      </c>
      <c r="H83" s="3" t="inlineStr">
        <is>
          <t>Anthony Suarez (veeva.com)</t>
        </is>
      </c>
      <c r="I83" s="3" t="inlineStr">
        <is>
          <t>Vidhya Wakde</t>
        </is>
      </c>
      <c r="J83" s="4" t="n">
        <v>45826.49159722222</v>
      </c>
      <c r="K83" s="5" t="n">
        <v>45826.0</v>
      </c>
      <c r="L83" s="5" t="n">
        <v>45826.0</v>
      </c>
      <c r="M83" s="3" t="inlineStr">
        <is>
          <t>Approved</t>
        </is>
      </c>
      <c r="N83" s="3" t="inlineStr">
        <is>
          <t>Study Close</t>
        </is>
      </c>
      <c r="O83" s="3" t="inlineStr">
        <is>
          <t>42847922MDD3003</t>
        </is>
      </c>
    </row>
    <row r="84">
      <c r="A84" s="2" t="str">
        <f>HYPERLINK("https://vtmf.veevavault.com/ui/#doc_info/29378263/1/0", "42847922MDD3003-- - Other Safety Documentation-18 Jun 2025 (v1.0)")</f>
        <v>42847922MDD3003-- - Other Safety Documentation-18 Jun 2025 (v1.0)</v>
      </c>
      <c r="B84" s="3" t="inlineStr">
        <is>
          <t>Safety Reporting</t>
        </is>
      </c>
      <c r="C84" s="3" t="inlineStr">
        <is>
          <t>Trial Status Reporting</t>
        </is>
      </c>
      <c r="D84" s="3" t="inlineStr">
        <is>
          <t>Other Safety Documentation</t>
        </is>
      </c>
      <c r="E84" s="3" t="inlineStr">
        <is>
          <t>Janssen 42847922MDD3003 _MSS Report No.9 08 May 2025 to 07 June 2025 June2025_ Safety Call 20 June2025_</t>
        </is>
      </c>
      <c r="F84" s="2" t="str">
        <f>HYPERLINK("https://vtmf.veevavault.com/ui/#doc_info/29378263/1/0", "VTMF-23618990")</f>
        <v>VTMF-23618990</v>
      </c>
      <c r="G84" s="3" t="inlineStr">
        <is>
          <t/>
        </is>
      </c>
      <c r="H84" s="3" t="inlineStr">
        <is>
          <t>Anthony Suarez (veeva.com)</t>
        </is>
      </c>
      <c r="I84" s="3" t="inlineStr">
        <is>
          <t>Vidhya Wakde</t>
        </is>
      </c>
      <c r="J84" s="4" t="n">
        <v>45826.49159722222</v>
      </c>
      <c r="K84" s="5" t="n">
        <v>45826.0</v>
      </c>
      <c r="L84" s="5" t="n">
        <v>45826.0</v>
      </c>
      <c r="M84" s="3" t="inlineStr">
        <is>
          <t>Approved</t>
        </is>
      </c>
      <c r="N84" s="3" t="inlineStr">
        <is>
          <t>Study Close</t>
        </is>
      </c>
      <c r="O84" s="3" t="inlineStr">
        <is>
          <t>42847922MDD3003</t>
        </is>
      </c>
    </row>
    <row r="85">
      <c r="A85" s="2" t="str">
        <f>HYPERLINK("https://vtmf.veevavault.com/ui/#doc_info/29378257/1/0", "42847922MDD3003-- - Other Safety Documentation-20 Dec 2024 (v1.0)")</f>
        <v>42847922MDD3003-- - Other Safety Documentation-20 Dec 2024 (v1.0)</v>
      </c>
      <c r="B85" s="3" t="inlineStr">
        <is>
          <t>Safety Reporting</t>
        </is>
      </c>
      <c r="C85" s="3" t="inlineStr">
        <is>
          <t>Trial Status Reporting</t>
        </is>
      </c>
      <c r="D85" s="3" t="inlineStr">
        <is>
          <t>Other Safety Documentation</t>
        </is>
      </c>
      <c r="E85" s="3" t="inlineStr">
        <is>
          <t>Janssen 42847922MDD3003 _MSS Report No.3_08Nov - 06Dec 2024_ Safety Call 20Dec2024</t>
        </is>
      </c>
      <c r="F85" s="2" t="str">
        <f>HYPERLINK("https://vtmf.veevavault.com/ui/#doc_info/29378257/1/0", "VTMF-23618984")</f>
        <v>VTMF-23618984</v>
      </c>
      <c r="G85" s="3" t="inlineStr">
        <is>
          <t/>
        </is>
      </c>
      <c r="H85" s="3" t="inlineStr">
        <is>
          <t>Anthony Suarez (veeva.com)</t>
        </is>
      </c>
      <c r="I85" s="3" t="inlineStr">
        <is>
          <t>Vidhya Wakde</t>
        </is>
      </c>
      <c r="J85" s="4" t="n">
        <v>45826.49159722222</v>
      </c>
      <c r="K85" s="5" t="n">
        <v>45826.0</v>
      </c>
      <c r="L85" s="5" t="n">
        <v>45646.0</v>
      </c>
      <c r="M85" s="3" t="inlineStr">
        <is>
          <t>Approved</t>
        </is>
      </c>
      <c r="N85" s="3" t="inlineStr">
        <is>
          <t>Study Close</t>
        </is>
      </c>
      <c r="O85" s="3" t="inlineStr">
        <is>
          <t>42847922MDD3003</t>
        </is>
      </c>
    </row>
    <row r="86">
      <c r="A86" s="2" t="str">
        <f>HYPERLINK("https://vtmf.veevavault.com/ui/#doc_info/28720087/1/0", "42847922MDD3003-- - Other Safety Documentation-21 Mar 2025 (v1.0)")</f>
        <v>42847922MDD3003-- - Other Safety Documentation-21 Mar 2025 (v1.0)</v>
      </c>
      <c r="B86" s="3" t="inlineStr">
        <is>
          <t>Safety Reporting</t>
        </is>
      </c>
      <c r="C86" s="3" t="inlineStr">
        <is>
          <t>Trial Status Reporting</t>
        </is>
      </c>
      <c r="D86" s="3" t="inlineStr">
        <is>
          <t>Other Safety Documentation</t>
        </is>
      </c>
      <c r="E86" s="3" t="inlineStr">
        <is>
          <t>42847922MDD3003 Summary of Medical Review Form (Feb 2025)</t>
        </is>
      </c>
      <c r="F86" s="2" t="str">
        <f>HYPERLINK("https://vtmf.veevavault.com/ui/#doc_info/28720087/1/0", "VTMF-23072122")</f>
        <v>VTMF-23072122</v>
      </c>
      <c r="G86" s="3" t="inlineStr">
        <is>
          <t/>
        </is>
      </c>
      <c r="H86" s="3" t="inlineStr">
        <is>
          <t>Anthony Suarez (veeva.com)</t>
        </is>
      </c>
      <c r="I86" s="3" t="inlineStr">
        <is>
          <t>LU XIA</t>
        </is>
      </c>
      <c r="J86" s="4" t="n">
        <v>45737.78472222222</v>
      </c>
      <c r="K86" s="5" t="n">
        <v>45740.0</v>
      </c>
      <c r="L86" s="5" t="n">
        <v>45737.0</v>
      </c>
      <c r="M86" s="3" t="inlineStr">
        <is>
          <t>Approved</t>
        </is>
      </c>
      <c r="N86" s="3" t="inlineStr">
        <is>
          <t>Study Close</t>
        </is>
      </c>
      <c r="O86" s="3" t="inlineStr">
        <is>
          <t>42847922MDD3003</t>
        </is>
      </c>
    </row>
    <row r="87">
      <c r="A87" s="2" t="str">
        <f>HYPERLINK("https://vtmf.veevavault.com/ui/#doc_info/29633622/1/0", "42847922MDD3003-- - Other Safety Documentation-21 Mar 2025 (v1.0)")</f>
        <v>42847922MDD3003-- - Other Safety Documentation-21 Mar 2025 (v1.0)</v>
      </c>
      <c r="B87" s="3" t="inlineStr">
        <is>
          <t>Safety Reporting</t>
        </is>
      </c>
      <c r="C87" s="3" t="inlineStr">
        <is>
          <t>Trial Status Reporting</t>
        </is>
      </c>
      <c r="D87" s="3" t="inlineStr">
        <is>
          <t>Other Safety Documentation</t>
        </is>
      </c>
      <c r="E87" s="3" t="inlineStr">
        <is>
          <t>Janssen 42847922MDD3003 _MSS Report No.6_8Feb2025-7Mar2025</t>
        </is>
      </c>
      <c r="F87" s="2" t="str">
        <f>HYPERLINK("https://vtmf.veevavault.com/ui/#doc_info/29633622/1/0", "VTMF-23839425")</f>
        <v>VTMF-23839425</v>
      </c>
      <c r="G87" s="3" t="inlineStr">
        <is>
          <t/>
        </is>
      </c>
      <c r="H87" s="3" t="inlineStr">
        <is>
          <t>Anthony Suarez (veeva.com)</t>
        </is>
      </c>
      <c r="I87" s="3" t="inlineStr">
        <is>
          <t>Ankita P Dhamanaskar</t>
        </is>
      </c>
      <c r="J87" s="4" t="n">
        <v>45863.98050925926</v>
      </c>
      <c r="K87" s="5" t="n">
        <v>45864.0</v>
      </c>
      <c r="L87" s="5" t="n">
        <v>45737.0</v>
      </c>
      <c r="M87" s="3" t="inlineStr">
        <is>
          <t>Approved</t>
        </is>
      </c>
      <c r="N87" s="3" t="inlineStr">
        <is>
          <t>Study Close</t>
        </is>
      </c>
      <c r="O87" s="3" t="inlineStr">
        <is>
          <t>42847922MDD3003</t>
        </is>
      </c>
    </row>
    <row r="88">
      <c r="A88" s="2" t="str">
        <f>HYPERLINK("https://vtmf.veevavault.com/ui/#doc_info/30558266/1/0", "42847922MDD3003-- - Other Safety Documentation-21 Nov 2025 (v1.0)")</f>
        <v>42847922MDD3003-- - Other Safety Documentation-21 Nov 2025 (v1.0)</v>
      </c>
      <c r="B88" s="3" t="inlineStr">
        <is>
          <t>Safety Reporting</t>
        </is>
      </c>
      <c r="C88" s="3" t="inlineStr">
        <is>
          <t>Trial Status Reporting</t>
        </is>
      </c>
      <c r="D88" s="3" t="inlineStr">
        <is>
          <t>Other Safety Documentation</t>
        </is>
      </c>
      <c r="E88" s="3" t="inlineStr">
        <is>
          <t>MDD3003 MDR SUMMARY REPORT NOVEMBER 2025 FINAL</t>
        </is>
      </c>
      <c r="F88" s="2" t="str">
        <f>HYPERLINK("https://vtmf.veevavault.com/ui/#doc_info/30558266/1/0", "VTMF-24620231")</f>
        <v>VTMF-24620231</v>
      </c>
      <c r="G88" s="3" t="inlineStr">
        <is>
          <t/>
        </is>
      </c>
      <c r="H88" s="3" t="inlineStr">
        <is>
          <t>Anthony Suarez (veeva.com)</t>
        </is>
      </c>
      <c r="I88" s="3" t="inlineStr">
        <is>
          <t>Karishma Adhikari</t>
        </is>
      </c>
      <c r="J88" s="4" t="n">
        <v>45999.693923611114</v>
      </c>
      <c r="K88" s="5" t="n">
        <v>45999.0</v>
      </c>
      <c r="L88" s="5" t="n">
        <v>45982.0</v>
      </c>
      <c r="M88" s="3" t="inlineStr">
        <is>
          <t>Approved</t>
        </is>
      </c>
      <c r="N88" s="3" t="inlineStr">
        <is>
          <t>Study Close</t>
        </is>
      </c>
      <c r="O88" s="3" t="inlineStr">
        <is>
          <t>42847922MDD3003</t>
        </is>
      </c>
    </row>
    <row r="89">
      <c r="A89" s="2" t="str">
        <f>HYPERLINK("https://vtmf.veevavault.com/ui/#doc_info/29879329/1/0", "42847922MDD3003-- - Other Safety Documentation-22 Aug 2025 (v1.0)")</f>
        <v>42847922MDD3003-- - Other Safety Documentation-22 Aug 2025 (v1.0)</v>
      </c>
      <c r="B89" s="3" t="inlineStr">
        <is>
          <t>Safety Reporting</t>
        </is>
      </c>
      <c r="C89" s="3" t="inlineStr">
        <is>
          <t>Trial Status Reporting</t>
        </is>
      </c>
      <c r="D89" s="3" t="inlineStr">
        <is>
          <t>Other Safety Documentation</t>
        </is>
      </c>
      <c r="E89" s="3" t="inlineStr">
        <is>
          <t>MDD3003 MDR SUMMARY REPORT 11_AUGUST 2025</t>
        </is>
      </c>
      <c r="F89" s="2" t="str">
        <f>HYPERLINK("https://vtmf.veevavault.com/ui/#doc_info/29879329/1/0", "VTMF-24049863")</f>
        <v>VTMF-24049863</v>
      </c>
      <c r="G89" s="3" t="inlineStr">
        <is>
          <t/>
        </is>
      </c>
      <c r="H89" s="3" t="inlineStr">
        <is>
          <t>Anthony Suarez (veeva.com)</t>
        </is>
      </c>
      <c r="I89" s="3" t="inlineStr">
        <is>
          <t>Karishma Adhikari</t>
        </is>
      </c>
      <c r="J89" s="4" t="n">
        <v>45903.32255787037</v>
      </c>
      <c r="K89" s="5" t="n">
        <v>45903.0</v>
      </c>
      <c r="L89" s="5" t="n">
        <v>45891.0</v>
      </c>
      <c r="M89" s="3" t="inlineStr">
        <is>
          <t>Approved</t>
        </is>
      </c>
      <c r="N89" s="3" t="inlineStr">
        <is>
          <t>Study Close</t>
        </is>
      </c>
      <c r="O89" s="3" t="inlineStr">
        <is>
          <t>42847922MDD3003</t>
        </is>
      </c>
    </row>
    <row r="90">
      <c r="A90" s="2" t="str">
        <f>HYPERLINK("https://vtmf.veevavault.com/ui/#doc_info/29903871/1/0", "42847922MDD3003-- - Other Safety Documentation-22 Aug 2025 (v1.0)")</f>
        <v>42847922MDD3003-- - Other Safety Documentation-22 Aug 2025 (v1.0)</v>
      </c>
      <c r="B90" s="3" t="inlineStr">
        <is>
          <t>Safety Reporting</t>
        </is>
      </c>
      <c r="C90" s="3" t="inlineStr">
        <is>
          <t>Trial Status Reporting</t>
        </is>
      </c>
      <c r="D90" s="3" t="inlineStr">
        <is>
          <t>Other Safety Documentation</t>
        </is>
      </c>
      <c r="E90" s="3" t="inlineStr">
        <is>
          <t>Janssen 42847922MDD3003_MSS Report No 11 10-July-2025 to 15-August-2025 Safety Call 22 Aug 2025_Final</t>
        </is>
      </c>
      <c r="F90" s="2" t="str">
        <f>HYPERLINK("https://vtmf.veevavault.com/ui/#doc_info/29903871/1/0", "VTMF-24071011")</f>
        <v>VTMF-24071011</v>
      </c>
      <c r="G90" s="3" t="inlineStr">
        <is>
          <t/>
        </is>
      </c>
      <c r="H90" s="3" t="inlineStr">
        <is>
          <t>Anthony Suarez (veeva.com)</t>
        </is>
      </c>
      <c r="I90" s="3" t="inlineStr">
        <is>
          <t>Ankita P Dhamanaskar</t>
        </is>
      </c>
      <c r="J90" s="4" t="n">
        <v>45905.964733796296</v>
      </c>
      <c r="K90" s="5" t="n">
        <v>45906.0</v>
      </c>
      <c r="L90" s="5" t="n">
        <v>45891.0</v>
      </c>
      <c r="M90" s="3" t="inlineStr">
        <is>
          <t>Approved</t>
        </is>
      </c>
      <c r="N90" s="3" t="inlineStr">
        <is>
          <t>Study Close</t>
        </is>
      </c>
      <c r="O90" s="3" t="inlineStr">
        <is>
          <t>42847922MDD3003</t>
        </is>
      </c>
    </row>
    <row r="91">
      <c r="A91" s="2" t="str">
        <f>HYPERLINK("https://vtmf.veevavault.com/ui/#doc_info/27311051/1/0", "42847922MDD3003-- - Other Safety Documentation-23 Oct 2024 (v1.0)")</f>
        <v>42847922MDD3003-- - Other Safety Documentation-23 Oct 2024 (v1.0)</v>
      </c>
      <c r="B91" s="3" t="inlineStr">
        <is>
          <t>Safety Reporting</t>
        </is>
      </c>
      <c r="C91" s="3" t="inlineStr">
        <is>
          <t>Trial Status Reporting</t>
        </is>
      </c>
      <c r="D91" s="3" t="inlineStr">
        <is>
          <t>Other Safety Documentation</t>
        </is>
      </c>
      <c r="E91" s="3" t="inlineStr">
        <is>
          <t>Summary of Monthly Medical Review_ September 2024</t>
        </is>
      </c>
      <c r="F91" s="2" t="str">
        <f>HYPERLINK("https://vtmf.veevavault.com/ui/#doc_info/27311051/1/0", "VTMF-21906596")</f>
        <v>VTMF-21906596</v>
      </c>
      <c r="G91" s="3" t="inlineStr">
        <is>
          <t/>
        </is>
      </c>
      <c r="H91" s="3" t="inlineStr">
        <is>
          <t>Anthony Suarez (veeva.com)</t>
        </is>
      </c>
      <c r="I91" s="3" t="inlineStr">
        <is>
          <t>LU XIA</t>
        </is>
      </c>
      <c r="J91" s="4" t="n">
        <v>45587.64282407407</v>
      </c>
      <c r="K91" s="5" t="n">
        <v>45588.0</v>
      </c>
      <c r="L91" s="5" t="n">
        <v>45588.0</v>
      </c>
      <c r="M91" s="3" t="inlineStr">
        <is>
          <t>Approved</t>
        </is>
      </c>
      <c r="N91" s="3" t="inlineStr">
        <is>
          <t>Study Close</t>
        </is>
      </c>
      <c r="O91" s="3" t="inlineStr">
        <is>
          <t>42847922MDD3003</t>
        </is>
      </c>
    </row>
    <row r="92">
      <c r="A92" s="2" t="str">
        <f>HYPERLINK("https://vtmf.veevavault.com/ui/#doc_info/29633603/1/0", "42847922MDD3003-- - Other Safety Documentation-24 Oct 2024 (v1.0)")</f>
        <v>42847922MDD3003-- - Other Safety Documentation-24 Oct 2024 (v1.0)</v>
      </c>
      <c r="B92" s="3" t="inlineStr">
        <is>
          <t>Safety Reporting</t>
        </is>
      </c>
      <c r="C92" s="3" t="inlineStr">
        <is>
          <t>Trial Status Reporting</t>
        </is>
      </c>
      <c r="D92" s="3" t="inlineStr">
        <is>
          <t>Other Safety Documentation</t>
        </is>
      </c>
      <c r="E92" s="3" t="inlineStr">
        <is>
          <t>Janssen 42847922MDD3003 _MSS Report No.1_04Sep to 07Oct 2024_ Safety Call 24Oct2024_Final</t>
        </is>
      </c>
      <c r="F92" s="2" t="str">
        <f>HYPERLINK("https://vtmf.veevavault.com/ui/#doc_info/29633603/1/0", "VTMF-23839392")</f>
        <v>VTMF-23839392</v>
      </c>
      <c r="G92" s="3" t="inlineStr">
        <is>
          <t/>
        </is>
      </c>
      <c r="H92" s="3" t="inlineStr">
        <is>
          <t>Anthony Suarez (veeva.com)</t>
        </is>
      </c>
      <c r="I92" s="3" t="inlineStr">
        <is>
          <t>Ankita P Dhamanaskar</t>
        </is>
      </c>
      <c r="J92" s="4" t="n">
        <v>45863.97452546296</v>
      </c>
      <c r="K92" s="5" t="n">
        <v>45864.0</v>
      </c>
      <c r="L92" s="5" t="n">
        <v>45589.0</v>
      </c>
      <c r="M92" s="3" t="inlineStr">
        <is>
          <t>Approved</t>
        </is>
      </c>
      <c r="N92" s="3" t="inlineStr">
        <is>
          <t>Study Close</t>
        </is>
      </c>
      <c r="O92" s="3" t="inlineStr">
        <is>
          <t>42847922MDD3003</t>
        </is>
      </c>
    </row>
    <row r="93">
      <c r="A93" s="2" t="str">
        <f>HYPERLINK("https://vtmf.veevavault.com/ui/#doc_info/30230864/1/0", "42847922MDD3003-- - Other Safety Documentation-25 Oct 2025 (v1.0)")</f>
        <v>42847922MDD3003-- - Other Safety Documentation-25 Oct 2025 (v1.0)</v>
      </c>
      <c r="B93" s="3" t="inlineStr">
        <is>
          <t>Safety Reporting</t>
        </is>
      </c>
      <c r="C93" s="3" t="inlineStr">
        <is>
          <t>Trial Status Reporting</t>
        </is>
      </c>
      <c r="D93" s="3" t="inlineStr">
        <is>
          <t>Other Safety Documentation</t>
        </is>
      </c>
      <c r="E93" s="3" t="inlineStr">
        <is>
          <t>MDD3003 MDR SUMMARY REPORT OCTOBER 2025 FINAL</t>
        </is>
      </c>
      <c r="F93" s="2" t="str">
        <f>HYPERLINK("https://vtmf.veevavault.com/ui/#doc_info/30230864/1/0", "VTMF-24342575")</f>
        <v>VTMF-24342575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Karishma Adhikari</t>
        </is>
      </c>
      <c r="J93" s="4" t="n">
        <v>45955.038981481484</v>
      </c>
      <c r="K93" s="5" t="n">
        <v>45954.0</v>
      </c>
      <c r="L93" s="5" t="n">
        <v>45955.0</v>
      </c>
      <c r="M93" s="3" t="inlineStr">
        <is>
          <t>Approved</t>
        </is>
      </c>
      <c r="N93" s="3" t="inlineStr">
        <is>
          <t>Study Close</t>
        </is>
      </c>
      <c r="O93" s="3" t="inlineStr">
        <is>
          <t>42847922MDD3003</t>
        </is>
      </c>
    </row>
    <row r="94">
      <c r="A94" s="2" t="str">
        <f>HYPERLINK("https://vtmf.veevavault.com/ui/#doc_info/29204327/1/0", "42847922MDD3003-- - Other Safety Documentation-27 May 2025 (v1.0)")</f>
        <v>42847922MDD3003-- - Other Safety Documentation-27 May 2025 (v1.0)</v>
      </c>
      <c r="B94" s="3" t="inlineStr">
        <is>
          <t>Safety Reporting</t>
        </is>
      </c>
      <c r="C94" s="3" t="inlineStr">
        <is>
          <t>Trial Status Reporting</t>
        </is>
      </c>
      <c r="D94" s="3" t="inlineStr">
        <is>
          <t>Other Safety Documentation</t>
        </is>
      </c>
      <c r="E94" s="3" t="inlineStr">
        <is>
          <t>MDD3003  MDR SUMARY REPORT MAY 2025 FINAL</t>
        </is>
      </c>
      <c r="F94" s="2" t="str">
        <f>HYPERLINK("https://vtmf.veevavault.com/ui/#doc_info/29204327/1/0", "VTMF-23473306")</f>
        <v>VTMF-23473306</v>
      </c>
      <c r="G94" s="3" t="inlineStr">
        <is>
          <t/>
        </is>
      </c>
      <c r="H94" s="3" t="inlineStr">
        <is>
          <t>Anthony Suarez (veeva.com)</t>
        </is>
      </c>
      <c r="I94" s="3" t="inlineStr">
        <is>
          <t>Roshan Kanekar</t>
        </is>
      </c>
      <c r="J94" s="4" t="n">
        <v>45804.35953703704</v>
      </c>
      <c r="K94" s="5" t="n">
        <v>45804.0</v>
      </c>
      <c r="L94" s="5" t="n">
        <v>45804.0</v>
      </c>
      <c r="M94" s="3" t="inlineStr">
        <is>
          <t>Approved</t>
        </is>
      </c>
      <c r="N94" s="3" t="inlineStr">
        <is>
          <t>Study Close</t>
        </is>
      </c>
      <c r="O94" s="3" t="inlineStr">
        <is>
          <t>42847922MDD3003</t>
        </is>
      </c>
    </row>
    <row r="95">
      <c r="A95" s="2" t="str">
        <f>HYPERLINK("https://vtmf.veevavault.com/ui/#doc_info/28990788/1/0", "42847922MDD3003-- - Other Safety Documentation-28 Apr 2025 (v1.0)")</f>
        <v>42847922MDD3003-- - Other Safety Documentation-28 Apr 2025 (v1.0)</v>
      </c>
      <c r="B95" s="3" t="inlineStr">
        <is>
          <t>Safety Reporting</t>
        </is>
      </c>
      <c r="C95" s="3" t="inlineStr">
        <is>
          <t>Trial Status Reporting</t>
        </is>
      </c>
      <c r="D95" s="3" t="inlineStr">
        <is>
          <t>Other Safety Documentation</t>
        </is>
      </c>
      <c r="E95" s="3" t="inlineStr">
        <is>
          <t>MDD3003 MDR SUMMARY REPORT APRIL 2025 FINAL</t>
        </is>
      </c>
      <c r="F95" s="2" t="str">
        <f>HYPERLINK("https://vtmf.veevavault.com/ui/#doc_info/28990788/1/0", "VTMF-23289829")</f>
        <v>VTMF-23289829</v>
      </c>
      <c r="G95" s="3" t="inlineStr">
        <is>
          <t/>
        </is>
      </c>
      <c r="H95" s="3" t="inlineStr">
        <is>
          <t>Anthony Suarez (veeva.com)</t>
        </is>
      </c>
      <c r="I95" s="3" t="inlineStr">
        <is>
          <t>Roshan Kanekar</t>
        </is>
      </c>
      <c r="J95" s="4" t="n">
        <v>45775.45914351852</v>
      </c>
      <c r="K95" s="5" t="n">
        <v>45775.0</v>
      </c>
      <c r="L95" s="5" t="n">
        <v>45775.0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42847922MDD3003</t>
        </is>
      </c>
    </row>
    <row r="96">
      <c r="A96" s="2" t="str">
        <f>HYPERLINK("https://vtmf.veevavault.com/ui/#doc_info/30866262/1/0", "42847922MDD3003-- - Other Safety Documentation-28 Jan 2026 (v1.0)")</f>
        <v>42847922MDD3003-- - Other Safety Documentation-28 Jan 2026 (v1.0)</v>
      </c>
      <c r="B96" s="3" t="inlineStr">
        <is>
          <t>Safety Reporting</t>
        </is>
      </c>
      <c r="C96" s="3" t="inlineStr">
        <is>
          <t>Trial Status Reporting</t>
        </is>
      </c>
      <c r="D96" s="3" t="inlineStr">
        <is>
          <t>Other Safety Documentation</t>
        </is>
      </c>
      <c r="E96" s="3" t="inlineStr">
        <is>
          <t>Summary of Medical Review Form_January 2026</t>
        </is>
      </c>
      <c r="F96" s="2" t="str">
        <f>HYPERLINK("https://vtmf.veevavault.com/ui/#doc_info/30866262/1/0", "VTMF-24875912")</f>
        <v>VTMF-24875912</v>
      </c>
      <c r="G96" s="3" t="inlineStr">
        <is>
          <t/>
        </is>
      </c>
      <c r="H96" s="3" t="inlineStr">
        <is>
          <t>Anthony Suarez (veeva.com)</t>
        </is>
      </c>
      <c r="I96" s="3" t="inlineStr">
        <is>
          <t>LU XIA</t>
        </is>
      </c>
      <c r="J96" s="4" t="n">
        <v>46050.6759375</v>
      </c>
      <c r="K96" s="5" t="n">
        <v>46050.0</v>
      </c>
      <c r="L96" s="5" t="n">
        <v>46050.0</v>
      </c>
      <c r="M96" s="3" t="inlineStr">
        <is>
          <t>Approved</t>
        </is>
      </c>
      <c r="N96" s="3" t="inlineStr">
        <is>
          <t>Study Close</t>
        </is>
      </c>
      <c r="O96" s="3" t="inlineStr">
        <is>
          <t>42847922MDD3003</t>
        </is>
      </c>
    </row>
    <row r="97">
      <c r="A97" s="2" t="str">
        <f>HYPERLINK("https://vtmf.veevavault.com/ui/#doc_info/29215213/1/0", "42847922MDD3003-- - Other Safety Documentation-28 May 2025 (v1.0)")</f>
        <v>42847922MDD3003-- - Other Safety Documentation-28 May 2025 (v1.0)</v>
      </c>
      <c r="B97" s="3" t="inlineStr">
        <is>
          <t>Safety Reporting</t>
        </is>
      </c>
      <c r="C97" s="3" t="inlineStr">
        <is>
          <t>Trial Status Reporting</t>
        </is>
      </c>
      <c r="D97" s="3" t="inlineStr">
        <is>
          <t>Other Safety Documentation</t>
        </is>
      </c>
      <c r="E97" s="3" t="inlineStr">
        <is>
          <t>Janssen 42847922MDD3003 _MSS Report No.2_07_Oct to 07_Nov 2024_ Safety Call 24_Nov_2024 Final</t>
        </is>
      </c>
      <c r="F97" s="2" t="str">
        <f>HYPERLINK("https://vtmf.veevavault.com/ui/#doc_info/29215213/1/0", "VTMF-23482344")</f>
        <v>VTMF-23482344</v>
      </c>
      <c r="G97" s="3" t="inlineStr">
        <is>
          <t/>
        </is>
      </c>
      <c r="H97" s="3" t="inlineStr">
        <is>
          <t>Anthony Suarez (veeva.com)</t>
        </is>
      </c>
      <c r="I97" s="3" t="inlineStr">
        <is>
          <t>Vidhya Wakde</t>
        </is>
      </c>
      <c r="J97" s="4" t="n">
        <v>45805.48425925926</v>
      </c>
      <c r="K97" s="5" t="n">
        <v>45805.0</v>
      </c>
      <c r="L97" s="5" t="n">
        <v>45805.0</v>
      </c>
      <c r="M97" s="3" t="inlineStr">
        <is>
          <t>Approved</t>
        </is>
      </c>
      <c r="N97" s="3" t="inlineStr">
        <is>
          <t>Study Close</t>
        </is>
      </c>
      <c r="O97" s="3" t="inlineStr">
        <is>
          <t>42847922MDD3003</t>
        </is>
      </c>
    </row>
    <row r="98">
      <c r="A98" s="2" t="str">
        <f>HYPERLINK("https://vtmf.veevavault.com/ui/#doc_info/30693984/1/0", "42847922MDD3003-- - Other Safety Documentation-30 Dec 2025 (v1.0)")</f>
        <v>42847922MDD3003-- - Other Safety Documentation-30 Dec 2025 (v1.0)</v>
      </c>
      <c r="B98" s="3" t="inlineStr">
        <is>
          <t>Safety Reporting</t>
        </is>
      </c>
      <c r="C98" s="3" t="inlineStr">
        <is>
          <t>Trial Status Reporting</t>
        </is>
      </c>
      <c r="D98" s="3" t="inlineStr">
        <is>
          <t>Other Safety Documentation</t>
        </is>
      </c>
      <c r="E98" s="3" t="inlineStr">
        <is>
          <t>MDD3003 MDR SUMMARY REPORT DECEMBER 2025 FINAL</t>
        </is>
      </c>
      <c r="F98" s="2" t="str">
        <f>HYPERLINK("https://vtmf.veevavault.com/ui/#doc_info/30693984/1/0", "VTMF-24735835")</f>
        <v>VTMF-24735835</v>
      </c>
      <c r="G98" s="3" t="inlineStr">
        <is>
          <t/>
        </is>
      </c>
      <c r="H98" s="3" t="inlineStr">
        <is>
          <t>Anthony Suarez (veeva.com)</t>
        </is>
      </c>
      <c r="I98" s="3" t="inlineStr">
        <is>
          <t>Karishma Adhikari</t>
        </is>
      </c>
      <c r="J98" s="4" t="n">
        <v>46021.54833333333</v>
      </c>
      <c r="K98" s="5" t="n">
        <v>46021.0</v>
      </c>
      <c r="L98" s="5" t="n">
        <v>46021.0</v>
      </c>
      <c r="M98" s="3" t="inlineStr">
        <is>
          <t>Approved</t>
        </is>
      </c>
      <c r="N98" s="3" t="inlineStr">
        <is>
          <t>Study Close</t>
        </is>
      </c>
      <c r="O98" s="3" t="inlineStr">
        <is>
          <t>42847922MDD3003</t>
        </is>
      </c>
    </row>
    <row r="99">
      <c r="A99" s="2" t="str">
        <f>HYPERLINK("https://vtmf.veevavault.com/ui/#doc_info/29656000/1/0", "42847922MDD3003-- - Other Safety Documentation-30 Jul 2025 (v1.0)")</f>
        <v>42847922MDD3003-- - Other Safety Documentation-30 Jul 2025 (v1.0)</v>
      </c>
      <c r="B99" s="3" t="inlineStr">
        <is>
          <t>Safety Reporting</t>
        </is>
      </c>
      <c r="C99" s="3" t="inlineStr">
        <is>
          <t>Trial Status Reporting</t>
        </is>
      </c>
      <c r="D99" s="3" t="inlineStr">
        <is>
          <t>Other Safety Documentation</t>
        </is>
      </c>
      <c r="E99" s="3" t="inlineStr">
        <is>
          <t>MDD3003 MDR SUMMARY REPORT JULY 2025 FINAL</t>
        </is>
      </c>
      <c r="F99" s="2" t="str">
        <f>HYPERLINK("https://vtmf.veevavault.com/ui/#doc_info/29656000/1/0", "VTMF-23860422")</f>
        <v>VTMF-23860422</v>
      </c>
      <c r="G99" s="3" t="inlineStr">
        <is>
          <t/>
        </is>
      </c>
      <c r="H99" s="3" t="inlineStr">
        <is>
          <t>Anthony Suarez (veeva.com)</t>
        </is>
      </c>
      <c r="I99" s="3" t="inlineStr">
        <is>
          <t>Karishma Adhikari</t>
        </is>
      </c>
      <c r="J99" s="4" t="n">
        <v>45868.35024305555</v>
      </c>
      <c r="K99" s="5" t="n">
        <v>45868.0</v>
      </c>
      <c r="L99" s="5" t="n">
        <v>45868.0</v>
      </c>
      <c r="M99" s="3" t="inlineStr">
        <is>
          <t>Approved</t>
        </is>
      </c>
      <c r="N99" s="3" t="inlineStr">
        <is>
          <t>Study Close</t>
        </is>
      </c>
      <c r="O99" s="3" t="inlineStr">
        <is>
          <t>42847922MDD3003</t>
        </is>
      </c>
    </row>
    <row r="100">
      <c r="A100" s="2" t="str">
        <f>HYPERLINK("https://vtmf.veevavault.com/ui/#doc_info/29468369/1/0", "42847922MDD3003-- - Other Safety Documentation-30 Jun 2025 (v1.0)")</f>
        <v>42847922MDD3003-- - Other Safety Documentation-30 Jun 2025 (v1.0)</v>
      </c>
      <c r="B100" s="3" t="inlineStr">
        <is>
          <t>Safety Reporting</t>
        </is>
      </c>
      <c r="C100" s="3" t="inlineStr">
        <is>
          <t>Trial Status Reporting</t>
        </is>
      </c>
      <c r="D100" s="3" t="inlineStr">
        <is>
          <t>Other Safety Documentation</t>
        </is>
      </c>
      <c r="E100" s="3" t="inlineStr">
        <is>
          <t>MDD3003 MDR SUMMARY REPORT JUNE 2025 FINAL</t>
        </is>
      </c>
      <c r="F100" s="2" t="str">
        <f>HYPERLINK("https://vtmf.veevavault.com/ui/#doc_info/29468369/1/0", "VTMF-23698783")</f>
        <v>VTMF-23698783</v>
      </c>
      <c r="G100" s="3" t="inlineStr">
        <is>
          <t/>
        </is>
      </c>
      <c r="H100" s="3" t="inlineStr">
        <is>
          <t>Anthony Suarez (veeva.com)</t>
        </is>
      </c>
      <c r="I100" s="3" t="inlineStr">
        <is>
          <t>Karishma Adhikari</t>
        </is>
      </c>
      <c r="J100" s="4" t="n">
        <v>45838.79421296297</v>
      </c>
      <c r="K100" s="5" t="n">
        <v>45838.0</v>
      </c>
      <c r="L100" s="5" t="n">
        <v>45838.0</v>
      </c>
      <c r="M100" s="3" t="inlineStr">
        <is>
          <t>Approved</t>
        </is>
      </c>
      <c r="N100" s="3" t="inlineStr">
        <is>
          <t>Study Close</t>
        </is>
      </c>
      <c r="O100" s="3" t="inlineStr">
        <is>
          <t>42847922MDD3003</t>
        </is>
      </c>
    </row>
    <row r="101">
      <c r="A101" s="2" t="str">
        <f>HYPERLINK("https://vtmf.veevavault.com/ui/#doc_info/31303865/1/0", "42847922MDD3003-- - Other Safety Documentation-30 Mar 2026 (v1.0)")</f>
        <v>42847922MDD3003-- - Other Safety Documentation-30 Mar 2026 (v1.0)</v>
      </c>
      <c r="B101" s="3" t="inlineStr">
        <is>
          <t>Safety Reporting</t>
        </is>
      </c>
      <c r="C101" s="3" t="inlineStr">
        <is>
          <t>Trial Status Reporting</t>
        </is>
      </c>
      <c r="D101" s="3" t="inlineStr">
        <is>
          <t>Other Safety Documentation</t>
        </is>
      </c>
      <c r="E101" s="3" t="inlineStr">
        <is>
          <t>MDD3003 MDR SUMMARY REPORT MARCH 2026 FINAL</t>
        </is>
      </c>
      <c r="F101" s="2" t="str">
        <f>HYPERLINK("https://vtmf.veevavault.com/ui/#doc_info/31303865/1/0", "VTMF-25244524")</f>
        <v>VTMF-25244524</v>
      </c>
      <c r="G101" s="3" t="inlineStr">
        <is>
          <t/>
        </is>
      </c>
      <c r="H101" s="3" t="inlineStr">
        <is>
          <t>System</t>
        </is>
      </c>
      <c r="I101" s="3" t="inlineStr">
        <is>
          <t>Karishma Adhikari</t>
        </is>
      </c>
      <c r="J101" s="4" t="n">
        <v>46111.78789351852</v>
      </c>
      <c r="K101" s="5" t="n">
        <v>46111.0</v>
      </c>
      <c r="L101" s="5" t="n">
        <v>46111.0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42847922MDD3003</t>
        </is>
      </c>
    </row>
    <row r="102">
      <c r="A102" s="2" t="str">
        <f>HYPERLINK("https://vtmf.veevavault.com/ui/#doc_info/31205581/1/0", "42847922MDD3003---Adjudication Package-01 Oct 2024 (v1.0)")</f>
        <v>42847922MDD3003---Adjudication Package-01 Oct 2024 (v1.0)</v>
      </c>
      <c r="B102" s="3" t="inlineStr">
        <is>
          <t>Trial Management</t>
        </is>
      </c>
      <c r="C102" s="3" t="inlineStr">
        <is>
          <t>Trial Committee</t>
        </is>
      </c>
      <c r="D102" s="3" t="inlineStr">
        <is>
          <t>Adjudication Package</t>
        </is>
      </c>
      <c r="E102" s="3" t="inlineStr">
        <is>
          <t>Pierre Blier - RAC - CV - 42847922MDD3003</t>
        </is>
      </c>
      <c r="F102" s="2" t="str">
        <f>HYPERLINK("https://vtmf.veevavault.com/ui/#doc_info/31205581/1/0", "VTMF-25162315")</f>
        <v>VTMF-25162315</v>
      </c>
      <c r="G102" s="3" t="inlineStr">
        <is>
          <t/>
        </is>
      </c>
      <c r="H102" s="3" t="inlineStr">
        <is>
          <t>System</t>
        </is>
      </c>
      <c r="I102" s="3" t="inlineStr">
        <is>
          <t>Teresa Wen</t>
        </is>
      </c>
      <c r="J102" s="4" t="n">
        <v>46099.74068287037</v>
      </c>
      <c r="K102" s="5" t="n">
        <v>46099.0</v>
      </c>
      <c r="L102" s="5" t="n">
        <v>45566.0</v>
      </c>
      <c r="M102" s="3" t="inlineStr">
        <is>
          <t>Approved</t>
        </is>
      </c>
      <c r="N102" s="3" t="inlineStr">
        <is>
          <t>Not associated to a milestone</t>
        </is>
      </c>
      <c r="O102" s="3" t="inlineStr">
        <is>
          <t>42847922MDD3003</t>
        </is>
      </c>
    </row>
    <row r="103">
      <c r="A103" s="2" t="str">
        <f>HYPERLINK("https://vtmf.veevavault.com/ui/#doc_info/31690863/1/0", "42847922MDD3003---Adjudication Package-02 Dec 2024 (v1.0)")</f>
        <v>42847922MDD3003---Adjudication Package-02 Dec 2024 (v1.0)</v>
      </c>
      <c r="B103" s="3" t="inlineStr">
        <is>
          <t>Trial Management</t>
        </is>
      </c>
      <c r="C103" s="3" t="inlineStr">
        <is>
          <t>Trial Committee</t>
        </is>
      </c>
      <c r="D103" s="3" t="inlineStr">
        <is>
          <t>Adjudication Package</t>
        </is>
      </c>
      <c r="E103" s="3" t="inlineStr">
        <is>
          <t>Roger McIntyre - RAC - Consulting Agreement - 42847922MDD3003</t>
        </is>
      </c>
      <c r="F103" s="2" t="str">
        <f>HYPERLINK("https://vtmf.veevavault.com/ui/#doc_info/31690863/1/0", "VTMF-25573803")</f>
        <v>VTMF-25573803</v>
      </c>
      <c r="G103" s="3" t="inlineStr">
        <is>
          <t/>
        </is>
      </c>
      <c r="H103" s="3" t="inlineStr">
        <is>
          <t>System</t>
        </is>
      </c>
      <c r="I103" s="3" t="inlineStr">
        <is>
          <t>Teresa Wen</t>
        </is>
      </c>
      <c r="J103" s="4" t="n">
        <v>46160.98436342592</v>
      </c>
      <c r="K103" s="5" t="n">
        <v>46160.0</v>
      </c>
      <c r="L103" s="5" t="n">
        <v>45628.0</v>
      </c>
      <c r="M103" s="3" t="inlineStr">
        <is>
          <t>Approved</t>
        </is>
      </c>
      <c r="N103" s="3" t="inlineStr">
        <is>
          <t>Not associated to a milestone</t>
        </is>
      </c>
      <c r="O103" s="3" t="inlineStr">
        <is>
          <t>42847922MDD3003</t>
        </is>
      </c>
    </row>
    <row r="104">
      <c r="A104" s="2" t="str">
        <f>HYPERLINK("https://vtmf.veevavault.com/ui/#doc_info/29221201/1/0", "42847922MDD3003---Adjudication Package-05 May 2025 (v1.0)")</f>
        <v>42847922MDD3003---Adjudication Package-05 May 2025 (v1.0)</v>
      </c>
      <c r="B104" s="3" t="inlineStr">
        <is>
          <t>Trial Management</t>
        </is>
      </c>
      <c r="C104" s="3" t="inlineStr">
        <is>
          <t>Trial Committee</t>
        </is>
      </c>
      <c r="D104" s="3" t="inlineStr">
        <is>
          <t>Adjudication Package</t>
        </is>
      </c>
      <c r="E104" s="3" t="inlineStr">
        <is>
          <t>Sheldon H. Preskorn - RAC - Conflict of Interest Form - 42847922MDD3003 and 67953964MDD3005</t>
        </is>
      </c>
      <c r="F104" s="2" t="str">
        <f>HYPERLINK("https://vtmf.veevavault.com/ui/#doc_info/29221201/1/0", "VTMF-23486475")</f>
        <v>VTMF-23486475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Teresa Wen</t>
        </is>
      </c>
      <c r="J104" s="4" t="n">
        <v>45805.93456018518</v>
      </c>
      <c r="K104" s="5" t="n">
        <v>45805.0</v>
      </c>
      <c r="L104" s="5" t="n">
        <v>45782.0</v>
      </c>
      <c r="M104" s="3" t="inlineStr">
        <is>
          <t>Approved</t>
        </is>
      </c>
      <c r="N104" s="3" t="inlineStr">
        <is>
          <t>Not associated to a milestone</t>
        </is>
      </c>
      <c r="O104" s="3" t="inlineStr">
        <is>
          <t>42847922MDD3003, 67953964MDD3005</t>
        </is>
      </c>
    </row>
    <row r="105">
      <c r="A105" s="2" t="str">
        <f>HYPERLINK("https://vtmf.veevavault.com/ui/#doc_info/30000241/1/0", "42847922MDD3003---Adjudication Package-06 Aug 2025 (v1.0)")</f>
        <v>42847922MDD3003---Adjudication Package-06 Aug 2025 (v1.0)</v>
      </c>
      <c r="B105" s="3" t="inlineStr">
        <is>
          <t>Trial Management</t>
        </is>
      </c>
      <c r="C105" s="3" t="inlineStr">
        <is>
          <t>Trial Committee</t>
        </is>
      </c>
      <c r="D105" s="3" t="inlineStr">
        <is>
          <t>Adjudication Package</t>
        </is>
      </c>
      <c r="E105" s="3" t="inlineStr">
        <is>
          <t>Seltorexant RAC Additional Document Request Form - Ella Daly - Ad-Hoc Meeting - 06Aug2025</t>
        </is>
      </c>
      <c r="F105" s="2" t="str">
        <f>HYPERLINK("https://vtmf.veevavault.com/ui/#doc_info/30000241/1/0", "VTMF-24154033")</f>
        <v>VTMF-24154033</v>
      </c>
      <c r="G105" s="3" t="inlineStr">
        <is>
          <t/>
        </is>
      </c>
      <c r="H105" s="3" t="inlineStr">
        <is>
          <t>System</t>
        </is>
      </c>
      <c r="I105" s="3" t="inlineStr">
        <is>
          <t>Teresa Wen</t>
        </is>
      </c>
      <c r="J105" s="4" t="n">
        <v>45922.7671412037</v>
      </c>
      <c r="K105" s="5" t="n">
        <v>45922.0</v>
      </c>
      <c r="L105" s="5" t="n">
        <v>45875.0</v>
      </c>
      <c r="M105" s="3" t="inlineStr">
        <is>
          <t>Approved</t>
        </is>
      </c>
      <c r="N105" s="3" t="inlineStr">
        <is>
          <t>Not associated to a milestone</t>
        </is>
      </c>
      <c r="O105" s="3" t="inlineStr">
        <is>
          <t>42847922MDD3003</t>
        </is>
      </c>
    </row>
    <row r="106">
      <c r="A106" s="2" t="str">
        <f>HYPERLINK("https://vtmf.veevavault.com/ui/#doc_info/31690847/1/0", "42847922MDD3003---Adjudication Package-06 Feb 2025 (v1.0)")</f>
        <v>42847922MDD3003---Adjudication Package-06 Feb 2025 (v1.0)</v>
      </c>
      <c r="B106" s="3" t="inlineStr">
        <is>
          <t>Trial Management</t>
        </is>
      </c>
      <c r="C106" s="3" t="inlineStr">
        <is>
          <t>Trial Committee</t>
        </is>
      </c>
      <c r="D106" s="3" t="inlineStr">
        <is>
          <t>Adjudication Package</t>
        </is>
      </c>
      <c r="E106" s="3" t="inlineStr">
        <is>
          <t>Pierre Blier - RAC - Consulting Agreement - 42847922MDD3003</t>
        </is>
      </c>
      <c r="F106" s="2" t="str">
        <f>HYPERLINK("https://vtmf.veevavault.com/ui/#doc_info/31690847/1/0", "VTMF-25573773")</f>
        <v>VTMF-25573773</v>
      </c>
      <c r="G106" s="3" t="inlineStr">
        <is>
          <t/>
        </is>
      </c>
      <c r="H106" s="3" t="inlineStr">
        <is>
          <t>System</t>
        </is>
      </c>
      <c r="I106" s="3" t="inlineStr">
        <is>
          <t>Teresa Wen</t>
        </is>
      </c>
      <c r="J106" s="4" t="n">
        <v>46160.98008101852</v>
      </c>
      <c r="K106" s="5" t="n">
        <v>46160.0</v>
      </c>
      <c r="L106" s="5" t="n">
        <v>45694.0</v>
      </c>
      <c r="M106" s="3" t="inlineStr">
        <is>
          <t>Approved</t>
        </is>
      </c>
      <c r="N106" s="3" t="inlineStr">
        <is>
          <t>Not associated to a milestone</t>
        </is>
      </c>
      <c r="O106" s="3" t="inlineStr">
        <is>
          <t>42847922MDD3003</t>
        </is>
      </c>
    </row>
    <row r="107">
      <c r="A107" s="2" t="str">
        <f>HYPERLINK("https://vtmf.veevavault.com/ui/#doc_info/31690852/1/0", "42847922MDD3003---Adjudication Package-07 Jan 2025 (v1.0)")</f>
        <v>42847922MDD3003---Adjudication Package-07 Jan 2025 (v1.0)</v>
      </c>
      <c r="B107" s="3" t="inlineStr">
        <is>
          <t>Trial Management</t>
        </is>
      </c>
      <c r="C107" s="3" t="inlineStr">
        <is>
          <t>Trial Committee</t>
        </is>
      </c>
      <c r="D107" s="3" t="inlineStr">
        <is>
          <t>Adjudication Package</t>
        </is>
      </c>
      <c r="E107" s="3" t="inlineStr">
        <is>
          <t>Ella Daly - RAC - Consulting Agreement - 42847922MDD3003</t>
        </is>
      </c>
      <c r="F107" s="2" t="str">
        <f>HYPERLINK("https://vtmf.veevavault.com/ui/#doc_info/31690852/1/0", "VTMF-25573787")</f>
        <v>VTMF-25573787</v>
      </c>
      <c r="G107" s="3" t="inlineStr">
        <is>
          <t/>
        </is>
      </c>
      <c r="H107" s="3" t="inlineStr">
        <is>
          <t>System</t>
        </is>
      </c>
      <c r="I107" s="3" t="inlineStr">
        <is>
          <t>Teresa Wen</t>
        </is>
      </c>
      <c r="J107" s="4" t="n">
        <v>46160.98221064815</v>
      </c>
      <c r="K107" s="5" t="n">
        <v>46160.0</v>
      </c>
      <c r="L107" s="5" t="n">
        <v>45664.0</v>
      </c>
      <c r="M107" s="3" t="inlineStr">
        <is>
          <t>Approved</t>
        </is>
      </c>
      <c r="N107" s="3" t="inlineStr">
        <is>
          <t>Not associated to a milestone</t>
        </is>
      </c>
      <c r="O107" s="3" t="inlineStr">
        <is>
          <t>42847922MDD3003</t>
        </is>
      </c>
    </row>
    <row r="108">
      <c r="A108" s="2" t="str">
        <f>HYPERLINK("https://vtmf.veevavault.com/ui/#doc_info/29858450/1/0", "42847922MDD3003---Adjudication Package-10 Feb 2024 (v1.0)")</f>
        <v>42847922MDD3003---Adjudication Package-10 Feb 2024 (v1.0)</v>
      </c>
      <c r="B108" s="3" t="inlineStr">
        <is>
          <t>Trial Management</t>
        </is>
      </c>
      <c r="C108" s="3" t="inlineStr">
        <is>
          <t>Trial Committee</t>
        </is>
      </c>
      <c r="D108" s="3" t="inlineStr">
        <is>
          <t>Adjudication Package</t>
        </is>
      </c>
      <c r="E108" s="3" t="inlineStr">
        <is>
          <t>Sheldon Preskorn - RAC - CV - 42847922MDD3003 and 67953964MDD3005</t>
        </is>
      </c>
      <c r="F108" s="2" t="str">
        <f>HYPERLINK("https://vtmf.veevavault.com/ui/#doc_info/29858450/1/0", "VTMF-24031495")</f>
        <v>VTMF-24031495</v>
      </c>
      <c r="G108" s="3" t="inlineStr">
        <is>
          <t/>
        </is>
      </c>
      <c r="H108" s="3" t="inlineStr">
        <is>
          <t>Anthony Suarez (veeva.com)</t>
        </is>
      </c>
      <c r="I108" s="3" t="inlineStr">
        <is>
          <t>Teresa Wen</t>
        </is>
      </c>
      <c r="J108" s="4" t="n">
        <v>45898.70195601852</v>
      </c>
      <c r="K108" s="5" t="n">
        <v>45902.0</v>
      </c>
      <c r="L108" s="5" t="n">
        <v>45332.0</v>
      </c>
      <c r="M108" s="3" t="inlineStr">
        <is>
          <t>Approved</t>
        </is>
      </c>
      <c r="N108" s="3" t="inlineStr">
        <is>
          <t>Not associated to a milestone</t>
        </is>
      </c>
      <c r="O108" s="3" t="inlineStr">
        <is>
          <t>42847922MDD3003, 67953964MDD3005</t>
        </is>
      </c>
    </row>
    <row r="109">
      <c r="A109" s="2" t="str">
        <f>HYPERLINK("https://vtmf.veevavault.com/ui/#doc_info/29221247/1/0", "42847922MDD3003---Adjudication Package-12 Feb 2025 (v1.0)")</f>
        <v>42847922MDD3003---Adjudication Package-12 Feb 2025 (v1.0)</v>
      </c>
      <c r="B109" s="3" t="inlineStr">
        <is>
          <t>Trial Management</t>
        </is>
      </c>
      <c r="C109" s="3" t="inlineStr">
        <is>
          <t>Trial Committee</t>
        </is>
      </c>
      <c r="D109" s="3" t="inlineStr">
        <is>
          <t>Adjudication Package</t>
        </is>
      </c>
      <c r="E109" s="3" t="inlineStr">
        <is>
          <t>Ella Daly - RAC - CV - 42847922MDD3003 and 67953964MDD3005</t>
        </is>
      </c>
      <c r="F109" s="2" t="str">
        <f>HYPERLINK("https://vtmf.veevavault.com/ui/#doc_info/29221247/1/0", "VTMF-23486560")</f>
        <v>VTMF-23486560</v>
      </c>
      <c r="G109" s="3" t="inlineStr">
        <is>
          <t/>
        </is>
      </c>
      <c r="H109" s="3" t="inlineStr">
        <is>
          <t>Anthony Suarez (veeva.com)</t>
        </is>
      </c>
      <c r="I109" s="3" t="inlineStr">
        <is>
          <t>Teresa Wen</t>
        </is>
      </c>
      <c r="J109" s="4" t="n">
        <v>45805.952939814815</v>
      </c>
      <c r="K109" s="5" t="n">
        <v>45805.0</v>
      </c>
      <c r="L109" s="5" t="n">
        <v>45700.0</v>
      </c>
      <c r="M109" s="3" t="inlineStr">
        <is>
          <t>Approved</t>
        </is>
      </c>
      <c r="N109" s="3" t="inlineStr">
        <is>
          <t>Not associated to a milestone</t>
        </is>
      </c>
      <c r="O109" s="3" t="inlineStr">
        <is>
          <t>42847922MDD3003, 67953964MDD3005</t>
        </is>
      </c>
    </row>
    <row r="110">
      <c r="A110" s="2" t="str">
        <f>HYPERLINK("https://vtmf.veevavault.com/ui/#doc_info/31690860/1/0", "42847922MDD3003---Adjudication Package-15 Jan 2025 (v1.0)")</f>
        <v>42847922MDD3003---Adjudication Package-15 Jan 2025 (v1.0)</v>
      </c>
      <c r="B110" s="3" t="inlineStr">
        <is>
          <t>Trial Management</t>
        </is>
      </c>
      <c r="C110" s="3" t="inlineStr">
        <is>
          <t>Trial Committee</t>
        </is>
      </c>
      <c r="D110" s="3" t="inlineStr">
        <is>
          <t>Adjudication Package</t>
        </is>
      </c>
      <c r="E110" s="3" t="inlineStr">
        <is>
          <t>Sheldon Preskorn - RAC - Consulting Agreement - 42847922MDD3003</t>
        </is>
      </c>
      <c r="F110" s="2" t="str">
        <f>HYPERLINK("https://vtmf.veevavault.com/ui/#doc_info/31690860/1/0", "VTMF-25573796")</f>
        <v>VTMF-25573796</v>
      </c>
      <c r="G110" s="3" t="inlineStr">
        <is>
          <t/>
        </is>
      </c>
      <c r="H110" s="3" t="inlineStr">
        <is>
          <t>System</t>
        </is>
      </c>
      <c r="I110" s="3" t="inlineStr">
        <is>
          <t>Teresa Wen</t>
        </is>
      </c>
      <c r="J110" s="4" t="n">
        <v>46160.98326388889</v>
      </c>
      <c r="K110" s="5" t="n">
        <v>46160.0</v>
      </c>
      <c r="L110" s="5" t="n">
        <v>45672.0</v>
      </c>
      <c r="M110" s="3" t="inlineStr">
        <is>
          <t>Approved</t>
        </is>
      </c>
      <c r="N110" s="3" t="inlineStr">
        <is>
          <t>Not associated to a milestone</t>
        </is>
      </c>
      <c r="O110" s="3" t="inlineStr">
        <is>
          <t>42847922MDD3003</t>
        </is>
      </c>
    </row>
    <row r="111">
      <c r="A111" s="2" t="str">
        <f>HYPERLINK("https://vtmf.veevavault.com/ui/#doc_info/31206243/1/0", "42847922MDD3003---Adjudication Package-18 Mar 2026 (v1.0)")</f>
        <v>42847922MDD3003---Adjudication Package-18 Mar 2026 (v1.0)</v>
      </c>
      <c r="B111" s="3" t="inlineStr">
        <is>
          <t>Trial Management</t>
        </is>
      </c>
      <c r="C111" s="3" t="inlineStr">
        <is>
          <t>Trial Committee</t>
        </is>
      </c>
      <c r="D111" s="3" t="inlineStr">
        <is>
          <t>Adjudication Package</t>
        </is>
      </c>
      <c r="E111" s="3" t="inlineStr">
        <is>
          <t>42847922MDD3003_NierenbergBlierCV_NoteToFile_18Mar2026</t>
        </is>
      </c>
      <c r="F111" s="2" t="str">
        <f>HYPERLINK("https://vtmf.veevavault.com/ui/#doc_info/31206243/1/0", "VTMF-25162940")</f>
        <v>VTMF-25162940</v>
      </c>
      <c r="G111" s="3" t="inlineStr">
        <is>
          <t/>
        </is>
      </c>
      <c r="H111" s="3" t="inlineStr">
        <is>
          <t>System</t>
        </is>
      </c>
      <c r="I111" s="3" t="inlineStr">
        <is>
          <t>Teresa Wen</t>
        </is>
      </c>
      <c r="J111" s="4" t="n">
        <v>46099.842685185184</v>
      </c>
      <c r="K111" s="5" t="n">
        <v>46099.0</v>
      </c>
      <c r="L111" s="5" t="n">
        <v>46099.0</v>
      </c>
      <c r="M111" s="3" t="inlineStr">
        <is>
          <t>Approved</t>
        </is>
      </c>
      <c r="N111" s="3" t="inlineStr">
        <is>
          <t>Not associated to a milestone</t>
        </is>
      </c>
      <c r="O111" s="3" t="inlineStr">
        <is>
          <t>42847922MDD3003</t>
        </is>
      </c>
    </row>
    <row r="112">
      <c r="A112" s="2" t="str">
        <f>HYPERLINK("https://vtmf.veevavault.com/ui/#doc_info/29221222/2/0", "42847922MDD3003---Adjudication Package-27 Mar 2025 (v2.0)")</f>
        <v>42847922MDD3003---Adjudication Package-27 Mar 2025 (v2.0)</v>
      </c>
      <c r="B112" s="3" t="inlineStr">
        <is>
          <t>Trial Management</t>
        </is>
      </c>
      <c r="C112" s="3" t="inlineStr">
        <is>
          <t>Trial Committee</t>
        </is>
      </c>
      <c r="D112" s="3" t="inlineStr">
        <is>
          <t>Adjudication Package</t>
        </is>
      </c>
      <c r="E112" s="3" t="inlineStr">
        <is>
          <t>Pierre Blier - RAC - Conflict of Interest Form</t>
        </is>
      </c>
      <c r="F112" s="2" t="str">
        <f>HYPERLINK("https://vtmf.veevavault.com/ui/#doc_info/29221222/2/0", "VTMF-23486526")</f>
        <v>VTMF-23486526</v>
      </c>
      <c r="G112" s="3" t="inlineStr">
        <is>
          <t/>
        </is>
      </c>
      <c r="H112" s="3" t="inlineStr">
        <is>
          <t>System</t>
        </is>
      </c>
      <c r="I112" s="3" t="inlineStr">
        <is>
          <t>Teresa Wen</t>
        </is>
      </c>
      <c r="J112" s="4" t="n">
        <v>46099.7006712963</v>
      </c>
      <c r="K112" s="5" t="n">
        <v>46099.0</v>
      </c>
      <c r="L112" s="5" t="n">
        <v>45743.0</v>
      </c>
      <c r="M112" s="3" t="inlineStr">
        <is>
          <t>Approved</t>
        </is>
      </c>
      <c r="N112" s="3" t="inlineStr">
        <is>
          <t>Not associated to a milestone</t>
        </is>
      </c>
      <c r="O112" s="3" t="inlineStr">
        <is>
          <t>42847922MDD3003</t>
        </is>
      </c>
    </row>
    <row r="113">
      <c r="A113" s="2" t="str">
        <f>HYPERLINK("https://vtmf.veevavault.com/ui/#doc_info/29221137/2/0", "42847922MDD3003---Adjudication Package-27 Mar 2026 (v2.0)")</f>
        <v>42847922MDD3003---Adjudication Package-27 Mar 2026 (v2.0)</v>
      </c>
      <c r="B113" s="3" t="inlineStr">
        <is>
          <t>Trial Management</t>
        </is>
      </c>
      <c r="C113" s="3" t="inlineStr">
        <is>
          <t>Trial Committee</t>
        </is>
      </c>
      <c r="D113" s="3" t="inlineStr">
        <is>
          <t>Adjudication Package</t>
        </is>
      </c>
      <c r="E113" s="3" t="inlineStr">
        <is>
          <t>Ella Daly - RAC - Conflict of Interest Form - 42847922MDD3003 and 67953964MDD3005</t>
        </is>
      </c>
      <c r="F113" s="2" t="str">
        <f>HYPERLINK("https://vtmf.veevavault.com/ui/#doc_info/29221137/2/0", "VTMF-23486511")</f>
        <v>VTMF-23486511</v>
      </c>
      <c r="G113" s="3" t="inlineStr">
        <is>
          <t/>
        </is>
      </c>
      <c r="H113" s="3" t="inlineStr">
        <is>
          <t>System</t>
        </is>
      </c>
      <c r="I113" s="3" t="inlineStr">
        <is>
          <t>Teresa Wen</t>
        </is>
      </c>
      <c r="J113" s="4" t="n">
        <v>46109.00840277778</v>
      </c>
      <c r="K113" s="5" t="n">
        <v>46108.0</v>
      </c>
      <c r="L113" s="5" t="n">
        <v>46108.0</v>
      </c>
      <c r="M113" s="3" t="inlineStr">
        <is>
          <t>Approved</t>
        </is>
      </c>
      <c r="N113" s="3" t="inlineStr">
        <is>
          <t>Not associated to a milestone</t>
        </is>
      </c>
      <c r="O113" s="3" t="inlineStr">
        <is>
          <t>42847922MDD3003</t>
        </is>
      </c>
    </row>
    <row r="114">
      <c r="A114" s="2" t="str">
        <f>HYPERLINK("https://vtmf.veevavault.com/ui/#doc_info/31690845/1/0", "42847922MDD3003---Adjudication Package-28 Jan 2025 (v1.0)")</f>
        <v>42847922MDD3003---Adjudication Package-28 Jan 2025 (v1.0)</v>
      </c>
      <c r="B114" s="3" t="inlineStr">
        <is>
          <t>Trial Management</t>
        </is>
      </c>
      <c r="C114" s="3" t="inlineStr">
        <is>
          <t>Trial Committee</t>
        </is>
      </c>
      <c r="D114" s="3" t="inlineStr">
        <is>
          <t>Adjudication Package</t>
        </is>
      </c>
      <c r="E114" s="3" t="inlineStr">
        <is>
          <t>Andrew Nierenberg - RAC - Consulting Agreement - 42847922MDD3003</t>
        </is>
      </c>
      <c r="F114" s="2" t="str">
        <f>HYPERLINK("https://vtmf.veevavault.com/ui/#doc_info/31690845/1/0", "VTMF-25573766")</f>
        <v>VTMF-25573766</v>
      </c>
      <c r="G114" s="3" t="inlineStr">
        <is>
          <t/>
        </is>
      </c>
      <c r="H114" s="3" t="inlineStr">
        <is>
          <t>System</t>
        </is>
      </c>
      <c r="I114" s="3" t="inlineStr">
        <is>
          <t>Teresa Wen</t>
        </is>
      </c>
      <c r="J114" s="4" t="n">
        <v>46160.978310185186</v>
      </c>
      <c r="K114" s="5" t="n">
        <v>46160.0</v>
      </c>
      <c r="L114" s="5" t="n">
        <v>45685.0</v>
      </c>
      <c r="M114" s="3" t="inlineStr">
        <is>
          <t>Approved</t>
        </is>
      </c>
      <c r="N114" s="3" t="inlineStr">
        <is>
          <t>Not associated to a milestone</t>
        </is>
      </c>
      <c r="O114" s="3" t="inlineStr">
        <is>
          <t>42847922MDD3003</t>
        </is>
      </c>
    </row>
    <row r="115">
      <c r="A115" s="2" t="str">
        <f>HYPERLINK("https://vtmf.veevavault.com/ui/#doc_info/30280887/1/0", "42847922MDD3003---Adjudication Package-31 Oct 2025 (v1.0)")</f>
        <v>42847922MDD3003---Adjudication Package-31 Oct 2025 (v1.0)</v>
      </c>
      <c r="B115" s="3" t="inlineStr">
        <is>
          <t>Trial Management</t>
        </is>
      </c>
      <c r="C115" s="3" t="inlineStr">
        <is>
          <t>Trial Committee</t>
        </is>
      </c>
      <c r="D115" s="3" t="inlineStr">
        <is>
          <t>Adjudication Package</t>
        </is>
      </c>
      <c r="E115" s="3" t="inlineStr">
        <is>
          <t>Andrew Nierenberg - RAC - CV - 42847922MDD3003</t>
        </is>
      </c>
      <c r="F115" s="2" t="str">
        <f>HYPERLINK("https://vtmf.veevavault.com/ui/#doc_info/30280887/1/0", "VTMF-24383739")</f>
        <v>VTMF-24383739</v>
      </c>
      <c r="G115" s="3" t="inlineStr">
        <is>
          <t/>
        </is>
      </c>
      <c r="H115" s="3" t="inlineStr">
        <is>
          <t>System</t>
        </is>
      </c>
      <c r="I115" s="3" t="inlineStr">
        <is>
          <t>Teresa Wen</t>
        </is>
      </c>
      <c r="J115" s="4" t="n">
        <v>45961.80981481481</v>
      </c>
      <c r="K115" s="5" t="n">
        <v>45961.0</v>
      </c>
      <c r="L115" s="5" t="n">
        <v>45961.0</v>
      </c>
      <c r="M115" s="3" t="inlineStr">
        <is>
          <t>Approved</t>
        </is>
      </c>
      <c r="N115" s="3" t="inlineStr">
        <is>
          <t>Not associated to a milestone</t>
        </is>
      </c>
      <c r="O115" s="3" t="inlineStr">
        <is>
          <t>42847922MDD3003</t>
        </is>
      </c>
    </row>
    <row r="116">
      <c r="A116" s="2" t="str">
        <f>HYPERLINK("https://vtmf.veevavault.com/ui/#doc_info/30281340/1/0", "42847922MDD3003---Adjudication Package-31 Oct 2025 (v1.0)")</f>
        <v>42847922MDD3003---Adjudication Package-31 Oct 2025 (v1.0)</v>
      </c>
      <c r="B116" s="3" t="inlineStr">
        <is>
          <t>Trial Management</t>
        </is>
      </c>
      <c r="C116" s="3" t="inlineStr">
        <is>
          <t>Trial Committee</t>
        </is>
      </c>
      <c r="D116" s="3" t="inlineStr">
        <is>
          <t>Adjudication Package</t>
        </is>
      </c>
      <c r="E116" s="3" t="inlineStr">
        <is>
          <t>Andrew Nierenberg - RAC - Conflict of Interest Form  - 42847922MDD3003</t>
        </is>
      </c>
      <c r="F116" s="2" t="str">
        <f>HYPERLINK("https://vtmf.veevavault.com/ui/#doc_info/30281340/1/0", "VTMF-24383951")</f>
        <v>VTMF-24383951</v>
      </c>
      <c r="G116" s="3" t="inlineStr">
        <is>
          <t/>
        </is>
      </c>
      <c r="H116" s="3" t="inlineStr">
        <is>
          <t>System</t>
        </is>
      </c>
      <c r="I116" s="3" t="inlineStr">
        <is>
          <t>Teresa Wen</t>
        </is>
      </c>
      <c r="J116" s="4" t="n">
        <v>45961.83555555555</v>
      </c>
      <c r="K116" s="5" t="n">
        <v>45961.0</v>
      </c>
      <c r="L116" s="5" t="n">
        <v>45961.0</v>
      </c>
      <c r="M116" s="3" t="inlineStr">
        <is>
          <t>Approved</t>
        </is>
      </c>
      <c r="N116" s="3" t="inlineStr">
        <is>
          <t>Not associated to a milestone</t>
        </is>
      </c>
      <c r="O116" s="3" t="inlineStr">
        <is>
          <t>42847922MDD3003</t>
        </is>
      </c>
    </row>
    <row r="117">
      <c r="A117" s="2" t="str">
        <f>HYPERLINK("https://vtmf.veevavault.com/ui/#doc_info/26049385/2/0", "42847922MDD3003---Advertisements for Subject Recruitment-02 Apr 2024 (v2.0)")</f>
        <v>42847922MDD3003---Advertisements for Subject Recruitment-02 Apr 2024 (v2.0)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42847922MDD3003_USP20_Patient Poster - Part 2_V1.0</t>
        </is>
      </c>
      <c r="F117" s="2" t="str">
        <f>HYPERLINK("https://vtmf.veevavault.com/ui/#doc_info/26049385/2/0", "VTMF-20823423")</f>
        <v>VTMF-20823423</v>
      </c>
      <c r="G117" s="3" t="inlineStr">
        <is>
          <t/>
        </is>
      </c>
      <c r="H117" s="3" t="inlineStr">
        <is>
          <t>Katelyn Long</t>
        </is>
      </c>
      <c r="I117" s="3" t="inlineStr">
        <is>
          <t>Florencia Alfonso</t>
        </is>
      </c>
      <c r="J117" s="4" t="n">
        <v>45384.9515625</v>
      </c>
      <c r="K117" s="5" t="n">
        <v>45391.0</v>
      </c>
      <c r="L117" s="5" t="n">
        <v>45384.0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42847922MDD3003</t>
        </is>
      </c>
    </row>
    <row r="118">
      <c r="A118" s="2" t="str">
        <f>HYPERLINK("https://vtmf.veevavault.com/ui/#doc_info/26049386/2/0", "42847922MDD3003---Advertisements for Subject Recruitment-02 Apr 2024 (v2.0)")</f>
        <v>42847922MDD3003---Advertisements for Subject Recruitment-02 Apr 2024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42847922MDD3003_USP21_Patient Brochure - Part 2_rev2_V1.0</t>
        </is>
      </c>
      <c r="F118" s="2" t="str">
        <f>HYPERLINK("https://vtmf.veevavault.com/ui/#doc_info/26049386/2/0", "VTMF-20823424")</f>
        <v>VTMF-20823424</v>
      </c>
      <c r="G118" s="3" t="inlineStr">
        <is>
          <t/>
        </is>
      </c>
      <c r="H118" s="3" t="inlineStr">
        <is>
          <t>Katelyn Long</t>
        </is>
      </c>
      <c r="I118" s="3" t="inlineStr">
        <is>
          <t>Florencia Alfonso</t>
        </is>
      </c>
      <c r="J118" s="4" t="n">
        <v>45384.95313657408</v>
      </c>
      <c r="K118" s="5" t="n">
        <v>45391.0</v>
      </c>
      <c r="L118" s="5" t="n">
        <v>45384.0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42847922MDD3003</t>
        </is>
      </c>
    </row>
    <row r="119">
      <c r="A119" s="2" t="str">
        <f>HYPERLINK("https://vtmf.veevavault.com/ui/#doc_info/26049387/2/0", "42847922MDD3003---Advertisements for Subject Recruitment-02 Apr 2024 (v2.0)")</f>
        <v>42847922MDD3003---Advertisements for Subject Recruitment-02 Apr 2024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42847922MDD3003_USP19_Patient Flyer - Part 2_V1.0</t>
        </is>
      </c>
      <c r="F119" s="2" t="str">
        <f>HYPERLINK("https://vtmf.veevavault.com/ui/#doc_info/26049387/2/0", "VTMF-20823425")</f>
        <v>VTMF-20823425</v>
      </c>
      <c r="G119" s="3" t="inlineStr">
        <is>
          <t/>
        </is>
      </c>
      <c r="H119" s="3" t="inlineStr">
        <is>
          <t>Katelyn Long</t>
        </is>
      </c>
      <c r="I119" s="3" t="inlineStr">
        <is>
          <t>Florencia Alfonso</t>
        </is>
      </c>
      <c r="J119" s="4" t="n">
        <v>45384.94940972222</v>
      </c>
      <c r="K119" s="5" t="n">
        <v>45391.0</v>
      </c>
      <c r="L119" s="5" t="n">
        <v>45384.0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42847922MDD3003</t>
        </is>
      </c>
    </row>
    <row r="120">
      <c r="A120" s="2" t="str">
        <f>HYPERLINK("https://vtmf.veevavault.com/ui/#doc_info/24922334/3/0", "42847922MDD3003---Advertisements for Subject Recruitment-02 Mar 2023 (v3.0)")</f>
        <v>42847922MDD3003---Advertisements for Subject Recruitment-02 Mar 2023 (v3.0)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Finding Treatments Together LGBTQ+_CISCRP Educational Brochure_02Mar2023</t>
        </is>
      </c>
      <c r="F120" s="2" t="str">
        <f>HYPERLINK("https://vtmf.veevavault.com/ui/#doc_info/24922334/3/0", "VTMF-19833657")</f>
        <v>VTMF-19833657</v>
      </c>
      <c r="G120" s="3" t="inlineStr">
        <is>
          <t/>
        </is>
      </c>
      <c r="H120" s="3" t="inlineStr">
        <is>
          <t>Anthony Suarez (veeva.com)</t>
        </is>
      </c>
      <c r="I120" s="3" t="inlineStr">
        <is>
          <t>April Smith</t>
        </is>
      </c>
      <c r="J120" s="4" t="n">
        <v>45327.92582175926</v>
      </c>
      <c r="K120" s="5" t="n">
        <v>45330.0</v>
      </c>
      <c r="L120" s="5" t="n">
        <v>44987.0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42847922MDD3003, 56021927PCR3020, 67953964MDD3005, 67953964MDD3007, 89495120MDD2001</t>
        </is>
      </c>
    </row>
    <row r="121">
      <c r="A121" s="2" t="str">
        <f>HYPERLINK("https://vtmf.veevavault.com/ui/#doc_info/25947815/1/0", "42847922MDD3003---Advertisements for Subject Recruitment-03 Apr 2024 (v1.0)")</f>
        <v>42847922MDD3003---Advertisements for Subject Recruitment-03 Apr 2024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Banner Ad_ENG_V1_03 April 2024</t>
        </is>
      </c>
      <c r="F121" s="2" t="str">
        <f>HYPERLINK("https://vtmf.veevavault.com/ui/#doc_info/25947815/1/0", "VTMF-20733572")</f>
        <v>VTMF-20733572</v>
      </c>
      <c r="G121" s="3" t="inlineStr">
        <is>
          <t/>
        </is>
      </c>
      <c r="H121" s="3" t="inlineStr">
        <is>
          <t>System</t>
        </is>
      </c>
      <c r="I121" s="3" t="inlineStr">
        <is>
          <t>Adam McKain</t>
        </is>
      </c>
      <c r="J121" s="4" t="n">
        <v>45386.71165509259</v>
      </c>
      <c r="K121" s="5" t="n">
        <v>45391.0</v>
      </c>
      <c r="L121" s="5" t="n">
        <v>45385.0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42847922MDD3003</t>
        </is>
      </c>
    </row>
    <row r="122">
      <c r="A122" s="2" t="str">
        <f>HYPERLINK("https://vtmf.veevavault.com/ui/#doc_info/24503687/1/0", "42847922MDD3003---Advertisements for Subject Recruitment-04 May 2022 (v1.0)")</f>
        <v>42847922MDD3003---Advertisements for Subject Recruitment-04 May 2022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Clinical Trials for Hispanics and Latinos_CISCRP Educational Brochures</t>
        </is>
      </c>
      <c r="F122" s="2" t="str">
        <f>HYPERLINK("https://vtmf.veevavault.com/ui/#doc_info/24503687/1/0", "VTMF-19468784")</f>
        <v>VTMF-19468784</v>
      </c>
      <c r="G122" s="3" t="inlineStr">
        <is>
          <t/>
        </is>
      </c>
      <c r="H122" s="3" t="inlineStr">
        <is>
          <t>Anthony Suarez (veeva.com)</t>
        </is>
      </c>
      <c r="I122" s="3" t="inlineStr">
        <is>
          <t>April Smith</t>
        </is>
      </c>
      <c r="J122" s="4" t="n">
        <v>45131.976111111115</v>
      </c>
      <c r="K122" s="5" t="n">
        <v>45134.0</v>
      </c>
      <c r="L122" s="5" t="n">
        <v>44685.0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42847922MDD3003, 67953964MDD3005, 67953964MDD3007, 89495120MDD2001</t>
        </is>
      </c>
    </row>
    <row r="123">
      <c r="A123" s="2" t="str">
        <f>HYPERLINK("https://vtmf.veevavault.com/ui/#doc_info/25846507/1/0", "42847922MDD3003---Advertisements for Subject Recruitment-05 Feb 2024 (v1.0)")</f>
        <v>42847922MDD3003---Advertisements for Subject Recruitment-05 Feb 2024 (v1.0)</v>
      </c>
      <c r="B123" s="3" t="inlineStr">
        <is>
          <t>Central Trial Documents</t>
        </is>
      </c>
      <c r="C123" s="3" t="inlineStr">
        <is>
          <t>Subject Documents</t>
        </is>
      </c>
      <c r="D123" s="3" t="inlineStr">
        <is>
          <t>Advertisements for Subject Recruitment</t>
        </is>
      </c>
      <c r="E123" s="3" t="inlineStr">
        <is>
          <t>Patient Poster Parts 1 and 2_ENG02_V1.0_05Feb2024</t>
        </is>
      </c>
      <c r="F123" s="2" t="str">
        <f>HYPERLINK("https://vtmf.veevavault.com/ui/#doc_info/25846507/1/0", "VTMF-20643773")</f>
        <v>VTMF-20643773</v>
      </c>
      <c r="G123" s="3" t="inlineStr">
        <is>
          <t/>
        </is>
      </c>
      <c r="H123" s="3" t="inlineStr">
        <is>
          <t>System</t>
        </is>
      </c>
      <c r="I123" s="3" t="inlineStr">
        <is>
          <t>Nichol Esparza</t>
        </is>
      </c>
      <c r="J123" s="4" t="n">
        <v>45355.99986111111</v>
      </c>
      <c r="K123" s="5" t="n">
        <v>45363.0</v>
      </c>
      <c r="L123" s="5" t="n">
        <v>45327.0</v>
      </c>
      <c r="M123" s="3" t="inlineStr">
        <is>
          <t>Approved</t>
        </is>
      </c>
      <c r="N123" s="3" t="inlineStr">
        <is>
          <t>Available for Distribution, Country Start, Study Start</t>
        </is>
      </c>
      <c r="O123" s="3" t="inlineStr">
        <is>
          <t>42847922MDD3003</t>
        </is>
      </c>
    </row>
    <row r="124">
      <c r="A124" s="2" t="str">
        <f>HYPERLINK("https://vtmf.veevavault.com/ui/#doc_info/25846532/1/0", "42847922MDD3003---Advertisements for Subject Recruitment-05 Feb 2024 (v1.0)")</f>
        <v>42847922MDD3003---Advertisements for Subject Recruitment-05 Feb 2024 (v1.0)</v>
      </c>
      <c r="B124" s="3" t="inlineStr">
        <is>
          <t>Central Trial Documents</t>
        </is>
      </c>
      <c r="C124" s="3" t="inlineStr">
        <is>
          <t>Subject Documents</t>
        </is>
      </c>
      <c r="D124" s="3" t="inlineStr">
        <is>
          <t>Advertisements for Subject Recruitment</t>
        </is>
      </c>
      <c r="E124" s="3" t="inlineStr">
        <is>
          <t>Patient Flyer Parts 1 and 2_ENG03_V1.0; 05Feb2024</t>
        </is>
      </c>
      <c r="F124" s="2" t="str">
        <f>HYPERLINK("https://vtmf.veevavault.com/ui/#doc_info/25846532/1/0", "VTMF-20643800")</f>
        <v>VTMF-20643800</v>
      </c>
      <c r="G124" s="3" t="inlineStr">
        <is>
          <t/>
        </is>
      </c>
      <c r="H124" s="3" t="inlineStr">
        <is>
          <t>System</t>
        </is>
      </c>
      <c r="I124" s="3" t="inlineStr">
        <is>
          <t>Nichol Esparza</t>
        </is>
      </c>
      <c r="J124" s="4" t="n">
        <v>45356.00760416667</v>
      </c>
      <c r="K124" s="5" t="n">
        <v>45363.0</v>
      </c>
      <c r="L124" s="5" t="n">
        <v>45327.0</v>
      </c>
      <c r="M124" s="3" t="inlineStr">
        <is>
          <t>Approved</t>
        </is>
      </c>
      <c r="N124" s="3" t="inlineStr">
        <is>
          <t>Available for Distribution, Country Start, Study Start</t>
        </is>
      </c>
      <c r="O124" s="3" t="inlineStr">
        <is>
          <t>42847922MDD3003</t>
        </is>
      </c>
    </row>
    <row r="125">
      <c r="A125" s="2" t="str">
        <f>HYPERLINK("https://vtmf.veevavault.com/ui/#doc_info/28242730/1/0", "42847922MDD3003---Advertisements for Subject Recruitment-05 Feb 2025 (v1.0)")</f>
        <v>42847922MDD3003---Advertisements for Subject Recruitment-05 Feb 2025 (v1.0)</v>
      </c>
      <c r="B125" s="3" t="inlineStr">
        <is>
          <t>Central Trial Documents</t>
        </is>
      </c>
      <c r="C125" s="3" t="inlineStr">
        <is>
          <t>Subject Documents</t>
        </is>
      </c>
      <c r="D125" s="3" t="inlineStr">
        <is>
          <t>Advertisements for Subject Recruitment</t>
        </is>
      </c>
      <c r="E125" s="3" t="inlineStr">
        <is>
          <t>OARS-7 Link2Trials Call Center Script_V1.0</t>
        </is>
      </c>
      <c r="F125" s="2" t="str">
        <f>HYPERLINK("https://vtmf.veevavault.com/ui/#doc_info/28242730/1/0", "VTMF-22652966")</f>
        <v>VTMF-22652966</v>
      </c>
      <c r="G125" s="3" t="inlineStr">
        <is>
          <t/>
        </is>
      </c>
      <c r="H125" s="3" t="inlineStr">
        <is>
          <t>System</t>
        </is>
      </c>
      <c r="I125" s="3" t="inlineStr">
        <is>
          <t>Katelyn Long</t>
        </is>
      </c>
      <c r="J125" s="4" t="n">
        <v>45694.59920138889</v>
      </c>
      <c r="K125" s="5" t="n">
        <v>45698.0</v>
      </c>
      <c r="L125" s="5" t="n">
        <v>45693.0</v>
      </c>
      <c r="M125" s="3" t="inlineStr">
        <is>
          <t>Approved</t>
        </is>
      </c>
      <c r="N125" s="3" t="inlineStr">
        <is>
          <t>Available for Distribution, Country Start, Study Start</t>
        </is>
      </c>
      <c r="O125" s="3" t="inlineStr">
        <is>
          <t>42847922MDD3003</t>
        </is>
      </c>
    </row>
    <row r="126">
      <c r="A126" s="2" t="str">
        <f>HYPERLINK("https://vtmf.veevavault.com/ui/#doc_info/24503672/1/0", "42847922MDD3003---Advertisements for Subject Recruitment-08 Feb 2022 (v1.0)")</f>
        <v>42847922MDD3003---Advertisements for Subject Recruitment-08 Feb 2022 (v1.0)</v>
      </c>
      <c r="B126" s="3" t="inlineStr">
        <is>
          <t>Central Trial Documents</t>
        </is>
      </c>
      <c r="C126" s="3" t="inlineStr">
        <is>
          <t>Subject Documents</t>
        </is>
      </c>
      <c r="D126" s="3" t="inlineStr">
        <is>
          <t>Advertisements for Subject Recruitment</t>
        </is>
      </c>
      <c r="E126" s="3" t="inlineStr">
        <is>
          <t>Clinical Research for Black and African American People_CISCRP Educational Brochure</t>
        </is>
      </c>
      <c r="F126" s="2" t="str">
        <f>HYPERLINK("https://vtmf.veevavault.com/ui/#doc_info/24503672/1/0", "VTMF-19468770")</f>
        <v>VTMF-19468770</v>
      </c>
      <c r="G126" s="3" t="inlineStr">
        <is>
          <t/>
        </is>
      </c>
      <c r="H126" s="3" t="inlineStr">
        <is>
          <t>Anthony Suarez (veeva.com)</t>
        </is>
      </c>
      <c r="I126" s="3" t="inlineStr">
        <is>
          <t>April Smith</t>
        </is>
      </c>
      <c r="J126" s="4" t="n">
        <v>45131.97335648148</v>
      </c>
      <c r="K126" s="5" t="n">
        <v>45134.0</v>
      </c>
      <c r="L126" s="5" t="n">
        <v>44600.0</v>
      </c>
      <c r="M126" s="3" t="inlineStr">
        <is>
          <t>Approved</t>
        </is>
      </c>
      <c r="N126" s="3" t="inlineStr">
        <is>
          <t>Available for Distribution, Country Start, Study Start</t>
        </is>
      </c>
      <c r="O126" s="3" t="inlineStr">
        <is>
          <t>42847922MDD3003, 67953964MDD3005, 67953964MDD3007, 89495120MDD2001</t>
        </is>
      </c>
    </row>
    <row r="127">
      <c r="A127" s="2" t="str">
        <f>HYPERLINK("https://vtmf.veevavault.com/ui/#doc_info/25905689/1/0", "42847922MDD3003---Advertisements for Subject Recruitment-08 Mar 2024 (v1.0)")</f>
        <v>42847922MDD3003---Advertisements for Subject Recruitment-08 Mar 2024 (v1.0)</v>
      </c>
      <c r="B127" s="3" t="inlineStr">
        <is>
          <t>Central Trial Documents</t>
        </is>
      </c>
      <c r="C127" s="3" t="inlineStr">
        <is>
          <t>Subject Documents</t>
        </is>
      </c>
      <c r="D127" s="3" t="inlineStr">
        <is>
          <t>Advertisements for Subject Recruitment</t>
        </is>
      </c>
      <c r="E127" s="3" t="inlineStr">
        <is>
          <t>Recruitment Brochure Part 2_ENG21_V1.0; 08Mar2024</t>
        </is>
      </c>
      <c r="F127" s="2" t="str">
        <f>HYPERLINK("https://vtmf.veevavault.com/ui/#doc_info/25905689/1/0", "VTMF-20696310")</f>
        <v>VTMF-20696310</v>
      </c>
      <c r="G127" s="3" t="inlineStr">
        <is>
          <t/>
        </is>
      </c>
      <c r="H127" s="3" t="inlineStr">
        <is>
          <t>System</t>
        </is>
      </c>
      <c r="I127" s="3" t="inlineStr">
        <is>
          <t>Nichol Esparza</t>
        </is>
      </c>
      <c r="J127" s="4" t="n">
        <v>45364.02980324074</v>
      </c>
      <c r="K127" s="5" t="n">
        <v>45372.0</v>
      </c>
      <c r="L127" s="5" t="n">
        <v>45359.0</v>
      </c>
      <c r="M127" s="3" t="inlineStr">
        <is>
          <t>Approved</t>
        </is>
      </c>
      <c r="N127" s="3" t="inlineStr">
        <is>
          <t>Available for Distribution, Country Start, Study Start</t>
        </is>
      </c>
      <c r="O127" s="3" t="inlineStr">
        <is>
          <t>42847922MDD3003</t>
        </is>
      </c>
    </row>
    <row r="128">
      <c r="A128" s="2" t="str">
        <f>HYPERLINK("https://vtmf.veevavault.com/ui/#doc_info/28242739/1/0", "42847922MDD3003---Advertisements for Subject Recruitment-10 Feb 2025 (v1.0)")</f>
        <v>42847922MDD3003---Advertisements for Subject Recruitment-10 Feb 2025 (v1.0)</v>
      </c>
      <c r="B128" s="3" t="inlineStr">
        <is>
          <t>Central Trial Documents</t>
        </is>
      </c>
      <c r="C128" s="3" t="inlineStr">
        <is>
          <t>Subject Documents</t>
        </is>
      </c>
      <c r="D128" s="3" t="inlineStr">
        <is>
          <t>Advertisements for Subject Recruitment</t>
        </is>
      </c>
      <c r="E128" s="3" t="inlineStr">
        <is>
          <t>OARS-7 Link2Trials Study Website_V1.0</t>
        </is>
      </c>
      <c r="F128" s="2" t="str">
        <f>HYPERLINK("https://vtmf.veevavault.com/ui/#doc_info/28242739/1/0", "VTMF-22652979")</f>
        <v>VTMF-22652979</v>
      </c>
      <c r="G128" s="3" t="inlineStr">
        <is>
          <t/>
        </is>
      </c>
      <c r="H128" s="3" t="inlineStr">
        <is>
          <t>System</t>
        </is>
      </c>
      <c r="I128" s="3" t="inlineStr">
        <is>
          <t>Katelyn Long</t>
        </is>
      </c>
      <c r="J128" s="4" t="n">
        <v>45707.715787037036</v>
      </c>
      <c r="K128" s="5" t="n">
        <v>45713.0</v>
      </c>
      <c r="L128" s="5" t="n">
        <v>45698.0</v>
      </c>
      <c r="M128" s="3" t="inlineStr">
        <is>
          <t>Approved</t>
        </is>
      </c>
      <c r="N128" s="3" t="inlineStr">
        <is>
          <t>Available for Distribution, Country Start, Study Start</t>
        </is>
      </c>
      <c r="O128" s="3" t="inlineStr">
        <is>
          <t>42847922MDD3003</t>
        </is>
      </c>
    </row>
    <row r="129">
      <c r="A129" s="2" t="str">
        <f>HYPERLINK("https://vtmf.veevavault.com/ui/#doc_info/28242745/1/0", "42847922MDD3003---Advertisements for Subject Recruitment-10 Feb 2025 (v1.0)")</f>
        <v>42847922MDD3003---Advertisements for Subject Recruitment-10 Feb 2025 (v1.0)</v>
      </c>
      <c r="B129" s="3" t="inlineStr">
        <is>
          <t>Central Trial Documents</t>
        </is>
      </c>
      <c r="C129" s="3" t="inlineStr">
        <is>
          <t>Subject Documents</t>
        </is>
      </c>
      <c r="D129" s="3" t="inlineStr">
        <is>
          <t>Advertisements for Subject Recruitment</t>
        </is>
      </c>
      <c r="E129" s="3" t="inlineStr">
        <is>
          <t>OARS-7 Link2Trials Patient Information One Pager and Email_V1.0</t>
        </is>
      </c>
      <c r="F129" s="2" t="str">
        <f>HYPERLINK("https://vtmf.veevavault.com/ui/#doc_info/28242745/1/0", "VTMF-22652995")</f>
        <v>VTMF-22652995</v>
      </c>
      <c r="G129" s="3" t="inlineStr">
        <is>
          <t/>
        </is>
      </c>
      <c r="H129" s="3" t="inlineStr">
        <is>
          <t>System</t>
        </is>
      </c>
      <c r="I129" s="3" t="inlineStr">
        <is>
          <t>Astrid Lenaerts</t>
        </is>
      </c>
      <c r="J129" s="4" t="n">
        <v>45698.5781712963</v>
      </c>
      <c r="K129" s="5" t="n">
        <v>45700.0</v>
      </c>
      <c r="L129" s="5" t="n">
        <v>45698.0</v>
      </c>
      <c r="M129" s="3" t="inlineStr">
        <is>
          <t>Approved</t>
        </is>
      </c>
      <c r="N129" s="3" t="inlineStr">
        <is>
          <t>Available for Distribution, Country Start, Study Start</t>
        </is>
      </c>
      <c r="O129" s="3" t="inlineStr">
        <is>
          <t>42847922MDD3003</t>
        </is>
      </c>
    </row>
    <row r="130">
      <c r="A130" s="2" t="str">
        <f>HYPERLINK("https://vtmf.veevavault.com/ui/#doc_info/26124009/1/0", "42847922MDD3003---Advertisements for Subject Recruitment-12 Apr 2024 (v1.0)")</f>
        <v>42847922MDD3003---Advertisements for Subject Recruitment-12 Apr 2024 (v1.0)</v>
      </c>
      <c r="B130" s="3" t="inlineStr">
        <is>
          <t>Central Trial Documents</t>
        </is>
      </c>
      <c r="C130" s="3" t="inlineStr">
        <is>
          <t>Subject Documents</t>
        </is>
      </c>
      <c r="D130" s="3" t="inlineStr">
        <is>
          <t>Advertisements for Subject Recruitment</t>
        </is>
      </c>
      <c r="E130" s="3" t="inlineStr">
        <is>
          <t>42847922MDD3003_USP12_Banner Ad_V1.0</t>
        </is>
      </c>
      <c r="F130" s="2" t="str">
        <f>HYPERLINK("https://vtmf.veevavault.com/ui/#doc_info/26124009/1/0", "VTMF-20889396")</f>
        <v>VTMF-20889396</v>
      </c>
      <c r="G130" s="3" t="inlineStr">
        <is>
          <t/>
        </is>
      </c>
      <c r="H130" s="3" t="inlineStr">
        <is>
          <t>Katelyn Long</t>
        </is>
      </c>
      <c r="I130" s="3" t="inlineStr">
        <is>
          <t>Florencia Alfonso</t>
        </is>
      </c>
      <c r="J130" s="4" t="n">
        <v>45394.91793981481</v>
      </c>
      <c r="K130" s="5" t="n">
        <v>45415.0</v>
      </c>
      <c r="L130" s="5" t="n">
        <v>45394.0</v>
      </c>
      <c r="M130" s="3" t="inlineStr">
        <is>
          <t>Approved</t>
        </is>
      </c>
      <c r="N130" s="3" t="inlineStr">
        <is>
          <t>Available for Distribution, Country Start, Study Start</t>
        </is>
      </c>
      <c r="O130" s="3" t="inlineStr">
        <is>
          <t>42847922MDD3003</t>
        </is>
      </c>
    </row>
    <row r="131">
      <c r="A131" s="2" t="str">
        <f>HYPERLINK("https://vtmf.veevavault.com/ui/#doc_info/26124010/1/0", "42847922MDD3003---Advertisements for Subject Recruitment-12 Apr 2024 (v1.0)")</f>
        <v>42847922MDD3003---Advertisements for Subject Recruitment-12 Apr 2024 (v1.0)</v>
      </c>
      <c r="B131" s="3" t="inlineStr">
        <is>
          <t>Central Trial Documents</t>
        </is>
      </c>
      <c r="C131" s="3" t="inlineStr">
        <is>
          <t>Subject Documents</t>
        </is>
      </c>
      <c r="D131" s="3" t="inlineStr">
        <is>
          <t>Advertisements for Subject Recruitment</t>
        </is>
      </c>
      <c r="E131" s="3" t="inlineStr">
        <is>
          <t>42847922MDD3003_USP05_ICF Infographic Cards_rev1_V1.0</t>
        </is>
      </c>
      <c r="F131" s="2" t="str">
        <f>HYPERLINK("https://vtmf.veevavault.com/ui/#doc_info/26124010/1/0", "VTMF-20889397")</f>
        <v>VTMF-20889397</v>
      </c>
      <c r="G131" s="3" t="inlineStr">
        <is>
          <t/>
        </is>
      </c>
      <c r="H131" s="3" t="inlineStr">
        <is>
          <t>Katelyn Long</t>
        </is>
      </c>
      <c r="I131" s="3" t="inlineStr">
        <is>
          <t>Florencia Alfonso</t>
        </is>
      </c>
      <c r="J131" s="4" t="n">
        <v>45394.91793981481</v>
      </c>
      <c r="K131" s="5" t="n">
        <v>45415.0</v>
      </c>
      <c r="L131" s="5" t="n">
        <v>45394.0</v>
      </c>
      <c r="M131" s="3" t="inlineStr">
        <is>
          <t>Approved</t>
        </is>
      </c>
      <c r="N131" s="3" t="inlineStr">
        <is>
          <t>Available for Distribution, Country Start, Study Start</t>
        </is>
      </c>
      <c r="O131" s="3" t="inlineStr">
        <is>
          <t>42847922MDD3003</t>
        </is>
      </c>
    </row>
    <row r="132">
      <c r="A132" s="2" t="str">
        <f>HYPERLINK("https://vtmf.veevavault.com/ui/#doc_info/28129540/1/0", "42847922MDD3003---Advertisements for Subject Recruitment-14 Feb 2025 (v1.0)")</f>
        <v>42847922MDD3003---Advertisements for Subject Recruitment-14 Feb 2025 (v1.0)</v>
      </c>
      <c r="B132" s="3" t="inlineStr">
        <is>
          <t>Central Trial Documents</t>
        </is>
      </c>
      <c r="C132" s="3" t="inlineStr">
        <is>
          <t>Subject Documents</t>
        </is>
      </c>
      <c r="D132" s="3" t="inlineStr">
        <is>
          <t>Advertisements for Subject Recruitment</t>
        </is>
      </c>
      <c r="E132" s="3" t="inlineStr">
        <is>
          <t>OARS-7 Link2Trials Online Recruitment Materials_V1.0</t>
        </is>
      </c>
      <c r="F132" s="2" t="str">
        <f>HYPERLINK("https://vtmf.veevavault.com/ui/#doc_info/28129540/1/0", "VTMF-22560518")</f>
        <v>VTMF-22560518</v>
      </c>
      <c r="G132" s="3" t="inlineStr">
        <is>
          <t/>
        </is>
      </c>
      <c r="H132" s="3" t="inlineStr">
        <is>
          <t>System</t>
        </is>
      </c>
      <c r="I132" s="3" t="inlineStr">
        <is>
          <t>Astrid Lenaerts</t>
        </is>
      </c>
      <c r="J132" s="4" t="n">
        <v>45702.53071759259</v>
      </c>
      <c r="K132" s="5" t="n">
        <v>45708.0</v>
      </c>
      <c r="L132" s="5" t="n">
        <v>45702.0</v>
      </c>
      <c r="M132" s="3" t="inlineStr">
        <is>
          <t>Approved</t>
        </is>
      </c>
      <c r="N132" s="3" t="inlineStr">
        <is>
          <t>Available for Distribution, Country Start, Study Start</t>
        </is>
      </c>
      <c r="O132" s="3" t="inlineStr">
        <is>
          <t>42847922MDD3003</t>
        </is>
      </c>
    </row>
    <row r="133">
      <c r="A133" s="2" t="str">
        <f>HYPERLINK("https://vtmf.veevavault.com/ui/#doc_info/26926700/1/0", "42847922MDD3003---Advertisements for Subject Recruitment-17 Sep 2024 (v1.0)")</f>
        <v>42847922MDD3003---Advertisements for Subject Recruitment-17 Sep 2024 (v1.0)</v>
      </c>
      <c r="B133" s="3" t="inlineStr">
        <is>
          <t>Central Trial Documents</t>
        </is>
      </c>
      <c r="C133" s="3" t="inlineStr">
        <is>
          <t>Subject Documents</t>
        </is>
      </c>
      <c r="D133" s="3" t="inlineStr">
        <is>
          <t>Advertisements for Subject Recruitment</t>
        </is>
      </c>
      <c r="E133" s="3" t="inlineStr">
        <is>
          <t>Social Media Content_ENG24_US specific_V1.0</t>
        </is>
      </c>
      <c r="F133" s="2" t="str">
        <f>HYPERLINK("https://vtmf.veevavault.com/ui/#doc_info/26926700/1/0", "VTMF-21584614")</f>
        <v>VTMF-21584614</v>
      </c>
      <c r="G133" s="3" t="inlineStr">
        <is>
          <t/>
        </is>
      </c>
      <c r="H133" s="3" t="inlineStr">
        <is>
          <t>Anthony Suarez (veeva.com)</t>
        </is>
      </c>
      <c r="I133" s="3" t="inlineStr">
        <is>
          <t>Adam McKain</t>
        </is>
      </c>
      <c r="J133" s="4" t="n">
        <v>45554.779131944444</v>
      </c>
      <c r="K133" s="5" t="n">
        <v>45560.0</v>
      </c>
      <c r="L133" s="5" t="n">
        <v>45552.0</v>
      </c>
      <c r="M133" s="3" t="inlineStr">
        <is>
          <t>Approved</t>
        </is>
      </c>
      <c r="N133" s="3" t="inlineStr">
        <is>
          <t>Available for Distribution, Country Start, Study Start</t>
        </is>
      </c>
      <c r="O133" s="3" t="inlineStr">
        <is>
          <t>42847922MDD3003</t>
        </is>
      </c>
    </row>
    <row r="134">
      <c r="A134" s="2" t="str">
        <f>HYPERLINK("https://vtmf.veevavault.com/ui/#doc_info/27016985/1/0", "42847922MDD3003---Advertisements for Subject Recruitment-17 Sep 2024 (v1.0)")</f>
        <v>42847922MDD3003---Advertisements for Subject Recruitment-17 Sep 2024 (v1.0)</v>
      </c>
      <c r="B134" s="3" t="inlineStr">
        <is>
          <t>Central Trial Documents</t>
        </is>
      </c>
      <c r="C134" s="3" t="inlineStr">
        <is>
          <t>Subject Documents</t>
        </is>
      </c>
      <c r="D134" s="3" t="inlineStr">
        <is>
          <t>Advertisements for Subject Recruitment</t>
        </is>
      </c>
      <c r="E134" s="3" t="inlineStr">
        <is>
          <t>DBSA Website Listing_ENG_V1</t>
        </is>
      </c>
      <c r="F134" s="2" t="str">
        <f>HYPERLINK("https://vtmf.veevavault.com/ui/#doc_info/27016985/1/0", "VTMF-21660120")</f>
        <v>VTMF-21660120</v>
      </c>
      <c r="G134" s="3" t="inlineStr">
        <is>
          <t/>
        </is>
      </c>
      <c r="H134" s="3" t="inlineStr">
        <is>
          <t>System</t>
        </is>
      </c>
      <c r="I134" s="3" t="inlineStr">
        <is>
          <t>Claudia Soi</t>
        </is>
      </c>
      <c r="J134" s="4" t="n">
        <v>45552.7037037037</v>
      </c>
      <c r="K134" s="5" t="n">
        <v>45555.0</v>
      </c>
      <c r="L134" s="5" t="n">
        <v>45552.0</v>
      </c>
      <c r="M134" s="3" t="inlineStr">
        <is>
          <t>Approved</t>
        </is>
      </c>
      <c r="N134" s="3" t="inlineStr">
        <is>
          <t>Available for Distribution, Country Start, Study Start</t>
        </is>
      </c>
      <c r="O134" s="3" t="inlineStr">
        <is>
          <t>42847922MDD3003</t>
        </is>
      </c>
    </row>
    <row r="135">
      <c r="A135" s="2" t="str">
        <f>HYPERLINK("https://vtmf.veevavault.com/ui/#doc_info/25967033/1/0", "42847922MDD3003---Advertisements for Subject Recruitment-21 Jun 2024 (v1.0)")</f>
        <v>42847922MDD3003---Advertisements for Subject Recruitment-21 Jun 2024 (v1.0)</v>
      </c>
      <c r="B135" s="3" t="inlineStr">
        <is>
          <t>Central Trial Documents</t>
        </is>
      </c>
      <c r="C135" s="3" t="inlineStr">
        <is>
          <t>Subject Documents</t>
        </is>
      </c>
      <c r="D135" s="3" t="inlineStr">
        <is>
          <t>Advertisements for Subject Recruitment</t>
        </is>
      </c>
      <c r="E135" s="3" t="inlineStr">
        <is>
          <t>Social Media Content_ENG_V1.0</t>
        </is>
      </c>
      <c r="F135" s="2" t="str">
        <f>HYPERLINK("https://vtmf.veevavault.com/ui/#doc_info/25967033/1/0", "VTMF-20750489")</f>
        <v>VTMF-20750489</v>
      </c>
      <c r="G135" s="3" t="inlineStr">
        <is>
          <t/>
        </is>
      </c>
      <c r="H135" s="3" t="inlineStr">
        <is>
          <t>System</t>
        </is>
      </c>
      <c r="I135" s="3" t="inlineStr">
        <is>
          <t>Adam McKain</t>
        </is>
      </c>
      <c r="J135" s="4" t="n">
        <v>45464.852430555555</v>
      </c>
      <c r="K135" s="5" t="n">
        <v>45469.0</v>
      </c>
      <c r="L135" s="5" t="n">
        <v>45464.0</v>
      </c>
      <c r="M135" s="3" t="inlineStr">
        <is>
          <t>Approved</t>
        </is>
      </c>
      <c r="N135" s="3" t="inlineStr">
        <is>
          <t>Available for Distribution, Country Start, Study Start</t>
        </is>
      </c>
      <c r="O135" s="3" t="inlineStr">
        <is>
          <t>42847922MDD3003</t>
        </is>
      </c>
    </row>
    <row r="136">
      <c r="A136" s="2" t="str">
        <f>HYPERLINK("https://vtmf.veevavault.com/ui/#doc_info/26936783/1/0", "42847922MDD3003---Advertisements for Subject Recruitment-22 Aug 2024 (v1.0)")</f>
        <v>42847922MDD3003---Advertisements for Subject Recruitment-22 Aug 2024 (v1.0)</v>
      </c>
      <c r="B136" s="3" t="inlineStr">
        <is>
          <t>Central Trial Documents</t>
        </is>
      </c>
      <c r="C136" s="3" t="inlineStr">
        <is>
          <t>Subject Documents</t>
        </is>
      </c>
      <c r="D136" s="3" t="inlineStr">
        <is>
          <t>Advertisements for Subject Recruitment</t>
        </is>
      </c>
      <c r="E136" s="3" t="inlineStr">
        <is>
          <t>OBSOLETE USA DOCUMENT_Clinical Research Participation for LGBTQ+ Communities_CISCRP Educational Brochure_USP_V1</t>
        </is>
      </c>
      <c r="F136" s="2" t="str">
        <f>HYPERLINK("https://vtmf.veevavault.com/ui/#doc_info/26936783/1/0", "VTMF-21592970")</f>
        <v>VTMF-21592970</v>
      </c>
      <c r="G136" s="3" t="inlineStr">
        <is>
          <t/>
        </is>
      </c>
      <c r="H136" s="3" t="inlineStr">
        <is>
          <t>Tarayia Foreman</t>
        </is>
      </c>
      <c r="I136" s="3" t="inlineStr">
        <is>
          <t>Claudia Soi</t>
        </is>
      </c>
      <c r="J136" s="4" t="n">
        <v>45526.71525462963</v>
      </c>
      <c r="K136" s="5" t="n">
        <v>45539.0</v>
      </c>
      <c r="L136" s="5" t="n">
        <v>45526.0</v>
      </c>
      <c r="M136" s="3" t="inlineStr">
        <is>
          <t>Approved</t>
        </is>
      </c>
      <c r="N136" s="3" t="inlineStr">
        <is>
          <t>Available for Distribution, Country Start, Study Start</t>
        </is>
      </c>
      <c r="O136" s="3" t="inlineStr">
        <is>
          <t>42847922MDD3003</t>
        </is>
      </c>
    </row>
    <row r="137">
      <c r="A137" s="2" t="str">
        <f>HYPERLINK("https://vtmf.veevavault.com/ui/#doc_info/26936784/1/0", "42847922MDD3003---Advertisements for Subject Recruitment-22 Aug 2024 (v1.0)")</f>
        <v>42847922MDD3003---Advertisements for Subject Recruitment-22 Aug 2024 (v1.0)</v>
      </c>
      <c r="B137" s="3" t="inlineStr">
        <is>
          <t>Central Trial Documents</t>
        </is>
      </c>
      <c r="C137" s="3" t="inlineStr">
        <is>
          <t>Subject Documents</t>
        </is>
      </c>
      <c r="D137" s="3" t="inlineStr">
        <is>
          <t>Advertisements for Subject Recruitment</t>
        </is>
      </c>
      <c r="E137" s="3" t="inlineStr">
        <is>
          <t>OBSOLETE USA DOCUMENT_Clinical Research for Black and African American People_CISCRP Educational Brochure_USP_V1</t>
        </is>
      </c>
      <c r="F137" s="2" t="str">
        <f>HYPERLINK("https://vtmf.veevavault.com/ui/#doc_info/26936784/1/0", "VTMF-21592971")</f>
        <v>VTMF-21592971</v>
      </c>
      <c r="G137" s="3" t="inlineStr">
        <is>
          <t/>
        </is>
      </c>
      <c r="H137" s="3" t="inlineStr">
        <is>
          <t>Tarayia Foreman</t>
        </is>
      </c>
      <c r="I137" s="3" t="inlineStr">
        <is>
          <t>Claudia Soi</t>
        </is>
      </c>
      <c r="J137" s="4" t="n">
        <v>45526.71525462963</v>
      </c>
      <c r="K137" s="5" t="n">
        <v>45539.0</v>
      </c>
      <c r="L137" s="5" t="n">
        <v>45526.0</v>
      </c>
      <c r="M137" s="3" t="inlineStr">
        <is>
          <t>Approved</t>
        </is>
      </c>
      <c r="N137" s="3" t="inlineStr">
        <is>
          <t>Available for Distribution, Country Start, Study Start</t>
        </is>
      </c>
      <c r="O137" s="3" t="inlineStr">
        <is>
          <t>42847922MDD3003</t>
        </is>
      </c>
    </row>
    <row r="138">
      <c r="A138" s="2" t="str">
        <f>HYPERLINK("https://vtmf.veevavault.com/ui/#doc_info/26936785/1/0", "42847922MDD3003---Advertisements for Subject Recruitment-22 Aug 2024 (v1.0)")</f>
        <v>42847922MDD3003---Advertisements for Subject Recruitment-22 Aug 2024 (v1.0)</v>
      </c>
      <c r="B138" s="3" t="inlineStr">
        <is>
          <t>Central Trial Documents</t>
        </is>
      </c>
      <c r="C138" s="3" t="inlineStr">
        <is>
          <t>Subject Documents</t>
        </is>
      </c>
      <c r="D138" s="3" t="inlineStr">
        <is>
          <t>Advertisements for Subject Recruitment</t>
        </is>
      </c>
      <c r="E138" s="3" t="inlineStr">
        <is>
          <t>OBSOLETE USA DOCUMENT_Clinical Trials for Hispanics and Latinos_CISCRP Educational Brochure_USP_V1</t>
        </is>
      </c>
      <c r="F138" s="2" t="str">
        <f>HYPERLINK("https://vtmf.veevavault.com/ui/#doc_info/26936785/1/0", "VTMF-21592973")</f>
        <v>VTMF-21592973</v>
      </c>
      <c r="G138" s="3" t="inlineStr">
        <is>
          <t/>
        </is>
      </c>
      <c r="H138" s="3" t="inlineStr">
        <is>
          <t>Tarayia Foreman</t>
        </is>
      </c>
      <c r="I138" s="3" t="inlineStr">
        <is>
          <t>Claudia Soi</t>
        </is>
      </c>
      <c r="J138" s="4" t="n">
        <v>45526.71525462963</v>
      </c>
      <c r="K138" s="5" t="n">
        <v>45539.0</v>
      </c>
      <c r="L138" s="5" t="n">
        <v>45526.0</v>
      </c>
      <c r="M138" s="3" t="inlineStr">
        <is>
          <t>Approved</t>
        </is>
      </c>
      <c r="N138" s="3" t="inlineStr">
        <is>
          <t>Available for Distribution, Country Start, Study Start</t>
        </is>
      </c>
      <c r="O138" s="3" t="inlineStr">
        <is>
          <t>42847922MDD3003</t>
        </is>
      </c>
    </row>
    <row r="139">
      <c r="A139" s="2" t="str">
        <f>HYPERLINK("https://vtmf.veevavault.com/ui/#doc_info/25947750/1/0", "42847922MDD3003---Advertisements for Subject Recruitment-25 Mar 2024 (v1.0)")</f>
        <v>42847922MDD3003---Advertisements for Subject Recruitment-25 Mar 2024 (v1.0)</v>
      </c>
      <c r="B139" s="3" t="inlineStr">
        <is>
          <t>Central Trial Documents</t>
        </is>
      </c>
      <c r="C139" s="3" t="inlineStr">
        <is>
          <t>Subject Documents</t>
        </is>
      </c>
      <c r="D139" s="3" t="inlineStr">
        <is>
          <t>Advertisements for Subject Recruitment</t>
        </is>
      </c>
      <c r="E139" s="3" t="inlineStr">
        <is>
          <t>ICF Infographic Cards_ENG_V1_25 March 2024</t>
        </is>
      </c>
      <c r="F139" s="2" t="str">
        <f>HYPERLINK("https://vtmf.veevavault.com/ui/#doc_info/25947750/1/0", "VTMF-20733527")</f>
        <v>VTMF-20733527</v>
      </c>
      <c r="G139" s="3" t="inlineStr">
        <is>
          <t/>
        </is>
      </c>
      <c r="H139" s="3" t="inlineStr">
        <is>
          <t>System</t>
        </is>
      </c>
      <c r="I139" s="3" t="inlineStr">
        <is>
          <t>Adam McKain</t>
        </is>
      </c>
      <c r="J139" s="4" t="n">
        <v>45378.71197916667</v>
      </c>
      <c r="K139" s="5" t="n">
        <v>45380.0</v>
      </c>
      <c r="L139" s="5" t="n">
        <v>45376.0</v>
      </c>
      <c r="M139" s="3" t="inlineStr">
        <is>
          <t>Approved</t>
        </is>
      </c>
      <c r="N139" s="3" t="inlineStr">
        <is>
          <t>Available for Distribution, Country Start, Study Start</t>
        </is>
      </c>
      <c r="O139" s="3" t="inlineStr">
        <is>
          <t>42847922MDD3003</t>
        </is>
      </c>
    </row>
    <row r="140">
      <c r="A140" s="2" t="str">
        <f>HYPERLINK("https://vtmf.veevavault.com/ui/#doc_info/28163934/1/0", "42847922MDD3003---Advertisements for Subject Recruitment-27 Jan 2025 (v1.0)")</f>
        <v>42847922MDD3003---Advertisements for Subject Recruitment-27 Jan 2025 (v1.0)</v>
      </c>
      <c r="B140" s="3" t="inlineStr">
        <is>
          <t>Central Trial Documents</t>
        </is>
      </c>
      <c r="C140" s="3" t="inlineStr">
        <is>
          <t>Subject Documents</t>
        </is>
      </c>
      <c r="D140" s="3" t="inlineStr">
        <is>
          <t>Advertisements for Subject Recruitment</t>
        </is>
      </c>
      <c r="E140" s="3" t="inlineStr">
        <is>
          <t>42847922MDD3003- Link2Trials Online Recruitment Media Plan</t>
        </is>
      </c>
      <c r="F140" s="2" t="str">
        <f>HYPERLINK("https://vtmf.veevavault.com/ui/#doc_info/28163934/1/0", "VTMF-22585660")</f>
        <v>VTMF-22585660</v>
      </c>
      <c r="G140" s="3" t="inlineStr">
        <is>
          <t/>
        </is>
      </c>
      <c r="H140" s="3" t="inlineStr">
        <is>
          <t>System</t>
        </is>
      </c>
      <c r="I140" s="3" t="inlineStr">
        <is>
          <t>Katelyn Long</t>
        </is>
      </c>
      <c r="J140" s="4" t="n">
        <v>45684.63202546296</v>
      </c>
      <c r="K140" s="5" t="n">
        <v>45686.0</v>
      </c>
      <c r="L140" s="5" t="n">
        <v>45684.0</v>
      </c>
      <c r="M140" s="3" t="inlineStr">
        <is>
          <t>Approved</t>
        </is>
      </c>
      <c r="N140" s="3" t="inlineStr">
        <is>
          <t>Available for Distribution, Country Start, Study Start</t>
        </is>
      </c>
      <c r="O140" s="3" t="inlineStr">
        <is>
          <t>42847922MDD3003</t>
        </is>
      </c>
    </row>
    <row r="141">
      <c r="A141" s="2" t="str">
        <f>HYPERLINK("https://vtmf.veevavault.com/ui/#doc_info/25857269/1/0", "42847922MDD3003---Advertisements for Subject Recruitment-28 Feb 2024 (v1.0)")</f>
        <v>42847922MDD3003---Advertisements for Subject Recruitment-28 Feb 2024 (v1.0)</v>
      </c>
      <c r="B141" s="3" t="inlineStr">
        <is>
          <t>Central Trial Documents</t>
        </is>
      </c>
      <c r="C141" s="3" t="inlineStr">
        <is>
          <t>Subject Documents</t>
        </is>
      </c>
      <c r="D141" s="3" t="inlineStr">
        <is>
          <t>Advertisements for Subject Recruitment</t>
        </is>
      </c>
      <c r="E141" s="3" t="inlineStr">
        <is>
          <t>Recruitment Brochure Parts 1 and 2_ENG04_V1.0; 28Feb2024</t>
        </is>
      </c>
      <c r="F141" s="2" t="str">
        <f>HYPERLINK("https://vtmf.veevavault.com/ui/#doc_info/25857269/1/0", "VTMF-20653206")</f>
        <v>VTMF-20653206</v>
      </c>
      <c r="G141" s="3" t="inlineStr">
        <is>
          <t/>
        </is>
      </c>
      <c r="H141" s="3" t="inlineStr">
        <is>
          <t>System</t>
        </is>
      </c>
      <c r="I141" s="3" t="inlineStr">
        <is>
          <t>Nichol Esparza</t>
        </is>
      </c>
      <c r="J141" s="4" t="n">
        <v>45357.03538194444</v>
      </c>
      <c r="K141" s="5" t="n">
        <v>45363.0</v>
      </c>
      <c r="L141" s="5" t="n">
        <v>45350.0</v>
      </c>
      <c r="M141" s="3" t="inlineStr">
        <is>
          <t>Approved</t>
        </is>
      </c>
      <c r="N141" s="3" t="inlineStr">
        <is>
          <t>Available for Distribution, Country Start, Study Start</t>
        </is>
      </c>
      <c r="O141" s="3" t="inlineStr">
        <is>
          <t>42847922MDD3003</t>
        </is>
      </c>
    </row>
    <row r="142">
      <c r="A142" s="2" t="str">
        <f>HYPERLINK("https://vtmf.veevavault.com/ui/#doc_info/25857278/1/0", "42847922MDD3003---Advertisements for Subject Recruitment-28 Feb 2024 (v1.0)")</f>
        <v>42847922MDD3003---Advertisements for Subject Recruitment-28 Feb 2024 (v1.0)</v>
      </c>
      <c r="B142" s="3" t="inlineStr">
        <is>
          <t>Central Trial Documents</t>
        </is>
      </c>
      <c r="C142" s="3" t="inlineStr">
        <is>
          <t>Subject Documents</t>
        </is>
      </c>
      <c r="D142" s="3" t="inlineStr">
        <is>
          <t>Advertisements for Subject Recruitment</t>
        </is>
      </c>
      <c r="E142" s="3" t="inlineStr">
        <is>
          <t>Patient Flyer Part 2_ENG19_V1.0; 28Feb2024</t>
        </is>
      </c>
      <c r="F142" s="2" t="str">
        <f>HYPERLINK("https://vtmf.veevavault.com/ui/#doc_info/25857278/1/0", "VTMF-20653213")</f>
        <v>VTMF-20653213</v>
      </c>
      <c r="G142" s="3" t="inlineStr">
        <is>
          <t/>
        </is>
      </c>
      <c r="H142" s="3" t="inlineStr">
        <is>
          <t>System</t>
        </is>
      </c>
      <c r="I142" s="3" t="inlineStr">
        <is>
          <t>Nichol Esparza</t>
        </is>
      </c>
      <c r="J142" s="4" t="n">
        <v>45357.037939814814</v>
      </c>
      <c r="K142" s="5" t="n">
        <v>45370.0</v>
      </c>
      <c r="L142" s="5" t="n">
        <v>45350.0</v>
      </c>
      <c r="M142" s="3" t="inlineStr">
        <is>
          <t>Approved</t>
        </is>
      </c>
      <c r="N142" s="3" t="inlineStr">
        <is>
          <t>Available for Distribution, Country Start, Study Start</t>
        </is>
      </c>
      <c r="O142" s="3" t="inlineStr">
        <is>
          <t>42847922MDD3003</t>
        </is>
      </c>
    </row>
    <row r="143">
      <c r="A143" s="2" t="str">
        <f>HYPERLINK("https://vtmf.veevavault.com/ui/#doc_info/25857281/1/0", "42847922MDD3003---Advertisements for Subject Recruitment-28 Feb 2024 (v1.0)")</f>
        <v>42847922MDD3003---Advertisements for Subject Recruitment-28 Feb 2024 (v1.0)</v>
      </c>
      <c r="B143" s="3" t="inlineStr">
        <is>
          <t>Central Trial Documents</t>
        </is>
      </c>
      <c r="C143" s="3" t="inlineStr">
        <is>
          <t>Subject Documents</t>
        </is>
      </c>
      <c r="D143" s="3" t="inlineStr">
        <is>
          <t>Advertisements for Subject Recruitment</t>
        </is>
      </c>
      <c r="E143" s="3" t="inlineStr">
        <is>
          <t>Patient Poster Part 2_ENG20_V1.0; 28Feb2024</t>
        </is>
      </c>
      <c r="F143" s="2" t="str">
        <f>HYPERLINK("https://vtmf.veevavault.com/ui/#doc_info/25857281/1/0", "VTMF-20653216")</f>
        <v>VTMF-20653216</v>
      </c>
      <c r="G143" s="3" t="inlineStr">
        <is>
          <t/>
        </is>
      </c>
      <c r="H143" s="3" t="inlineStr">
        <is>
          <t>System</t>
        </is>
      </c>
      <c r="I143" s="3" t="inlineStr">
        <is>
          <t>Nichol Esparza</t>
        </is>
      </c>
      <c r="J143" s="4" t="n">
        <v>45357.041180555556</v>
      </c>
      <c r="K143" s="5" t="n">
        <v>45370.0</v>
      </c>
      <c r="L143" s="5" t="n">
        <v>45350.0</v>
      </c>
      <c r="M143" s="3" t="inlineStr">
        <is>
          <t>Approved</t>
        </is>
      </c>
      <c r="N143" s="3" t="inlineStr">
        <is>
          <t>Available for Distribution, Country Start, Study Start</t>
        </is>
      </c>
      <c r="O143" s="3" t="inlineStr">
        <is>
          <t>42847922MDD3003</t>
        </is>
      </c>
    </row>
    <row r="144">
      <c r="A144" s="2" t="str">
        <f>HYPERLINK("https://vtmf.veevavault.com/ui/#doc_info/24532194/1/0", "42847922MDD3003---Advertisements for Subject Recruitment-28 Jul 2023 (v1.0)")</f>
        <v>42847922MDD3003---Advertisements for Subject Recruitment-28 Jul 2023 (v1.0)</v>
      </c>
      <c r="B144" s="3" t="inlineStr">
        <is>
          <t>Central Trial Documents</t>
        </is>
      </c>
      <c r="C144" s="3" t="inlineStr">
        <is>
          <t>Subject Documents</t>
        </is>
      </c>
      <c r="D144" s="3" t="inlineStr">
        <is>
          <t>Advertisements for Subject Recruitment</t>
        </is>
      </c>
      <c r="E144" s="3" t="inlineStr">
        <is>
          <t>Study Logo_ENG_V1_28Jul2023</t>
        </is>
      </c>
      <c r="F144" s="2" t="str">
        <f>HYPERLINK("https://vtmf.veevavault.com/ui/#doc_info/24532194/1/0", "VTMF-19493901")</f>
        <v>VTMF-19493901</v>
      </c>
      <c r="G144" s="3" t="inlineStr">
        <is>
          <t/>
        </is>
      </c>
      <c r="H144" s="3" t="inlineStr">
        <is>
          <t>System</t>
        </is>
      </c>
      <c r="I144" s="3" t="inlineStr">
        <is>
          <t>Claudia Soi</t>
        </is>
      </c>
      <c r="J144" s="4" t="n">
        <v>45135.66563657407</v>
      </c>
      <c r="K144" s="5" t="n">
        <v>45149.0</v>
      </c>
      <c r="L144" s="5" t="n">
        <v>45135.0</v>
      </c>
      <c r="M144" s="3" t="inlineStr">
        <is>
          <t>Approved</t>
        </is>
      </c>
      <c r="N144" s="3" t="inlineStr">
        <is>
          <t>Available for Distribution, Country Start, Study Start</t>
        </is>
      </c>
      <c r="O144" s="3" t="inlineStr">
        <is>
          <t>42847922MDD3003</t>
        </is>
      </c>
    </row>
    <row r="145">
      <c r="A145" s="2" t="str">
        <f>HYPERLINK("https://vtmf.veevavault.com/ui/#doc_info/26049339/2/0", "42847922MDD3003---Advertisements for Subject Recruitment-28 Mar 2024 (v2.0)")</f>
        <v>42847922MDD3003---Advertisements for Subject Recruitment-28 Mar 2024 (v2.0)</v>
      </c>
      <c r="B145" s="3" t="inlineStr">
        <is>
          <t>Central Trial Documents</t>
        </is>
      </c>
      <c r="C145" s="3" t="inlineStr">
        <is>
          <t>Subject Documents</t>
        </is>
      </c>
      <c r="D145" s="3" t="inlineStr">
        <is>
          <t>Advertisements for Subject Recruitment</t>
        </is>
      </c>
      <c r="E145" s="3" t="inlineStr">
        <is>
          <t>42847922MDD3003_USP03_Patient Flyer_rev2_V1.0</t>
        </is>
      </c>
      <c r="F145" s="2" t="str">
        <f>HYPERLINK("https://vtmf.veevavault.com/ui/#doc_info/26049339/2/0", "VTMF-20823382")</f>
        <v>VTMF-20823382</v>
      </c>
      <c r="G145" s="3" t="inlineStr">
        <is>
          <t/>
        </is>
      </c>
      <c r="H145" s="3" t="inlineStr">
        <is>
          <t>Katelyn Long</t>
        </is>
      </c>
      <c r="I145" s="3" t="inlineStr">
        <is>
          <t>Florencia Alfonso</t>
        </is>
      </c>
      <c r="J145" s="4" t="n">
        <v>45384.94695601852</v>
      </c>
      <c r="K145" s="5" t="n">
        <v>45391.0</v>
      </c>
      <c r="L145" s="5" t="n">
        <v>45379.0</v>
      </c>
      <c r="M145" s="3" t="inlineStr">
        <is>
          <t>Approved</t>
        </is>
      </c>
      <c r="N145" s="3" t="inlineStr">
        <is>
          <t>Available for Distribution, Country Start, Study Start</t>
        </is>
      </c>
      <c r="O145" s="3" t="inlineStr">
        <is>
          <t>42847922MDD3003</t>
        </is>
      </c>
    </row>
    <row r="146">
      <c r="A146" s="2" t="str">
        <f>HYPERLINK("https://vtmf.veevavault.com/ui/#doc_info/26049340/2/0", "42847922MDD3003---Advertisements for Subject Recruitment-28 Mar 2024 (v2.0)")</f>
        <v>42847922MDD3003---Advertisements for Subject Recruitment-28 Mar 2024 (v2.0)</v>
      </c>
      <c r="B146" s="3" t="inlineStr">
        <is>
          <t>Central Trial Documents</t>
        </is>
      </c>
      <c r="C146" s="3" t="inlineStr">
        <is>
          <t>Subject Documents</t>
        </is>
      </c>
      <c r="D146" s="3" t="inlineStr">
        <is>
          <t>Advertisements for Subject Recruitment</t>
        </is>
      </c>
      <c r="E146" s="3" t="inlineStr">
        <is>
          <t>42847922MDD3003_USP04_Patient Brochure_rev3_V1.0</t>
        </is>
      </c>
      <c r="F146" s="2" t="str">
        <f>HYPERLINK("https://vtmf.veevavault.com/ui/#doc_info/26049340/2/0", "VTMF-20823383")</f>
        <v>VTMF-20823383</v>
      </c>
      <c r="G146" s="3" t="inlineStr">
        <is>
          <t/>
        </is>
      </c>
      <c r="H146" s="3" t="inlineStr">
        <is>
          <t>Katelyn Long</t>
        </is>
      </c>
      <c r="I146" s="3" t="inlineStr">
        <is>
          <t>Florencia Alfonso</t>
        </is>
      </c>
      <c r="J146" s="4" t="n">
        <v>45384.94826388889</v>
      </c>
      <c r="K146" s="5" t="n">
        <v>45391.0</v>
      </c>
      <c r="L146" s="5" t="n">
        <v>45379.0</v>
      </c>
      <c r="M146" s="3" t="inlineStr">
        <is>
          <t>Approved</t>
        </is>
      </c>
      <c r="N146" s="3" t="inlineStr">
        <is>
          <t>Available for Distribution, Country Start, Study Start</t>
        </is>
      </c>
      <c r="O146" s="3" t="inlineStr">
        <is>
          <t>42847922MDD3003</t>
        </is>
      </c>
    </row>
    <row r="147">
      <c r="A147" s="2" t="str">
        <f>HYPERLINK("https://vtmf.veevavault.com/ui/#doc_info/26049341/2/0", "42847922MDD3003---Advertisements for Subject Recruitment-28 Mar 2024 (v2.0)")</f>
        <v>42847922MDD3003---Advertisements for Subject Recruitment-28 Mar 2024 (v2.0)</v>
      </c>
      <c r="B147" s="3" t="inlineStr">
        <is>
          <t>Central Trial Documents</t>
        </is>
      </c>
      <c r="C147" s="3" t="inlineStr">
        <is>
          <t>Subject Documents</t>
        </is>
      </c>
      <c r="D147" s="3" t="inlineStr">
        <is>
          <t>Advertisements for Subject Recruitment</t>
        </is>
      </c>
      <c r="E147" s="3" t="inlineStr">
        <is>
          <t>42847922MDD3003_USP02_Patient Poster_rev2_V1.0</t>
        </is>
      </c>
      <c r="F147" s="2" t="str">
        <f>HYPERLINK("https://vtmf.veevavault.com/ui/#doc_info/26049341/2/0", "VTMF-20823384")</f>
        <v>VTMF-20823384</v>
      </c>
      <c r="G147" s="3" t="inlineStr">
        <is>
          <t/>
        </is>
      </c>
      <c r="H147" s="3" t="inlineStr">
        <is>
          <t>Katelyn Long</t>
        </is>
      </c>
      <c r="I147" s="3" t="inlineStr">
        <is>
          <t>Florencia Alfonso</t>
        </is>
      </c>
      <c r="J147" s="4" t="n">
        <v>45384.945543981485</v>
      </c>
      <c r="K147" s="5" t="n">
        <v>45391.0</v>
      </c>
      <c r="L147" s="5" t="n">
        <v>45379.0</v>
      </c>
      <c r="M147" s="3" t="inlineStr">
        <is>
          <t>Approved</t>
        </is>
      </c>
      <c r="N147" s="3" t="inlineStr">
        <is>
          <t>Available for Distribution, Country Start, Study Start</t>
        </is>
      </c>
      <c r="O147" s="3" t="inlineStr">
        <is>
          <t>42847922MDD3003</t>
        </is>
      </c>
    </row>
    <row r="148">
      <c r="A148" s="2" t="str">
        <f>HYPERLINK("https://vtmf.veevavault.com/ui/#doc_info/25549415/2/0", "42847922MDD3003---Advertisements for Subject Recruitment-29 Apr 2024 (v2.0)")</f>
        <v>42847922MDD3003---Advertisements for Subject Recruitment-29 Apr 2024 (v2.0)</v>
      </c>
      <c r="B148" s="3" t="inlineStr">
        <is>
          <t>Central Trial Documents</t>
        </is>
      </c>
      <c r="C148" s="3" t="inlineStr">
        <is>
          <t>Subject Documents</t>
        </is>
      </c>
      <c r="D148" s="3" t="inlineStr">
        <is>
          <t>Advertisements for Subject Recruitment</t>
        </is>
      </c>
      <c r="E148" s="3" t="inlineStr">
        <is>
          <t>Modified Poster Concept_ENG01_V1.0</t>
        </is>
      </c>
      <c r="F148" s="2" t="str">
        <f>HYPERLINK("https://vtmf.veevavault.com/ui/#doc_info/25549415/2/0", "VTMF-20382400")</f>
        <v>VTMF-20382400</v>
      </c>
      <c r="G148" s="3" t="inlineStr">
        <is>
          <t/>
        </is>
      </c>
      <c r="H148" s="3" t="inlineStr">
        <is>
          <t>System</t>
        </is>
      </c>
      <c r="I148" s="3" t="inlineStr">
        <is>
          <t>Adam McKain</t>
        </is>
      </c>
      <c r="J148" s="4" t="n">
        <v>45414.89494212963</v>
      </c>
      <c r="K148" s="5" t="n">
        <v>45419.0</v>
      </c>
      <c r="L148" s="5" t="n">
        <v>45411.0</v>
      </c>
      <c r="M148" s="3" t="inlineStr">
        <is>
          <t>Approved</t>
        </is>
      </c>
      <c r="N148" s="3" t="inlineStr">
        <is>
          <t>Available for Distribution, Country Start, Study Start</t>
        </is>
      </c>
      <c r="O148" s="3" t="inlineStr">
        <is>
          <t>42847922MDD3003</t>
        </is>
      </c>
    </row>
    <row r="149">
      <c r="A149" s="2" t="str">
        <f>HYPERLINK("https://vtmf.veevavault.com/ui/#doc_info/27327884/5/0", "42847922MDD3003---Annotated CRF-26 Feb 2026 (v5.0)")</f>
        <v>42847922MDD3003---Annotated CRF-26 Feb 2026 (v5.0)</v>
      </c>
      <c r="B149" s="3" t="inlineStr">
        <is>
          <t>Data Management</t>
        </is>
      </c>
      <c r="C149" s="3" t="inlineStr">
        <is>
          <t>Data Capture</t>
        </is>
      </c>
      <c r="D149" s="3" t="inlineStr">
        <is>
          <t>Annotated CRF</t>
        </is>
      </c>
      <c r="E149" s="3" t="inlineStr">
        <is>
          <t>42847922MDD3003_AnnotatedSDTM_aCRF_V5.0_20260226</t>
        </is>
      </c>
      <c r="F149" s="2" t="str">
        <f>HYPERLINK("https://vtmf.veevavault.com/ui/#doc_info/27327884/5/0", "VTMF-21920466")</f>
        <v>VTMF-21920466</v>
      </c>
      <c r="G149" s="3" t="inlineStr">
        <is>
          <t/>
        </is>
      </c>
      <c r="H149" s="3" t="inlineStr">
        <is>
          <t>System</t>
        </is>
      </c>
      <c r="I149" s="3" t="inlineStr">
        <is>
          <t>Kartiki Singh</t>
        </is>
      </c>
      <c r="J149" s="4" t="n">
        <v>46079.77055555556</v>
      </c>
      <c r="K149" s="5" t="n">
        <v>46080.0</v>
      </c>
      <c r="L149" s="5" t="n">
        <v>46079.0</v>
      </c>
      <c r="M149" s="3" t="inlineStr">
        <is>
          <t>Approved</t>
        </is>
      </c>
      <c r="N149" s="3" t="inlineStr">
        <is>
          <t>Study Start</t>
        </is>
      </c>
      <c r="O149" s="3" t="inlineStr">
        <is>
          <t>42847922MDD3003</t>
        </is>
      </c>
    </row>
    <row r="150">
      <c r="A150" s="2" t="str">
        <f>HYPERLINK("https://vtmf.veevavault.com/ui/#doc_info/27304023/1/0", "42847922MDD3003---Approval for Database Activation-18 Oct 2024 (v1.0)")</f>
        <v>42847922MDD3003---Approval for Database Activation-18 Oct 2024 (v1.0)</v>
      </c>
      <c r="B150" s="3" t="inlineStr">
        <is>
          <t>Data Management</t>
        </is>
      </c>
      <c r="C150" s="3" t="inlineStr">
        <is>
          <t>Database</t>
        </is>
      </c>
      <c r="D150" s="3" t="inlineStr">
        <is>
          <t>Approval for Database Activation</t>
        </is>
      </c>
      <c r="E150" s="3" t="inlineStr">
        <is>
          <t>Clario_Sample_Approval_ECG test transfer- 18Oct2024</t>
        </is>
      </c>
      <c r="F150" s="2" t="str">
        <f>HYPERLINK("https://vtmf.veevavault.com/ui/#doc_info/27304023/1/0", "VTMF-21900492")</f>
        <v>VTMF-21900492</v>
      </c>
      <c r="G150" s="3" t="inlineStr">
        <is>
          <t/>
        </is>
      </c>
      <c r="H150" s="3" t="inlineStr">
        <is>
          <t>Anthony Suarez (veeva.com)</t>
        </is>
      </c>
      <c r="I150" s="3" t="inlineStr">
        <is>
          <t>JAMES SHARP</t>
        </is>
      </c>
      <c r="J150" s="4" t="n">
        <v>45586.869722222225</v>
      </c>
      <c r="K150" s="5" t="n">
        <v>45587.0</v>
      </c>
      <c r="L150" s="5" t="n">
        <v>45583.0</v>
      </c>
      <c r="M150" s="3" t="inlineStr">
        <is>
          <t>Approved</t>
        </is>
      </c>
      <c r="N150" s="3" t="inlineStr">
        <is>
          <t>Study Start</t>
        </is>
      </c>
      <c r="O150" s="3" t="inlineStr">
        <is>
          <t>42847922MDD3003</t>
        </is>
      </c>
    </row>
    <row r="151">
      <c r="A151" s="2" t="str">
        <f>HYPERLINK("https://vtmf.veevavault.com/ui/#doc_info/30559532/1/0", "42847922MDD3003---Build Release Memo-05 Dec 2025 (v1.0)")</f>
        <v>42847922MDD3003---Build Release Memo-05 Dec 2025 (v1.0)</v>
      </c>
      <c r="B151" s="3" t="inlineStr">
        <is>
          <t>Data Management</t>
        </is>
      </c>
      <c r="C151" s="3" t="inlineStr">
        <is>
          <t>General</t>
        </is>
      </c>
      <c r="D151" s="3" t="inlineStr">
        <is>
          <t>EDC Build Release Memo</t>
        </is>
      </c>
      <c r="E151" s="3" t="inlineStr">
        <is>
          <t>42847922MDD3003_EDC Build Release Memo_PPC</t>
        </is>
      </c>
      <c r="F151" s="2" t="str">
        <f>HYPERLINK("https://vtmf.veevavault.com/ui/#doc_info/30559532/1/0", "VTMF-24621281")</f>
        <v>VTMF-24621281</v>
      </c>
      <c r="G151" s="3" t="inlineStr">
        <is>
          <t/>
        </is>
      </c>
      <c r="H151" s="3" t="inlineStr">
        <is>
          <t>Desiree Heerstrass</t>
        </is>
      </c>
      <c r="I151" s="3" t="inlineStr">
        <is>
          <t>Amrita Trueblood</t>
        </is>
      </c>
      <c r="J151" s="4" t="n">
        <v>45999.835694444446</v>
      </c>
      <c r="K151" s="5" t="n">
        <v>45999.0</v>
      </c>
      <c r="L151" s="5" t="n">
        <v>45996.0</v>
      </c>
      <c r="M151" s="3" t="inlineStr">
        <is>
          <t>Approved</t>
        </is>
      </c>
      <c r="N151" s="3" t="inlineStr">
        <is>
          <t>Study Start</t>
        </is>
      </c>
      <c r="O151" s="3" t="inlineStr">
        <is>
          <t>42847922MDD3003</t>
        </is>
      </c>
    </row>
    <row r="152">
      <c r="A152" s="2" t="str">
        <f>HYPERLINK("https://vtmf.veevavault.com/ui/#doc_info/27530035/1/0", "42847922MDD3003---Build Release Memo-19 Nov 2024 (v1.0)")</f>
        <v>42847922MDD3003---Build Release Memo-19 Nov 2024 (v1.0)</v>
      </c>
      <c r="B152" s="3" t="inlineStr">
        <is>
          <t>Data Management</t>
        </is>
      </c>
      <c r="C152" s="3" t="inlineStr">
        <is>
          <t>General</t>
        </is>
      </c>
      <c r="D152" s="3" t="inlineStr">
        <is>
          <t>EDC Build Release Memo</t>
        </is>
      </c>
      <c r="E152" s="3" t="inlineStr">
        <is>
          <t>42847922MDD3003_eCRF System Release Memo_v3922_19Nov24</t>
        </is>
      </c>
      <c r="F152" s="2" t="str">
        <f>HYPERLINK("https://vtmf.veevavault.com/ui/#doc_info/27530035/1/0", "VTMF-22082072")</f>
        <v>VTMF-22082072</v>
      </c>
      <c r="G152" s="3" t="inlineStr">
        <is>
          <t/>
        </is>
      </c>
      <c r="H152" s="3" t="inlineStr">
        <is>
          <t>Anthony Suarez (veeva.com)</t>
        </is>
      </c>
      <c r="I152" s="3" t="inlineStr">
        <is>
          <t>Amrita Trueblood</t>
        </is>
      </c>
      <c r="J152" s="4" t="n">
        <v>45616.66224537037</v>
      </c>
      <c r="K152" s="5" t="n">
        <v>45616.0</v>
      </c>
      <c r="L152" s="5" t="n">
        <v>45615.0</v>
      </c>
      <c r="M152" s="3" t="inlineStr">
        <is>
          <t>Approved</t>
        </is>
      </c>
      <c r="N152" s="3" t="inlineStr">
        <is>
          <t>Study Start</t>
        </is>
      </c>
      <c r="O152" s="3" t="inlineStr">
        <is>
          <t>42847922MDD3003</t>
        </is>
      </c>
    </row>
    <row r="153">
      <c r="A153" s="2" t="str">
        <f>HYPERLINK("https://vtmf.veevavault.com/ui/#doc_info/29805919/1/0", "42847922MDD3003---Build Release Memo-21 Aug 2025 (v1.0)")</f>
        <v>42847922MDD3003---Build Release Memo-21 Aug 2025 (v1.0)</v>
      </c>
      <c r="B153" s="3" t="inlineStr">
        <is>
          <t>Data Management</t>
        </is>
      </c>
      <c r="C153" s="3" t="inlineStr">
        <is>
          <t>General</t>
        </is>
      </c>
      <c r="D153" s="3" t="inlineStr">
        <is>
          <t>EDC Build Release Memo</t>
        </is>
      </c>
      <c r="E153" s="3" t="inlineStr">
        <is>
          <t>42847922MDD3003 EDC Build Release Memo - Post-Production Changes_v5125</t>
        </is>
      </c>
      <c r="F153" s="2" t="str">
        <f>HYPERLINK("https://vtmf.veevavault.com/ui/#doc_info/29805919/1/0", "VTMF-23986605")</f>
        <v>VTMF-23986605</v>
      </c>
      <c r="G153" s="3" t="inlineStr">
        <is>
          <t/>
        </is>
      </c>
      <c r="H153" s="3" t="inlineStr">
        <is>
          <t>Desiree Heerstrass</t>
        </is>
      </c>
      <c r="I153" s="3" t="inlineStr">
        <is>
          <t>Amrita Trueblood</t>
        </is>
      </c>
      <c r="J153" s="4" t="n">
        <v>45890.82871527778</v>
      </c>
      <c r="K153" s="5" t="n">
        <v>45890.0</v>
      </c>
      <c r="L153" s="5" t="n">
        <v>45890.0</v>
      </c>
      <c r="M153" s="3" t="inlineStr">
        <is>
          <t>Approved</t>
        </is>
      </c>
      <c r="N153" s="3" t="inlineStr">
        <is>
          <t>Study Start</t>
        </is>
      </c>
      <c r="O153" s="3" t="inlineStr">
        <is>
          <t>42847922MDD3003</t>
        </is>
      </c>
    </row>
    <row r="154">
      <c r="A154" s="2" t="str">
        <f>HYPERLINK("https://vtmf.veevavault.com/ui/#doc_info/28943902/1/0", "42847922MDD3003---Build Release Memo-22 Apr 2025 (v1.0)")</f>
        <v>42847922MDD3003---Build Release Memo-22 Apr 2025 (v1.0)</v>
      </c>
      <c r="B154" s="3" t="inlineStr">
        <is>
          <t>Data Management</t>
        </is>
      </c>
      <c r="C154" s="3" t="inlineStr">
        <is>
          <t>General</t>
        </is>
      </c>
      <c r="D154" s="3" t="inlineStr">
        <is>
          <t>EDC Build Release Memo</t>
        </is>
      </c>
      <c r="E154" s="3" t="inlineStr">
        <is>
          <t>42847922MDD3003_EDC Build Release Memo_v4487_22Apr2025</t>
        </is>
      </c>
      <c r="F154" s="2" t="str">
        <f>HYPERLINK("https://vtmf.veevavault.com/ui/#doc_info/28943902/1/0", "VTMF-23259158")</f>
        <v>VTMF-23259158</v>
      </c>
      <c r="G154" s="3" t="inlineStr">
        <is>
          <t/>
        </is>
      </c>
      <c r="H154" s="3" t="inlineStr">
        <is>
          <t>Anthony Suarez (veeva.com)</t>
        </is>
      </c>
      <c r="I154" s="3" t="inlineStr">
        <is>
          <t>Amrita Trueblood</t>
        </is>
      </c>
      <c r="J154" s="4" t="n">
        <v>45769.87564814815</v>
      </c>
      <c r="K154" s="5" t="n">
        <v>45769.0</v>
      </c>
      <c r="L154" s="5" t="n">
        <v>45769.0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42847922MDD3003</t>
        </is>
      </c>
    </row>
    <row r="155">
      <c r="A155" s="2" t="str">
        <f>HYPERLINK("https://vtmf.veevavault.com/ui/#doc_info/26757995/1/0", "42847922MDD3003---Build Release Memo-23 Jul 2024 (v1.0)")</f>
        <v>42847922MDD3003---Build Release Memo-23 Jul 2024 (v1.0)</v>
      </c>
      <c r="B155" s="3" t="inlineStr">
        <is>
          <t>Data Management</t>
        </is>
      </c>
      <c r="C155" s="3" t="inlineStr">
        <is>
          <t>General</t>
        </is>
      </c>
      <c r="D155" s="3" t="inlineStr">
        <is>
          <t>EDC Build Release Memo</t>
        </is>
      </c>
      <c r="E155" s="3" t="inlineStr">
        <is>
          <t>42847922MDD3003 EDC Build Release Memo - Initial Release (GO-LIVE) v3590</t>
        </is>
      </c>
      <c r="F155" s="2" t="str">
        <f>HYPERLINK("https://vtmf.veevavault.com/ui/#doc_info/26757995/1/0", "VTMF-21442802")</f>
        <v>VTMF-21442802</v>
      </c>
      <c r="G155" s="3" t="inlineStr">
        <is>
          <t/>
        </is>
      </c>
      <c r="H155" s="3" t="inlineStr">
        <is>
          <t>Anthony Suarez (veeva.com)</t>
        </is>
      </c>
      <c r="I155" s="3" t="inlineStr">
        <is>
          <t>Amrita Trueblood</t>
        </is>
      </c>
      <c r="J155" s="4" t="n">
        <v>45497.00157407407</v>
      </c>
      <c r="K155" s="5" t="n">
        <v>45496.0</v>
      </c>
      <c r="L155" s="5" t="n">
        <v>45496.0</v>
      </c>
      <c r="M155" s="3" t="inlineStr">
        <is>
          <t>Approved</t>
        </is>
      </c>
      <c r="N155" s="3" t="inlineStr">
        <is>
          <t>Study Start</t>
        </is>
      </c>
      <c r="O155" s="3" t="inlineStr">
        <is>
          <t>42847922MDD3003</t>
        </is>
      </c>
    </row>
    <row r="156">
      <c r="A156" s="2" t="str">
        <f>HYPERLINK("https://vtmf.veevavault.com/ui/#doc_info/31263097/1/0", "42847922MDD3003---Build Release Memo-24 Mar 2026 (v1.0)")</f>
        <v>42847922MDD3003---Build Release Memo-24 Mar 2026 (v1.0)</v>
      </c>
      <c r="B156" s="3" t="inlineStr">
        <is>
          <t>Data Management</t>
        </is>
      </c>
      <c r="C156" s="3" t="inlineStr">
        <is>
          <t>General</t>
        </is>
      </c>
      <c r="D156" s="3" t="inlineStr">
        <is>
          <t>EDC Build Release Memo</t>
        </is>
      </c>
      <c r="E156" s="3" t="inlineStr">
        <is>
          <t>42847922MDD3003_eCRF System Release Memo_v5990_24Mar2026</t>
        </is>
      </c>
      <c r="F156" s="2" t="str">
        <f>HYPERLINK("https://vtmf.veevavault.com/ui/#doc_info/31263097/1/0", "VTMF-25212607")</f>
        <v>VTMF-25212607</v>
      </c>
      <c r="G156" s="3" t="inlineStr">
        <is>
          <t/>
        </is>
      </c>
      <c r="H156" s="3" t="inlineStr">
        <is>
          <t>System</t>
        </is>
      </c>
      <c r="I156" s="3" t="inlineStr">
        <is>
          <t>Amrita Trueblood</t>
        </is>
      </c>
      <c r="J156" s="4" t="n">
        <v>46105.640497685185</v>
      </c>
      <c r="K156" s="5" t="n">
        <v>46150.0</v>
      </c>
      <c r="L156" s="5" t="n">
        <v>46105.0</v>
      </c>
      <c r="M156" s="3" t="inlineStr">
        <is>
          <t>Approved</t>
        </is>
      </c>
      <c r="N156" s="3" t="inlineStr">
        <is>
          <t>Study Start</t>
        </is>
      </c>
      <c r="O156" s="3" t="inlineStr">
        <is>
          <t>42847922MDD3003</t>
        </is>
      </c>
    </row>
    <row r="157">
      <c r="A157" s="2" t="str">
        <f>HYPERLINK("https://vtmf.veevavault.com/ui/#doc_info/28341738/1/0", "42847922MDD3003---CAPA/Incident Report Form-10 Feb 2025 (v1.0)")</f>
        <v>42847922MDD3003---CAPA/Incident Report Form-10 Feb 2025 (v1.0)</v>
      </c>
      <c r="B157" s="3" t="inlineStr">
        <is>
          <t>IP and Trial Supplies</t>
        </is>
      </c>
      <c r="C157" s="3" t="inlineStr">
        <is>
          <t>Interactive Response Technology</t>
        </is>
      </c>
      <c r="D157" s="3" t="inlineStr">
        <is>
          <t>CAPA/Incident Report Form</t>
        </is>
      </c>
      <c r="E157" s="3" t="inlineStr">
        <is>
          <t>Incident_744_10Feb2025</t>
        </is>
      </c>
      <c r="F157" s="2" t="str">
        <f>HYPERLINK("https://vtmf.veevavault.com/ui/#doc_info/28341738/1/0", "VTMF-22738743")</f>
        <v>VTMF-22738743</v>
      </c>
      <c r="G157" s="3" t="inlineStr">
        <is>
          <t/>
        </is>
      </c>
      <c r="H157" s="3" t="inlineStr">
        <is>
          <t>Jessica Houseman</t>
        </is>
      </c>
      <c r="I157" s="3" t="inlineStr">
        <is>
          <t>Joseph Kinder</t>
        </is>
      </c>
      <c r="J157" s="4" t="n">
        <v>45708.773252314815</v>
      </c>
      <c r="K157" s="5" t="n">
        <v>45708.0</v>
      </c>
      <c r="L157" s="5" t="n">
        <v>45698.0</v>
      </c>
      <c r="M157" s="3" t="inlineStr">
        <is>
          <t>Approved</t>
        </is>
      </c>
      <c r="N157" s="3" t="inlineStr">
        <is>
          <t>Not associated to a milestone</t>
        </is>
      </c>
      <c r="O157" s="3" t="inlineStr">
        <is>
          <t>42847922MDD3003</t>
        </is>
      </c>
    </row>
    <row r="158">
      <c r="A158" s="2" t="str">
        <f>HYPERLINK("https://vtmf.veevavault.com/ui/#doc_info/27478892/1/0", "42847922MDD3003---CAPA/Incident Report Form-12 Nov 2024 (v1.0)")</f>
        <v>42847922MDD3003---CAPA/Incident Report Form-12 Nov 2024 (v1.0)</v>
      </c>
      <c r="B158" s="3" t="inlineStr">
        <is>
          <t>IP and Trial Supplies</t>
        </is>
      </c>
      <c r="C158" s="3" t="inlineStr">
        <is>
          <t>Interactive Response Technology</t>
        </is>
      </c>
      <c r="D158" s="3" t="inlineStr">
        <is>
          <t>CAPA/Incident Report Form</t>
        </is>
      </c>
      <c r="E158" s="3" t="inlineStr">
        <is>
          <t>Incident_613_12Nov2024</t>
        </is>
      </c>
      <c r="F158" s="2" t="str">
        <f>HYPERLINK("https://vtmf.veevavault.com/ui/#doc_info/27478892/1/0", "VTMF-22038788")</f>
        <v>VTMF-22038788</v>
      </c>
      <c r="G158" s="3" t="inlineStr">
        <is>
          <t/>
        </is>
      </c>
      <c r="H158" s="3" t="inlineStr">
        <is>
          <t>Jessica Houseman</t>
        </is>
      </c>
      <c r="I158" s="3" t="inlineStr">
        <is>
          <t>Joseph Kinder</t>
        </is>
      </c>
      <c r="J158" s="4" t="n">
        <v>45609.8146875</v>
      </c>
      <c r="K158" s="5" t="n">
        <v>45609.0</v>
      </c>
      <c r="L158" s="5" t="n">
        <v>45608.0</v>
      </c>
      <c r="M158" s="3" t="inlineStr">
        <is>
          <t>Approved</t>
        </is>
      </c>
      <c r="N158" s="3" t="inlineStr">
        <is>
          <t>Not associated to a milestone</t>
        </is>
      </c>
      <c r="O158" s="3" t="inlineStr">
        <is>
          <t>42847922MDD3003</t>
        </is>
      </c>
    </row>
    <row r="159">
      <c r="A159" s="2" t="str">
        <f>HYPERLINK("https://vtmf.veevavault.com/ui/#doc_info/26969806/1/0", "42847922MDD3003---Certification or Accreditation-02 Oct 2014- (v1.0)")</f>
        <v>42847922MDD3003---Certification or Accreditation-02 Oct 2014- (v1.0)</v>
      </c>
      <c r="B159" s="3" t="inlineStr">
        <is>
          <t>Centralized Testing</t>
        </is>
      </c>
      <c r="C159" s="3" t="inlineStr">
        <is>
          <t>Facility Documentation</t>
        </is>
      </c>
      <c r="D159" s="3" t="inlineStr">
        <is>
          <t>Certification or Accreditation</t>
        </is>
      </c>
      <c r="E159" s="3" t="inlineStr">
        <is>
          <t>CRL Montreal 2013 GLP Certificate SCC (Sherbrooke Senneville) 02Oct2014</t>
        </is>
      </c>
      <c r="F159" s="2" t="str">
        <f>HYPERLINK("https://vtmf.veevavault.com/ui/#doc_info/26969806/1/0", "VTMF-21620603")</f>
        <v>VTMF-21620603</v>
      </c>
      <c r="G159" s="3" t="inlineStr">
        <is>
          <t/>
        </is>
      </c>
      <c r="H159" s="3" t="inlineStr">
        <is>
          <t>Anthony Suarez (veeva.com)</t>
        </is>
      </c>
      <c r="I159" s="3" t="inlineStr">
        <is>
          <t>Gina Stefanelli</t>
        </is>
      </c>
      <c r="J159" s="4" t="n">
        <v>45532.81390046296</v>
      </c>
      <c r="K159" s="5" t="n">
        <v>45532.0</v>
      </c>
      <c r="L159" s="5" t="n">
        <v>41914.0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42847922MDD3003</t>
        </is>
      </c>
    </row>
    <row r="160">
      <c r="A160" s="2" t="str">
        <f>HYPERLINK("https://vtmf.veevavault.com/ui/#doc_info/26969831/1/0", "42847922MDD3003---Certification or Accreditation-02 Oct 2014- (v1.0)")</f>
        <v>42847922MDD3003---Certification or Accreditation-02 Oct 2014- (v1.0)</v>
      </c>
      <c r="B160" s="3" t="inlineStr">
        <is>
          <t>Centralized Testing</t>
        </is>
      </c>
      <c r="C160" s="3" t="inlineStr">
        <is>
          <t>Facility Documentation</t>
        </is>
      </c>
      <c r="D160" s="3" t="inlineStr">
        <is>
          <t>Certification or Accreditation</t>
        </is>
      </c>
      <c r="E160" s="3" t="inlineStr">
        <is>
          <t>CRL Montreal 2014 GLP Certificate SCC.02 oct 2014</t>
        </is>
      </c>
      <c r="F160" s="2" t="str">
        <f>HYPERLINK("https://vtmf.veevavault.com/ui/#doc_info/26969831/1/0", "VTMF-21620648")</f>
        <v>VTMF-21620648</v>
      </c>
      <c r="G160" s="3" t="inlineStr">
        <is>
          <t/>
        </is>
      </c>
      <c r="H160" s="3" t="inlineStr">
        <is>
          <t>Anthony Suarez (veeva.com)</t>
        </is>
      </c>
      <c r="I160" s="3" t="inlineStr">
        <is>
          <t>Gina Stefanelli</t>
        </is>
      </c>
      <c r="J160" s="4" t="n">
        <v>45532.81851851852</v>
      </c>
      <c r="K160" s="5" t="n">
        <v>45532.0</v>
      </c>
      <c r="L160" s="5" t="n">
        <v>41914.0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42847922MDD3003</t>
        </is>
      </c>
    </row>
    <row r="161">
      <c r="A161" s="2" t="str">
        <f>HYPERLINK("https://vtmf.veevavault.com/ui/#doc_info/26969392/1/0", "42847922MDD3003---Certification or Accreditation-08 Sep 2015- (v1.0)")</f>
        <v>42847922MDD3003---Certification or Accreditation-08 Sep 2015- (v1.0)</v>
      </c>
      <c r="B161" s="3" t="inlineStr">
        <is>
          <t>Centralized Testing</t>
        </is>
      </c>
      <c r="C161" s="3" t="inlineStr">
        <is>
          <t>Facility Documentation</t>
        </is>
      </c>
      <c r="D161" s="3" t="inlineStr">
        <is>
          <t>Certification or Accreditation</t>
        </is>
      </c>
      <c r="E161" s="3" t="inlineStr">
        <is>
          <t>Aptuit_Verona_GLP_Certificate_08Sep2015.</t>
        </is>
      </c>
      <c r="F161" s="2" t="str">
        <f>HYPERLINK("https://vtmf.veevavault.com/ui/#doc_info/26969392/1/0", "VTMF-21620387")</f>
        <v>VTMF-21620387</v>
      </c>
      <c r="G161" s="3" t="inlineStr">
        <is>
          <t/>
        </is>
      </c>
      <c r="H161" s="3" t="inlineStr">
        <is>
          <t>Anthony Suarez (veeva.com)</t>
        </is>
      </c>
      <c r="I161" s="3" t="inlineStr">
        <is>
          <t>Gina Stefanelli</t>
        </is>
      </c>
      <c r="J161" s="4" t="n">
        <v>45532.78219907408</v>
      </c>
      <c r="K161" s="5" t="n">
        <v>45532.0</v>
      </c>
      <c r="L161" s="5" t="n">
        <v>42255.0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42847922MDD3003</t>
        </is>
      </c>
    </row>
    <row r="162">
      <c r="A162" s="2" t="str">
        <f>HYPERLINK("https://vtmf.veevavault.com/ui/#doc_info/26969845/1/0", "42847922MDD3003---Certification or Accreditation-14 Sep 2016- (v1.0)")</f>
        <v>42847922MDD3003---Certification or Accreditation-14 Sep 2016- (v1.0)</v>
      </c>
      <c r="B162" s="3" t="inlineStr">
        <is>
          <t>Centralized Testing</t>
        </is>
      </c>
      <c r="C162" s="3" t="inlineStr">
        <is>
          <t>Facility Documentation</t>
        </is>
      </c>
      <c r="D162" s="3" t="inlineStr">
        <is>
          <t>Certification or Accreditation</t>
        </is>
      </c>
      <c r="E162" s="3" t="inlineStr">
        <is>
          <t>CRL Montreal 2016 GLP Certificate SCC 14Sept2016</t>
        </is>
      </c>
      <c r="F162" s="2" t="str">
        <f>HYPERLINK("https://vtmf.veevavault.com/ui/#doc_info/26969845/1/0", "VTMF-21620686")</f>
        <v>VTMF-21620686</v>
      </c>
      <c r="G162" s="3" t="inlineStr">
        <is>
          <t/>
        </is>
      </c>
      <c r="H162" s="3" t="inlineStr">
        <is>
          <t>Anthony Suarez (veeva.com)</t>
        </is>
      </c>
      <c r="I162" s="3" t="inlineStr">
        <is>
          <t>Gina Stefanelli</t>
        </is>
      </c>
      <c r="J162" s="4" t="n">
        <v>45532.82763888889</v>
      </c>
      <c r="K162" s="5" t="n">
        <v>45532.0</v>
      </c>
      <c r="L162" s="5" t="n">
        <v>42627.0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42847922MDD3003</t>
        </is>
      </c>
    </row>
    <row r="163">
      <c r="A163" s="2" t="str">
        <f>HYPERLINK("https://vtmf.veevavault.com/ui/#doc_info/26969850/1/0", "42847922MDD3003---Certification or Accreditation-18 Feb 2020- (v1.0)")</f>
        <v>42847922MDD3003---Certification or Accreditation-18 Feb 2020- (v1.0)</v>
      </c>
      <c r="B163" s="3" t="inlineStr">
        <is>
          <t>Centralized Testing</t>
        </is>
      </c>
      <c r="C163" s="3" t="inlineStr">
        <is>
          <t>Facility Documentation</t>
        </is>
      </c>
      <c r="D163" s="3" t="inlineStr">
        <is>
          <t>Certification or Accreditation</t>
        </is>
      </c>
      <c r="E163" s="3" t="inlineStr">
        <is>
          <t>CRL Montreal 2019 GLP certificate SCC (Sherbrook) 18Feb2020</t>
        </is>
      </c>
      <c r="F163" s="2" t="str">
        <f>HYPERLINK("https://vtmf.veevavault.com/ui/#doc_info/26969850/1/0", "VTMF-21620697")</f>
        <v>VTMF-21620697</v>
      </c>
      <c r="G163" s="3" t="inlineStr">
        <is>
          <t/>
        </is>
      </c>
      <c r="H163" s="3" t="inlineStr">
        <is>
          <t>Anthony Suarez (veeva.com)</t>
        </is>
      </c>
      <c r="I163" s="3" t="inlineStr">
        <is>
          <t>Gina Stefanelli</t>
        </is>
      </c>
      <c r="J163" s="4" t="n">
        <v>45532.83027777778</v>
      </c>
      <c r="K163" s="5" t="n">
        <v>45532.0</v>
      </c>
      <c r="L163" s="5" t="n">
        <v>43879.0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42847922MDD3003</t>
        </is>
      </c>
    </row>
    <row r="164">
      <c r="A164" s="2" t="str">
        <f>HYPERLINK("https://vtmf.veevavault.com/ui/#doc_info/26969397/1/0", "42847922MDD3003---Certification or Accreditation-31 Jul 2017- (v1.0)")</f>
        <v>42847922MDD3003---Certification or Accreditation-31 Jul 2017- (v1.0)</v>
      </c>
      <c r="B164" s="3" t="inlineStr">
        <is>
          <t>Centralized Testing</t>
        </is>
      </c>
      <c r="C164" s="3" t="inlineStr">
        <is>
          <t>Facility Documentation</t>
        </is>
      </c>
      <c r="D164" s="3" t="inlineStr">
        <is>
          <t>Certification or Accreditation</t>
        </is>
      </c>
      <c r="E164" s="3" t="inlineStr">
        <is>
          <t>Aptuit_Verona_GLP_Certificate_31Jul2017</t>
        </is>
      </c>
      <c r="F164" s="2" t="str">
        <f>HYPERLINK("https://vtmf.veevavault.com/ui/#doc_info/26969397/1/0", "VTMF-21620395")</f>
        <v>VTMF-21620395</v>
      </c>
      <c r="G164" s="3" t="inlineStr">
        <is>
          <t/>
        </is>
      </c>
      <c r="H164" s="3" t="inlineStr">
        <is>
          <t>Anthony Suarez (veeva.com)</t>
        </is>
      </c>
      <c r="I164" s="3" t="inlineStr">
        <is>
          <t>Gina Stefanelli</t>
        </is>
      </c>
      <c r="J164" s="4" t="n">
        <v>45532.78357638889</v>
      </c>
      <c r="K164" s="5" t="n">
        <v>45532.0</v>
      </c>
      <c r="L164" s="5" t="n">
        <v>42947.0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42847922MDD3003</t>
        </is>
      </c>
    </row>
    <row r="165">
      <c r="A165" s="2" t="str">
        <f>HYPERLINK("https://vtmf.veevavault.com/ui/#doc_info/27107695/1/0", "42847922MDD3003---Clinical Trial Agreement-19 Sep 2024 (v1.0)")</f>
        <v>42847922MDD3003---Clinical Trial Agreement-19 Sep 2024 (v1.0)</v>
      </c>
      <c r="B165" s="3" t="inlineStr">
        <is>
          <t>Site Management</t>
        </is>
      </c>
      <c r="C165" s="3" t="inlineStr">
        <is>
          <t>Site Set-up Documentation</t>
        </is>
      </c>
      <c r="D165" s="3" t="inlineStr">
        <is>
          <t>Clinical Trial Agreement</t>
        </is>
      </c>
      <c r="E165" s="3" t="inlineStr">
        <is>
          <t>42847922MDD3003 -- Clinical Trial Agreements filed in ICD</t>
        </is>
      </c>
      <c r="F165" s="2" t="str">
        <f>HYPERLINK("https://vtmf.veevavault.com/ui/#doc_info/27107695/1/0", "VTMF-21730774")</f>
        <v>VTMF-21730774</v>
      </c>
      <c r="G165" s="3" t="inlineStr">
        <is>
          <t>International Contract Database (ICD)</t>
        </is>
      </c>
      <c r="H165" s="3" t="inlineStr">
        <is>
          <t>Anthony Suarez (veeva.com)</t>
        </is>
      </c>
      <c r="I165" s="3" t="inlineStr">
        <is>
          <t>Dana Cappiccille</t>
        </is>
      </c>
      <c r="J165" s="4" t="n">
        <v>45554.766689814816</v>
      </c>
      <c r="K165" s="5" t="n">
        <v>45554.0</v>
      </c>
      <c r="L165" s="5" t="n">
        <v>45554.0</v>
      </c>
      <c r="M165" s="3" t="inlineStr">
        <is>
          <t>Approved</t>
        </is>
      </c>
      <c r="N165" s="3" t="inlineStr">
        <is>
          <t>Available for Distribution, Site Start</t>
        </is>
      </c>
      <c r="O165" s="3" t="inlineStr">
        <is>
          <t>42847922MDD3003</t>
        </is>
      </c>
    </row>
    <row r="166">
      <c r="A166" s="2" t="str">
        <f>HYPERLINK("https://vtmf.veevavault.com/ui/#doc_info/26407733/1/0", "42847922MDD3003---Committee Member Confidentiality Disclosure Agreement-28 May 2024 (v1.0)")</f>
        <v>42847922MDD3003---Committee Member Confidentiality Disclosure Agreement-28 May 2024 (v1.0)</v>
      </c>
      <c r="B166" s="3" t="inlineStr">
        <is>
          <t>Trial Management</t>
        </is>
      </c>
      <c r="C166" s="3" t="inlineStr">
        <is>
          <t>Trial Committee</t>
        </is>
      </c>
      <c r="D166" s="3" t="inlineStr">
        <is>
          <t>Committee Member Confidentiality Disclosure Agreement</t>
        </is>
      </c>
      <c r="E166" s="3" t="inlineStr">
        <is>
          <t>Confidentiality Disclosure Agreement</t>
        </is>
      </c>
      <c r="F166" s="2" t="str">
        <f>HYPERLINK("https://vtmf.veevavault.com/ui/#doc_info/26407733/1/0", "VTMF-21135723")</f>
        <v>VTMF-21135723</v>
      </c>
      <c r="G166" s="3" t="inlineStr">
        <is>
          <t/>
        </is>
      </c>
      <c r="H166" s="3" t="inlineStr">
        <is>
          <t>System</t>
        </is>
      </c>
      <c r="I166" s="3" t="inlineStr">
        <is>
          <t>Yun Zhang</t>
        </is>
      </c>
      <c r="J166" s="4" t="n">
        <v>45440.700208333335</v>
      </c>
      <c r="K166" s="5" t="n">
        <v>45440.0</v>
      </c>
      <c r="L166" s="5" t="n">
        <v>45440.0</v>
      </c>
      <c r="M166" s="3" t="inlineStr">
        <is>
          <t>Approved</t>
        </is>
      </c>
      <c r="N166" s="3" t="inlineStr">
        <is>
          <t/>
        </is>
      </c>
      <c r="O166" s="3" t="inlineStr">
        <is>
          <t>42847922MDD3003</t>
        </is>
      </c>
    </row>
    <row r="167">
      <c r="A167" s="2" t="str">
        <f>HYPERLINK("https://vtmf.veevavault.com/ui/#doc_info/26407807/1/0", "42847922MDD3003---Committee Member Confidentiality Disclosure Agreement-28 May 2024 (v1.0)")</f>
        <v>42847922MDD3003---Committee Member Confidentiality Disclosure Agreement-28 May 2024 (v1.0)</v>
      </c>
      <c r="B167" s="3" t="inlineStr">
        <is>
          <t>Trial Management</t>
        </is>
      </c>
      <c r="C167" s="3" t="inlineStr">
        <is>
          <t>Trial Committee</t>
        </is>
      </c>
      <c r="D167" s="3" t="inlineStr">
        <is>
          <t>Committee Member Confidentiality Disclosure Agreement</t>
        </is>
      </c>
      <c r="E167" s="3" t="inlineStr">
        <is>
          <t>Confidentiality Disclosure Agreement</t>
        </is>
      </c>
      <c r="F167" s="2" t="str">
        <f>HYPERLINK("https://vtmf.veevavault.com/ui/#doc_info/26407807/1/0", "VTMF-21135744")</f>
        <v>VTMF-21135744</v>
      </c>
      <c r="G167" s="3" t="inlineStr">
        <is>
          <t/>
        </is>
      </c>
      <c r="H167" s="3" t="inlineStr">
        <is>
          <t>System</t>
        </is>
      </c>
      <c r="I167" s="3" t="inlineStr">
        <is>
          <t>Yun Zhang</t>
        </is>
      </c>
      <c r="J167" s="4" t="n">
        <v>45440.70243055555</v>
      </c>
      <c r="K167" s="5" t="n">
        <v>45440.0</v>
      </c>
      <c r="L167" s="5" t="n">
        <v>45440.0</v>
      </c>
      <c r="M167" s="3" t="inlineStr">
        <is>
          <t>Approved</t>
        </is>
      </c>
      <c r="N167" s="3" t="inlineStr">
        <is>
          <t/>
        </is>
      </c>
      <c r="O167" s="3" t="inlineStr">
        <is>
          <t>42847922MDD3003</t>
        </is>
      </c>
    </row>
    <row r="168">
      <c r="A168" s="2" t="str">
        <f>HYPERLINK("https://vtmf.veevavault.com/ui/#doc_info/26407824/1/0", "42847922MDD3003---Committee Member Confidentiality Disclosure Agreement-28 May 2024 (v1.0)")</f>
        <v>42847922MDD3003---Committee Member Confidentiality Disclosure Agreement-28 May 2024 (v1.0)</v>
      </c>
      <c r="B168" s="3" t="inlineStr">
        <is>
          <t>Trial Management</t>
        </is>
      </c>
      <c r="C168" s="3" t="inlineStr">
        <is>
          <t>Trial Committee</t>
        </is>
      </c>
      <c r="D168" s="3" t="inlineStr">
        <is>
          <t>Committee Member Confidentiality Disclosure Agreement</t>
        </is>
      </c>
      <c r="E168" s="3" t="inlineStr">
        <is>
          <t>Confidentiality Disclosure Agreement</t>
        </is>
      </c>
      <c r="F168" s="2" t="str">
        <f>HYPERLINK("https://vtmf.veevavault.com/ui/#doc_info/26407824/1/0", "VTMF-21135774")</f>
        <v>VTMF-21135774</v>
      </c>
      <c r="G168" s="3" t="inlineStr">
        <is>
          <t/>
        </is>
      </c>
      <c r="H168" s="3" t="inlineStr">
        <is>
          <t>System</t>
        </is>
      </c>
      <c r="I168" s="3" t="inlineStr">
        <is>
          <t>Yun Zhang</t>
        </is>
      </c>
      <c r="J168" s="4" t="n">
        <v>45440.70490740741</v>
      </c>
      <c r="K168" s="5" t="n">
        <v>45440.0</v>
      </c>
      <c r="L168" s="5" t="n">
        <v>45440.0</v>
      </c>
      <c r="M168" s="3" t="inlineStr">
        <is>
          <t>Approved</t>
        </is>
      </c>
      <c r="N168" s="3" t="inlineStr">
        <is>
          <t/>
        </is>
      </c>
      <c r="O168" s="3" t="inlineStr">
        <is>
          <t>42847922MDD3003</t>
        </is>
      </c>
    </row>
    <row r="169">
      <c r="A169" s="2" t="str">
        <f>HYPERLINK("https://vtmf.veevavault.com/ui/#doc_info/26407833/1/0", "42847922MDD3003---Committee Member Confidentiality Disclosure Agreement-28 May 2024 (v1.0)")</f>
        <v>42847922MDD3003---Committee Member Confidentiality Disclosure Agreement-28 May 2024 (v1.0)</v>
      </c>
      <c r="B169" s="3" t="inlineStr">
        <is>
          <t>Trial Management</t>
        </is>
      </c>
      <c r="C169" s="3" t="inlineStr">
        <is>
          <t>Trial Committee</t>
        </is>
      </c>
      <c r="D169" s="3" t="inlineStr">
        <is>
          <t>Committee Member Confidentiality Disclosure Agreement</t>
        </is>
      </c>
      <c r="E169" s="3" t="inlineStr">
        <is>
          <t>Confidentiality Disclosure Agreement</t>
        </is>
      </c>
      <c r="F169" s="2" t="str">
        <f>HYPERLINK("https://vtmf.veevavault.com/ui/#doc_info/26407833/1/0", "VTMF-21135804")</f>
        <v>VTMF-21135804</v>
      </c>
      <c r="G169" s="3" t="inlineStr">
        <is>
          <t/>
        </is>
      </c>
      <c r="H169" s="3" t="inlineStr">
        <is>
          <t>System</t>
        </is>
      </c>
      <c r="I169" s="3" t="inlineStr">
        <is>
          <t>Yun Zhang</t>
        </is>
      </c>
      <c r="J169" s="4" t="n">
        <v>45440.70712962963</v>
      </c>
      <c r="K169" s="5" t="n">
        <v>45440.0</v>
      </c>
      <c r="L169" s="5" t="n">
        <v>45440.0</v>
      </c>
      <c r="M169" s="3" t="inlineStr">
        <is>
          <t>Approved</t>
        </is>
      </c>
      <c r="N169" s="3" t="inlineStr">
        <is>
          <t/>
        </is>
      </c>
      <c r="O169" s="3" t="inlineStr">
        <is>
          <t>42847922MDD3003</t>
        </is>
      </c>
    </row>
    <row r="170">
      <c r="A170" s="2" t="str">
        <f>HYPERLINK("https://vtmf.veevavault.com/ui/#doc_info/31629060/1/0", "42847922MDD3003---Committee Member Curriculum Vitae-11 May 2026 (v1.0)")</f>
        <v>42847922MDD3003---Committee Member Curriculum Vitae-11 May 2026 (v1.0)</v>
      </c>
      <c r="B170" s="3" t="inlineStr">
        <is>
          <t>Trial Management</t>
        </is>
      </c>
      <c r="C170" s="3" t="inlineStr">
        <is>
          <t>Trial Committee</t>
        </is>
      </c>
      <c r="D170" s="3" t="inlineStr">
        <is>
          <t>Committee Member Curriculum Vitae</t>
        </is>
      </c>
      <c r="E170" s="3" t="inlineStr">
        <is>
          <t>Updated Craig Nelson IDMC CV</t>
        </is>
      </c>
      <c r="F170" s="2" t="str">
        <f>HYPERLINK("https://vtmf.veevavault.com/ui/#doc_info/31629060/1/0", "VTMF-25526031")</f>
        <v>VTMF-25526031</v>
      </c>
      <c r="G170" s="3" t="inlineStr">
        <is>
          <t/>
        </is>
      </c>
      <c r="H170" s="3" t="inlineStr">
        <is>
          <t>System</t>
        </is>
      </c>
      <c r="I170" s="3" t="inlineStr">
        <is>
          <t>RYAN KELLY</t>
        </is>
      </c>
      <c r="J170" s="4" t="n">
        <v>46153.71171296296</v>
      </c>
      <c r="K170" s="5" t="n">
        <v>46160.0</v>
      </c>
      <c r="L170" s="5" t="n">
        <v>46153.0</v>
      </c>
      <c r="M170" s="3" t="inlineStr">
        <is>
          <t>Approved</t>
        </is>
      </c>
      <c r="N170" s="3" t="inlineStr">
        <is>
          <t/>
        </is>
      </c>
      <c r="O170" s="3" t="inlineStr">
        <is>
          <t>42847922MDD3003</t>
        </is>
      </c>
    </row>
    <row r="171">
      <c r="A171" s="2" t="str">
        <f>HYPERLINK("https://vtmf.veevavault.com/ui/#doc_info/31715866/1/0", "42847922MDD3003---Committee Member Curriculum Vitae-21 May 2026 (v1.0)")</f>
        <v>42847922MDD3003---Committee Member Curriculum Vitae-21 May 2026 (v1.0)</v>
      </c>
      <c r="B171" s="3" t="inlineStr">
        <is>
          <t>Trial Management</t>
        </is>
      </c>
      <c r="C171" s="3" t="inlineStr">
        <is>
          <t>Trial Committee</t>
        </is>
      </c>
      <c r="D171" s="3" t="inlineStr">
        <is>
          <t>Committee Member Curriculum Vitae</t>
        </is>
      </c>
      <c r="E171" s="3" t="inlineStr">
        <is>
          <t>Updated Mary Johnson IDMC CV</t>
        </is>
      </c>
      <c r="F171" s="2" t="str">
        <f>HYPERLINK("https://vtmf.veevavault.com/ui/#doc_info/31715866/1/0", "VTMF-25595582")</f>
        <v>VTMF-25595582</v>
      </c>
      <c r="G171" s="3" t="inlineStr">
        <is>
          <t/>
        </is>
      </c>
      <c r="H171" s="3" t="inlineStr">
        <is>
          <t>System</t>
        </is>
      </c>
      <c r="I171" s="3" t="inlineStr">
        <is>
          <t>RYAN KELLY</t>
        </is>
      </c>
      <c r="J171" s="4" t="n">
        <v>46163.63195601852</v>
      </c>
      <c r="K171" s="5" t="n">
        <v>46163.0</v>
      </c>
      <c r="L171" s="5" t="n">
        <v>46163.0</v>
      </c>
      <c r="M171" s="3" t="inlineStr">
        <is>
          <t>Approved</t>
        </is>
      </c>
      <c r="N171" s="3" t="inlineStr">
        <is>
          <t/>
        </is>
      </c>
      <c r="O171" s="3" t="inlineStr">
        <is>
          <t>42847922MDD3003</t>
        </is>
      </c>
    </row>
    <row r="172">
      <c r="A172" s="2" t="str">
        <f>HYPERLINK("https://vtmf.veevavault.com/ui/#doc_info/26377448/1/0", "42847922MDD3003---Committee Member Curriculum Vitae-22 May 2024 (v1.0)")</f>
        <v>42847922MDD3003---Committee Member Curriculum Vitae-22 May 2024 (v1.0)</v>
      </c>
      <c r="B172" s="3" t="inlineStr">
        <is>
          <t>Trial Management</t>
        </is>
      </c>
      <c r="C172" s="3" t="inlineStr">
        <is>
          <t>Trial Committee</t>
        </is>
      </c>
      <c r="D172" s="3" t="inlineStr">
        <is>
          <t>Committee Member Curriculum Vitae</t>
        </is>
      </c>
      <c r="E172" s="3" t="inlineStr">
        <is>
          <t>IDMC members CV</t>
        </is>
      </c>
      <c r="F172" s="2" t="str">
        <f>HYPERLINK("https://vtmf.veevavault.com/ui/#doc_info/26377448/1/0", "VTMF-21109353")</f>
        <v>VTMF-21109353</v>
      </c>
      <c r="G172" s="3" t="inlineStr">
        <is>
          <t/>
        </is>
      </c>
      <c r="H172" s="3" t="inlineStr">
        <is>
          <t>System</t>
        </is>
      </c>
      <c r="I172" s="3" t="inlineStr">
        <is>
          <t>Yun Zhang</t>
        </is>
      </c>
      <c r="J172" s="4" t="n">
        <v>45434.97515046296</v>
      </c>
      <c r="K172" s="5" t="n">
        <v>45435.0</v>
      </c>
      <c r="L172" s="5" t="n">
        <v>45434.0</v>
      </c>
      <c r="M172" s="3" t="inlineStr">
        <is>
          <t>Approved</t>
        </is>
      </c>
      <c r="N172" s="3" t="inlineStr">
        <is>
          <t/>
        </is>
      </c>
      <c r="O172" s="3" t="inlineStr">
        <is>
          <t>42847922MDD3003</t>
        </is>
      </c>
    </row>
    <row r="173">
      <c r="A173" s="2" t="str">
        <f>HYPERLINK("https://vtmf.veevavault.com/ui/#doc_info/26377473/1/0", "42847922MDD3003---Committee Member Curriculum Vitae-22 May 2024 (v1.0)")</f>
        <v>42847922MDD3003---Committee Member Curriculum Vitae-22 May 2024 (v1.0)</v>
      </c>
      <c r="B173" s="3" t="inlineStr">
        <is>
          <t>Trial Management</t>
        </is>
      </c>
      <c r="C173" s="3" t="inlineStr">
        <is>
          <t>Trial Committee</t>
        </is>
      </c>
      <c r="D173" s="3" t="inlineStr">
        <is>
          <t>Committee Member Curriculum Vitae</t>
        </is>
      </c>
      <c r="E173" s="3" t="inlineStr">
        <is>
          <t>IDMC members CV</t>
        </is>
      </c>
      <c r="F173" s="2" t="str">
        <f>HYPERLINK("https://vtmf.veevavault.com/ui/#doc_info/26377473/1/0", "VTMF-21109362")</f>
        <v>VTMF-21109362</v>
      </c>
      <c r="G173" s="3" t="inlineStr">
        <is>
          <t/>
        </is>
      </c>
      <c r="H173" s="3" t="inlineStr">
        <is>
          <t>System</t>
        </is>
      </c>
      <c r="I173" s="3" t="inlineStr">
        <is>
          <t>Yun Zhang</t>
        </is>
      </c>
      <c r="J173" s="4" t="n">
        <v>45434.97739583333</v>
      </c>
      <c r="K173" s="5" t="n">
        <v>45435.0</v>
      </c>
      <c r="L173" s="5" t="n">
        <v>45434.0</v>
      </c>
      <c r="M173" s="3" t="inlineStr">
        <is>
          <t>Approved</t>
        </is>
      </c>
      <c r="N173" s="3" t="inlineStr">
        <is>
          <t/>
        </is>
      </c>
      <c r="O173" s="3" t="inlineStr">
        <is>
          <t>42847922MDD3003</t>
        </is>
      </c>
    </row>
    <row r="174">
      <c r="A174" s="2" t="str">
        <f>HYPERLINK("https://vtmf.veevavault.com/ui/#doc_info/26377474/1/0", "42847922MDD3003---Committee Member Curriculum Vitae-22 May 2024 (v1.0)")</f>
        <v>42847922MDD3003---Committee Member Curriculum Vitae-22 May 2024 (v1.0)</v>
      </c>
      <c r="B174" s="3" t="inlineStr">
        <is>
          <t>Trial Management</t>
        </is>
      </c>
      <c r="C174" s="3" t="inlineStr">
        <is>
          <t>Trial Committee</t>
        </is>
      </c>
      <c r="D174" s="3" t="inlineStr">
        <is>
          <t>Committee Member Curriculum Vitae</t>
        </is>
      </c>
      <c r="E174" s="3" t="inlineStr">
        <is>
          <t>IDMC members CV</t>
        </is>
      </c>
      <c r="F174" s="2" t="str">
        <f>HYPERLINK("https://vtmf.veevavault.com/ui/#doc_info/26377474/1/0", "VTMF-21109365")</f>
        <v>VTMF-21109365</v>
      </c>
      <c r="G174" s="3" t="inlineStr">
        <is>
          <t/>
        </is>
      </c>
      <c r="H174" s="3" t="inlineStr">
        <is>
          <t>System</t>
        </is>
      </c>
      <c r="I174" s="3" t="inlineStr">
        <is>
          <t>Yun Zhang</t>
        </is>
      </c>
      <c r="J174" s="4" t="n">
        <v>45434.978796296295</v>
      </c>
      <c r="K174" s="5" t="n">
        <v>45435.0</v>
      </c>
      <c r="L174" s="5" t="n">
        <v>45434.0</v>
      </c>
      <c r="M174" s="3" t="inlineStr">
        <is>
          <t>Approved</t>
        </is>
      </c>
      <c r="N174" s="3" t="inlineStr">
        <is>
          <t/>
        </is>
      </c>
      <c r="O174" s="3" t="inlineStr">
        <is>
          <t>42847922MDD3003</t>
        </is>
      </c>
    </row>
    <row r="175">
      <c r="A175" s="2" t="str">
        <f>HYPERLINK("https://vtmf.veevavault.com/ui/#doc_info/26384429/1/0", "42847922MDD3003---Committee Member Curriculum Vitae-23 May 2024 (v1.0)")</f>
        <v>42847922MDD3003---Committee Member Curriculum Vitae-23 May 2024 (v1.0)</v>
      </c>
      <c r="B175" s="3" t="inlineStr">
        <is>
          <t>Trial Management</t>
        </is>
      </c>
      <c r="C175" s="3" t="inlineStr">
        <is>
          <t>Trial Committee</t>
        </is>
      </c>
      <c r="D175" s="3" t="inlineStr">
        <is>
          <t>Committee Member Curriculum Vitae</t>
        </is>
      </c>
      <c r="E175" s="3" t="inlineStr">
        <is>
          <t>IDMC member CV</t>
        </is>
      </c>
      <c r="F175" s="2" t="str">
        <f>HYPERLINK("https://vtmf.veevavault.com/ui/#doc_info/26384429/1/0", "VTMF-21115409")</f>
        <v>VTMF-21115409</v>
      </c>
      <c r="G175" s="3" t="inlineStr">
        <is>
          <t/>
        </is>
      </c>
      <c r="H175" s="3" t="inlineStr">
        <is>
          <t>System</t>
        </is>
      </c>
      <c r="I175" s="3" t="inlineStr">
        <is>
          <t>Yun Zhang</t>
        </is>
      </c>
      <c r="J175" s="4" t="n">
        <v>45435.731840277775</v>
      </c>
      <c r="K175" s="5" t="n">
        <v>45435.0</v>
      </c>
      <c r="L175" s="5" t="n">
        <v>45435.0</v>
      </c>
      <c r="M175" s="3" t="inlineStr">
        <is>
          <t>Approved</t>
        </is>
      </c>
      <c r="N175" s="3" t="inlineStr">
        <is>
          <t/>
        </is>
      </c>
      <c r="O175" s="3" t="inlineStr">
        <is>
          <t>42847922MDD3003</t>
        </is>
      </c>
    </row>
    <row r="176">
      <c r="A176" s="2" t="str">
        <f>HYPERLINK("https://vtmf.veevavault.com/ui/#doc_info/31715879/1/0", "42847922MDD3003---Committee Member Financial Disclosure Form-21 May 2026 (v1.0)")</f>
        <v>42847922MDD3003---Committee Member Financial Disclosure Form-21 May 2026 (v1.0)</v>
      </c>
      <c r="B176" s="3" t="inlineStr">
        <is>
          <t>Trial Management</t>
        </is>
      </c>
      <c r="C176" s="3" t="inlineStr">
        <is>
          <t>Trial Committee</t>
        </is>
      </c>
      <c r="D176" s="3" t="inlineStr">
        <is>
          <t>Committee Member Financial Disclosure Form</t>
        </is>
      </c>
      <c r="E176" s="3" t="inlineStr">
        <is>
          <t>Updated Mary Johnson IDMC COI</t>
        </is>
      </c>
      <c r="F176" s="2" t="str">
        <f>HYPERLINK("https://vtmf.veevavault.com/ui/#doc_info/31715879/1/0", "VTMF-25595609")</f>
        <v>VTMF-25595609</v>
      </c>
      <c r="G176" s="3" t="inlineStr">
        <is>
          <t/>
        </is>
      </c>
      <c r="H176" s="3" t="inlineStr">
        <is>
          <t>System</t>
        </is>
      </c>
      <c r="I176" s="3" t="inlineStr">
        <is>
          <t>RYAN KELLY</t>
        </is>
      </c>
      <c r="J176" s="4" t="n">
        <v>46163.63599537037</v>
      </c>
      <c r="K176" s="5" t="n">
        <v>46163.0</v>
      </c>
      <c r="L176" s="5" t="n">
        <v>46163.0</v>
      </c>
      <c r="M176" s="3" t="inlineStr">
        <is>
          <t>Approved</t>
        </is>
      </c>
      <c r="N176" s="3" t="inlineStr">
        <is>
          <t/>
        </is>
      </c>
      <c r="O176" s="3" t="inlineStr">
        <is>
          <t>42847922MDD3003</t>
        </is>
      </c>
    </row>
    <row r="177">
      <c r="A177" s="2" t="str">
        <f>HYPERLINK("https://vtmf.veevavault.com/ui/#doc_info/26377479/1/0", "42847922MDD3003---Committee Member Financial Disclosure Form-22 May 2024 (v1.0)")</f>
        <v>42847922MDD3003---Committee Member Financial Disclosure Form-22 May 2024 (v1.0)</v>
      </c>
      <c r="B177" s="3" t="inlineStr">
        <is>
          <t>Trial Management</t>
        </is>
      </c>
      <c r="C177" s="3" t="inlineStr">
        <is>
          <t>Trial Committee</t>
        </is>
      </c>
      <c r="D177" s="3" t="inlineStr">
        <is>
          <t>Committee Member Financial Disclosure Form</t>
        </is>
      </c>
      <c r="E177" s="3" t="inlineStr">
        <is>
          <t>Conflict of interest form</t>
        </is>
      </c>
      <c r="F177" s="2" t="str">
        <f>HYPERLINK("https://vtmf.veevavault.com/ui/#doc_info/26377479/1/0", "VTMF-21109374")</f>
        <v>VTMF-21109374</v>
      </c>
      <c r="G177" s="3" t="inlineStr">
        <is>
          <t/>
        </is>
      </c>
      <c r="H177" s="3" t="inlineStr">
        <is>
          <t>System</t>
        </is>
      </c>
      <c r="I177" s="3" t="inlineStr">
        <is>
          <t>Yun Zhang</t>
        </is>
      </c>
      <c r="J177" s="4" t="n">
        <v>45434.98241898148</v>
      </c>
      <c r="K177" s="5" t="n">
        <v>45435.0</v>
      </c>
      <c r="L177" s="5" t="n">
        <v>45434.0</v>
      </c>
      <c r="M177" s="3" t="inlineStr">
        <is>
          <t>Approved</t>
        </is>
      </c>
      <c r="N177" s="3" t="inlineStr">
        <is>
          <t/>
        </is>
      </c>
      <c r="O177" s="3" t="inlineStr">
        <is>
          <t>42847922MDD3003</t>
        </is>
      </c>
    </row>
    <row r="178">
      <c r="A178" s="2" t="str">
        <f>HYPERLINK("https://vtmf.veevavault.com/ui/#doc_info/26377481/1/0", "42847922MDD3003---Committee Member Financial Disclosure Form-22 May 2024 (v1.0)")</f>
        <v>42847922MDD3003---Committee Member Financial Disclosure Form-22 May 2024 (v1.0)</v>
      </c>
      <c r="B178" s="3" t="inlineStr">
        <is>
          <t>Trial Management</t>
        </is>
      </c>
      <c r="C178" s="3" t="inlineStr">
        <is>
          <t>Trial Committee</t>
        </is>
      </c>
      <c r="D178" s="3" t="inlineStr">
        <is>
          <t>Committee Member Financial Disclosure Form</t>
        </is>
      </c>
      <c r="E178" s="3" t="inlineStr">
        <is>
          <t>Conflict of interest form</t>
        </is>
      </c>
      <c r="F178" s="2" t="str">
        <f>HYPERLINK("https://vtmf.veevavault.com/ui/#doc_info/26377481/1/0", "VTMF-21109376")</f>
        <v>VTMF-21109376</v>
      </c>
      <c r="G178" s="3" t="inlineStr">
        <is>
          <t/>
        </is>
      </c>
      <c r="H178" s="3" t="inlineStr">
        <is>
          <t>System</t>
        </is>
      </c>
      <c r="I178" s="3" t="inlineStr">
        <is>
          <t>Yun Zhang</t>
        </is>
      </c>
      <c r="J178" s="4" t="n">
        <v>45434.9831712963</v>
      </c>
      <c r="K178" s="5" t="n">
        <v>45435.0</v>
      </c>
      <c r="L178" s="5" t="n">
        <v>45434.0</v>
      </c>
      <c r="M178" s="3" t="inlineStr">
        <is>
          <t>Approved</t>
        </is>
      </c>
      <c r="N178" s="3" t="inlineStr">
        <is>
          <t/>
        </is>
      </c>
      <c r="O178" s="3" t="inlineStr">
        <is>
          <t>42847922MDD3003</t>
        </is>
      </c>
    </row>
    <row r="179">
      <c r="A179" s="2" t="str">
        <f>HYPERLINK("https://vtmf.veevavault.com/ui/#doc_info/26377482/1/0", "42847922MDD3003---Committee Member Financial Disclosure Form-22 May 2024 (v1.0)")</f>
        <v>42847922MDD3003---Committee Member Financial Disclosure Form-22 May 2024 (v1.0)</v>
      </c>
      <c r="B179" s="3" t="inlineStr">
        <is>
          <t>Trial Management</t>
        </is>
      </c>
      <c r="C179" s="3" t="inlineStr">
        <is>
          <t>Trial Committee</t>
        </is>
      </c>
      <c r="D179" s="3" t="inlineStr">
        <is>
          <t>Committee Member Financial Disclosure Form</t>
        </is>
      </c>
      <c r="E179" s="3" t="inlineStr">
        <is>
          <t>Conflict of interest form</t>
        </is>
      </c>
      <c r="F179" s="2" t="str">
        <f>HYPERLINK("https://vtmf.veevavault.com/ui/#doc_info/26377482/1/0", "VTMF-21109377")</f>
        <v>VTMF-21109377</v>
      </c>
      <c r="G179" s="3" t="inlineStr">
        <is>
          <t/>
        </is>
      </c>
      <c r="H179" s="3" t="inlineStr">
        <is>
          <t>System</t>
        </is>
      </c>
      <c r="I179" s="3" t="inlineStr">
        <is>
          <t>Yun Zhang</t>
        </is>
      </c>
      <c r="J179" s="4" t="n">
        <v>45434.98394675926</v>
      </c>
      <c r="K179" s="5" t="n">
        <v>45435.0</v>
      </c>
      <c r="L179" s="5" t="n">
        <v>45434.0</v>
      </c>
      <c r="M179" s="3" t="inlineStr">
        <is>
          <t>Approved</t>
        </is>
      </c>
      <c r="N179" s="3" t="inlineStr">
        <is>
          <t/>
        </is>
      </c>
      <c r="O179" s="3" t="inlineStr">
        <is>
          <t>42847922MDD3003</t>
        </is>
      </c>
    </row>
    <row r="180">
      <c r="A180" s="2" t="str">
        <f>HYPERLINK("https://vtmf.veevavault.com/ui/#doc_info/26377487/1/0", "42847922MDD3003---Committee Member Financial Disclosure Form-22 May 2024 (v1.0)")</f>
        <v>42847922MDD3003---Committee Member Financial Disclosure Form-22 May 2024 (v1.0)</v>
      </c>
      <c r="B180" s="3" t="inlineStr">
        <is>
          <t>Trial Management</t>
        </is>
      </c>
      <c r="C180" s="3" t="inlineStr">
        <is>
          <t>Trial Committee</t>
        </is>
      </c>
      <c r="D180" s="3" t="inlineStr">
        <is>
          <t>Committee Member Financial Disclosure Form</t>
        </is>
      </c>
      <c r="E180" s="3" t="inlineStr">
        <is>
          <t>Conflict of interest form</t>
        </is>
      </c>
      <c r="F180" s="2" t="str">
        <f>HYPERLINK("https://vtmf.veevavault.com/ui/#doc_info/26377487/1/0", "VTMF-21109380")</f>
        <v>VTMF-21109380</v>
      </c>
      <c r="G180" s="3" t="inlineStr">
        <is>
          <t/>
        </is>
      </c>
      <c r="H180" s="3" t="inlineStr">
        <is>
          <t>System</t>
        </is>
      </c>
      <c r="I180" s="3" t="inlineStr">
        <is>
          <t>Yun Zhang</t>
        </is>
      </c>
      <c r="J180" s="4" t="n">
        <v>45434.98488425926</v>
      </c>
      <c r="K180" s="5" t="n">
        <v>45435.0</v>
      </c>
      <c r="L180" s="5" t="n">
        <v>45434.0</v>
      </c>
      <c r="M180" s="3" t="inlineStr">
        <is>
          <t>Approved</t>
        </is>
      </c>
      <c r="N180" s="3" t="inlineStr">
        <is>
          <t/>
        </is>
      </c>
      <c r="O180" s="3" t="inlineStr">
        <is>
          <t>42847922MDD3003</t>
        </is>
      </c>
    </row>
    <row r="181">
      <c r="A181" s="2" t="str">
        <f>HYPERLINK("https://vtmf.veevavault.com/ui/#doc_info/31627455/1/0", "42847922MDD3003---Committee Output-05 May 2026 (v1.0)")</f>
        <v>42847922MDD3003---Committee Output-05 May 2026 (v1.0)</v>
      </c>
      <c r="B181" s="3" t="inlineStr">
        <is>
          <t>Trial Management</t>
        </is>
      </c>
      <c r="C181" s="3" t="inlineStr">
        <is>
          <t>Trial Committee</t>
        </is>
      </c>
      <c r="D181" s="3" t="inlineStr">
        <is>
          <t>Committee Output</t>
        </is>
      </c>
      <c r="E181" s="3" t="inlineStr">
        <is>
          <t>IDMC meeting 3 open session minutes_V1; 05MAY2026</t>
        </is>
      </c>
      <c r="F181" s="2" t="str">
        <f>HYPERLINK("https://vtmf.veevavault.com/ui/#doc_info/31627455/1/0", "VTMF-25524701")</f>
        <v>VTMF-25524701</v>
      </c>
      <c r="G181" s="3" t="inlineStr">
        <is>
          <t/>
        </is>
      </c>
      <c r="H181" s="3" t="inlineStr">
        <is>
          <t>System</t>
        </is>
      </c>
      <c r="I181" s="3" t="inlineStr">
        <is>
          <t>RYAN KELLY</t>
        </is>
      </c>
      <c r="J181" s="4" t="n">
        <v>46153.592152777775</v>
      </c>
      <c r="K181" s="5" t="n">
        <v>46153.0</v>
      </c>
      <c r="L181" s="5" t="n">
        <v>46147.0</v>
      </c>
      <c r="M181" s="3" t="inlineStr">
        <is>
          <t>Approved</t>
        </is>
      </c>
      <c r="N181" s="3" t="inlineStr">
        <is>
          <t>Study Close</t>
        </is>
      </c>
      <c r="O181" s="3" t="inlineStr">
        <is>
          <t>42847922MDD3003</t>
        </is>
      </c>
    </row>
    <row r="182">
      <c r="A182" s="2" t="str">
        <f>HYPERLINK("https://vtmf.veevavault.com/ui/#doc_info/30000125/1/0", "42847922MDD3003---Committee Output-08 Aug 2025 (v1.0)")</f>
        <v>42847922MDD3003---Committee Output-08 Aug 2025 (v1.0)</v>
      </c>
      <c r="B182" s="3" t="inlineStr">
        <is>
          <t>Trial Management</t>
        </is>
      </c>
      <c r="C182" s="3" t="inlineStr">
        <is>
          <t>Trial Committee</t>
        </is>
      </c>
      <c r="D182" s="3" t="inlineStr">
        <is>
          <t>Committee Output</t>
        </is>
      </c>
      <c r="E182" s="3" t="inlineStr">
        <is>
          <t>Seltorexant RAC - Ad-Hoc Meeting -  08Aug2025 - Presentation</t>
        </is>
      </c>
      <c r="F182" s="2" t="str">
        <f>HYPERLINK("https://vtmf.veevavault.com/ui/#doc_info/30000125/1/0", "VTMF-24153794")</f>
        <v>VTMF-24153794</v>
      </c>
      <c r="G182" s="3" t="inlineStr">
        <is>
          <t/>
        </is>
      </c>
      <c r="H182" s="3" t="inlineStr">
        <is>
          <t>Teresa Wen</t>
        </is>
      </c>
      <c r="I182" s="3" t="inlineStr">
        <is>
          <t>Teresa Wen</t>
        </is>
      </c>
      <c r="J182" s="4" t="n">
        <v>45922.74054398148</v>
      </c>
      <c r="K182" s="5" t="n">
        <v>45922.0</v>
      </c>
      <c r="L182" s="5" t="n">
        <v>45877.0</v>
      </c>
      <c r="M182" s="3" t="inlineStr">
        <is>
          <t>Approved</t>
        </is>
      </c>
      <c r="N182" s="3" t="inlineStr">
        <is>
          <t>Study Close</t>
        </is>
      </c>
      <c r="O182" s="3" t="inlineStr">
        <is>
          <t>42847922MDD3003</t>
        </is>
      </c>
    </row>
    <row r="183">
      <c r="A183" s="2" t="str">
        <f>HYPERLINK("https://vtmf.veevavault.com/ui/#doc_info/30281077/1/0", "42847922MDD3003---Committee Output-08 Aug 2025 (v1.0)")</f>
        <v>42847922MDD3003---Committee Output-08 Aug 2025 (v1.0)</v>
      </c>
      <c r="B183" s="3" t="inlineStr">
        <is>
          <t>Trial Management</t>
        </is>
      </c>
      <c r="C183" s="3" t="inlineStr">
        <is>
          <t>Trial Committee</t>
        </is>
      </c>
      <c r="D183" s="3" t="inlineStr">
        <is>
          <t>Committee Output</t>
        </is>
      </c>
      <c r="E183" s="3" t="inlineStr">
        <is>
          <t>Seltorexant RAC - Ad-Hoc Meeting - 08Aug2025 - RAC Determination Form</t>
        </is>
      </c>
      <c r="F183" s="2" t="str">
        <f>HYPERLINK("https://vtmf.veevavault.com/ui/#doc_info/30281077/1/0", "VTMF-24383860")</f>
        <v>VTMF-24383860</v>
      </c>
      <c r="G183" s="3" t="inlineStr">
        <is>
          <t/>
        </is>
      </c>
      <c r="H183" s="3" t="inlineStr">
        <is>
          <t>Teresa Wen</t>
        </is>
      </c>
      <c r="I183" s="3" t="inlineStr">
        <is>
          <t>Teresa Wen</t>
        </is>
      </c>
      <c r="J183" s="4" t="n">
        <v>45961.81951388889</v>
      </c>
      <c r="K183" s="5" t="n">
        <v>45961.0</v>
      </c>
      <c r="L183" s="5" t="n">
        <v>45877.0</v>
      </c>
      <c r="M183" s="3" t="inlineStr">
        <is>
          <t>Approved</t>
        </is>
      </c>
      <c r="N183" s="3" t="inlineStr">
        <is>
          <t>Study Close</t>
        </is>
      </c>
      <c r="O183" s="3" t="inlineStr">
        <is>
          <t>42847922MDD3003</t>
        </is>
      </c>
    </row>
    <row r="184">
      <c r="A184" s="2" t="str">
        <f>HYPERLINK("https://vtmf.veevavault.com/ui/#doc_info/30890939/1/0", "42847922MDD3003---Committee Output-08 Aug 2025 (v1.0)")</f>
        <v>42847922MDD3003---Committee Output-08 Aug 2025 (v1.0)</v>
      </c>
      <c r="B184" s="3" t="inlineStr">
        <is>
          <t>Trial Management</t>
        </is>
      </c>
      <c r="C184" s="3" t="inlineStr">
        <is>
          <t>Trial Committee</t>
        </is>
      </c>
      <c r="D184" s="3" t="inlineStr">
        <is>
          <t>Committee Output</t>
        </is>
      </c>
      <c r="E184" s="3" t="inlineStr">
        <is>
          <t>Seltorexant RAC - Ad-Hoc Meeting - 8Aug2025 - Minutes</t>
        </is>
      </c>
      <c r="F184" s="2" t="str">
        <f>HYPERLINK("https://vtmf.veevavault.com/ui/#doc_info/30890939/1/0", "VTMF-24897133")</f>
        <v>VTMF-24897133</v>
      </c>
      <c r="G184" s="3" t="inlineStr">
        <is>
          <t/>
        </is>
      </c>
      <c r="H184" s="3" t="inlineStr">
        <is>
          <t>System</t>
        </is>
      </c>
      <c r="I184" s="3" t="inlineStr">
        <is>
          <t>Teresa Wen</t>
        </is>
      </c>
      <c r="J184" s="4" t="n">
        <v>46053.06482638889</v>
      </c>
      <c r="K184" s="5" t="n">
        <v>46053.0</v>
      </c>
      <c r="L184" s="5" t="n">
        <v>45877.0</v>
      </c>
      <c r="M184" s="3" t="inlineStr">
        <is>
          <t>Approved</t>
        </is>
      </c>
      <c r="N184" s="3" t="inlineStr">
        <is>
          <t>Study Close</t>
        </is>
      </c>
      <c r="O184" s="3" t="inlineStr">
        <is>
          <t>42847922MDD3003</t>
        </is>
      </c>
    </row>
    <row r="185">
      <c r="A185" s="2" t="str">
        <f>HYPERLINK("https://vtmf.veevavault.com/ui/#doc_info/30890907/1/0", "42847922MDD3003---Committee Output-12 Dec 2025 (v1.0)")</f>
        <v>42847922MDD3003---Committee Output-12 Dec 2025 (v1.0)</v>
      </c>
      <c r="B185" s="3" t="inlineStr">
        <is>
          <t>Trial Management</t>
        </is>
      </c>
      <c r="C185" s="3" t="inlineStr">
        <is>
          <t>Trial Committee</t>
        </is>
      </c>
      <c r="D185" s="3" t="inlineStr">
        <is>
          <t>Committee Output</t>
        </is>
      </c>
      <c r="E185" s="3" t="inlineStr">
        <is>
          <t>Seltorexant RAC Meeting - 12Dec2025 - Presentation</t>
        </is>
      </c>
      <c r="F185" s="2" t="str">
        <f>HYPERLINK("https://vtmf.veevavault.com/ui/#doc_info/30890907/1/0", "VTMF-24897078")</f>
        <v>VTMF-24897078</v>
      </c>
      <c r="G185" s="3" t="inlineStr">
        <is>
          <t/>
        </is>
      </c>
      <c r="H185" s="3" t="inlineStr">
        <is>
          <t>System</t>
        </is>
      </c>
      <c r="I185" s="3" t="inlineStr">
        <is>
          <t>Teresa Wen</t>
        </is>
      </c>
      <c r="J185" s="4" t="n">
        <v>46053.0453125</v>
      </c>
      <c r="K185" s="5" t="n">
        <v>46091.0</v>
      </c>
      <c r="L185" s="5" t="n">
        <v>46003.0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42847922MDD3003</t>
        </is>
      </c>
    </row>
    <row r="186">
      <c r="A186" s="2" t="str">
        <f>HYPERLINK("https://vtmf.veevavault.com/ui/#doc_info/30890914/1/0", "42847922MDD3003---Committee Output-12 Dec 2025 (v1.0)")</f>
        <v>42847922MDD3003---Committee Output-12 Dec 2025 (v1.0)</v>
      </c>
      <c r="B186" s="3" t="inlineStr">
        <is>
          <t>Trial Management</t>
        </is>
      </c>
      <c r="C186" s="3" t="inlineStr">
        <is>
          <t>Trial Committee</t>
        </is>
      </c>
      <c r="D186" s="3" t="inlineStr">
        <is>
          <t>Committee Output</t>
        </is>
      </c>
      <c r="E186" s="3" t="inlineStr">
        <is>
          <t>Seltorexant RAC Meeting - 12Dec2025 - RAC Determination Form</t>
        </is>
      </c>
      <c r="F186" s="2" t="str">
        <f>HYPERLINK("https://vtmf.veevavault.com/ui/#doc_info/30890914/1/0", "VTMF-24897087")</f>
        <v>VTMF-24897087</v>
      </c>
      <c r="G186" s="3" t="inlineStr">
        <is>
          <t/>
        </is>
      </c>
      <c r="H186" s="3" t="inlineStr">
        <is>
          <t>System</t>
        </is>
      </c>
      <c r="I186" s="3" t="inlineStr">
        <is>
          <t>Teresa Wen</t>
        </is>
      </c>
      <c r="J186" s="4" t="n">
        <v>46053.05032407407</v>
      </c>
      <c r="K186" s="5" t="n">
        <v>46053.0</v>
      </c>
      <c r="L186" s="5" t="n">
        <v>46003.0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42847922MDD3003</t>
        </is>
      </c>
    </row>
    <row r="187">
      <c r="A187" s="2" t="str">
        <f>HYPERLINK("https://vtmf.veevavault.com/ui/#doc_info/30890919/1/0", "42847922MDD3003---Committee Output-12 Dec 2025 (v1.0)")</f>
        <v>42847922MDD3003---Committee Output-12 Dec 2025 (v1.0)</v>
      </c>
      <c r="B187" s="3" t="inlineStr">
        <is>
          <t>Trial Management</t>
        </is>
      </c>
      <c r="C187" s="3" t="inlineStr">
        <is>
          <t>Trial Committee</t>
        </is>
      </c>
      <c r="D187" s="3" t="inlineStr">
        <is>
          <t>Committee Output</t>
        </is>
      </c>
      <c r="E187" s="3" t="inlineStr">
        <is>
          <t>Seltorexant RAC Meeting - 12Dec2025 - Minutes</t>
        </is>
      </c>
      <c r="F187" s="2" t="str">
        <f>HYPERLINK("https://vtmf.veevavault.com/ui/#doc_info/30890919/1/0", "VTMF-24897101")</f>
        <v>VTMF-24897101</v>
      </c>
      <c r="G187" s="3" t="inlineStr">
        <is>
          <t/>
        </is>
      </c>
      <c r="H187" s="3" t="inlineStr">
        <is>
          <t>System</t>
        </is>
      </c>
      <c r="I187" s="3" t="inlineStr">
        <is>
          <t>Teresa Wen</t>
        </is>
      </c>
      <c r="J187" s="4" t="n">
        <v>46053.05484953704</v>
      </c>
      <c r="K187" s="5" t="n">
        <v>46053.0</v>
      </c>
      <c r="L187" s="5" t="n">
        <v>46003.0</v>
      </c>
      <c r="M187" s="3" t="inlineStr">
        <is>
          <t>Approved</t>
        </is>
      </c>
      <c r="N187" s="3" t="inlineStr">
        <is>
          <t>Study Close</t>
        </is>
      </c>
      <c r="O187" s="3" t="inlineStr">
        <is>
          <t>42847922MDD3003</t>
        </is>
      </c>
    </row>
    <row r="188">
      <c r="A188" s="2" t="str">
        <f>HYPERLINK("https://vtmf.veevavault.com/ui/#doc_info/29382302/1/0", "42847922MDD3003---Committee Output-18 Jun 2025 (v1.0)")</f>
        <v>42847922MDD3003---Committee Output-18 Jun 2025 (v1.0)</v>
      </c>
      <c r="B188" s="3" t="inlineStr">
        <is>
          <t>Trial Management</t>
        </is>
      </c>
      <c r="C188" s="3" t="inlineStr">
        <is>
          <t>Trial Committee</t>
        </is>
      </c>
      <c r="D188" s="3" t="inlineStr">
        <is>
          <t>Committee Output</t>
        </is>
      </c>
      <c r="E188" s="3" t="inlineStr">
        <is>
          <t>Seltorexant MDD3003 IDMC meeting minutes from IDMC safety review meeting 1</t>
        </is>
      </c>
      <c r="F188" s="2" t="str">
        <f>HYPERLINK("https://vtmf.veevavault.com/ui/#doc_info/29382302/1/0", "VTMF-23622534")</f>
        <v>VTMF-23622534</v>
      </c>
      <c r="G188" s="3" t="inlineStr">
        <is>
          <t/>
        </is>
      </c>
      <c r="H188" s="3" t="inlineStr">
        <is>
          <t>RYAN KELLY</t>
        </is>
      </c>
      <c r="I188" s="3" t="inlineStr">
        <is>
          <t>RYAN KELLY</t>
        </is>
      </c>
      <c r="J188" s="4" t="n">
        <v>45826.81086805555</v>
      </c>
      <c r="K188" s="5" t="n">
        <v>45826.0</v>
      </c>
      <c r="L188" s="5" t="n">
        <v>45826.0</v>
      </c>
      <c r="M188" s="3" t="inlineStr">
        <is>
          <t>Approved</t>
        </is>
      </c>
      <c r="N188" s="3" t="inlineStr">
        <is>
          <t>Study Close</t>
        </is>
      </c>
      <c r="O188" s="3" t="inlineStr">
        <is>
          <t>42847922MDD3003</t>
        </is>
      </c>
    </row>
    <row r="189">
      <c r="A189" s="2" t="str">
        <f>HYPERLINK("https://vtmf.veevavault.com/ui/#doc_info/27099824/1/0", "42847922MDD3003---Committee Output-18 Sep 2024 (v1.0)")</f>
        <v>42847922MDD3003---Committee Output-18 Sep 2024 (v1.0)</v>
      </c>
      <c r="B189" s="3" t="inlineStr">
        <is>
          <t>Trial Management</t>
        </is>
      </c>
      <c r="C189" s="3" t="inlineStr">
        <is>
          <t>Trial Committee</t>
        </is>
      </c>
      <c r="D189" s="3" t="inlineStr">
        <is>
          <t>Committee Output</t>
        </is>
      </c>
      <c r="E189" s="3" t="inlineStr">
        <is>
          <t>Seltorexant MDD3003 IDMC Meeting Minutes from the KOM</t>
        </is>
      </c>
      <c r="F189" s="2" t="str">
        <f>HYPERLINK("https://vtmf.veevavault.com/ui/#doc_info/27099824/1/0", "VTMF-21724624")</f>
        <v>VTMF-21724624</v>
      </c>
      <c r="G189" s="3" t="inlineStr">
        <is>
          <t/>
        </is>
      </c>
      <c r="H189" s="3" t="inlineStr">
        <is>
          <t>System</t>
        </is>
      </c>
      <c r="I189" s="3" t="inlineStr">
        <is>
          <t>Yun Zhang</t>
        </is>
      </c>
      <c r="J189" s="4" t="n">
        <v>45553.76137731481</v>
      </c>
      <c r="K189" s="5" t="n">
        <v>45553.0</v>
      </c>
      <c r="L189" s="5" t="n">
        <v>45553.0</v>
      </c>
      <c r="M189" s="3" t="inlineStr">
        <is>
          <t>Approved</t>
        </is>
      </c>
      <c r="N189" s="3" t="inlineStr">
        <is>
          <t>Study Close</t>
        </is>
      </c>
      <c r="O189" s="3" t="inlineStr">
        <is>
          <t>42847922MDD3003</t>
        </is>
      </c>
    </row>
    <row r="190">
      <c r="A190" s="2" t="str">
        <f>HYPERLINK("https://vtmf.veevavault.com/ui/#doc_info/30849366/1/0", "42847922MDD3003---Committee Output-26 Jan 2026 (v1.0)")</f>
        <v>42847922MDD3003---Committee Output-26 Jan 2026 (v1.0)</v>
      </c>
      <c r="B190" s="3" t="inlineStr">
        <is>
          <t>Trial Management</t>
        </is>
      </c>
      <c r="C190" s="3" t="inlineStr">
        <is>
          <t>Trial Committee</t>
        </is>
      </c>
      <c r="D190" s="3" t="inlineStr">
        <is>
          <t>Committee Output</t>
        </is>
      </c>
      <c r="E190" s="3" t="inlineStr">
        <is>
          <t>Meeting minutes for IDMC Safety Review Meeting 2</t>
        </is>
      </c>
      <c r="F190" s="2" t="str">
        <f>HYPERLINK("https://vtmf.veevavault.com/ui/#doc_info/30849366/1/0", "VTMF-24861463")</f>
        <v>VTMF-24861463</v>
      </c>
      <c r="G190" s="3" t="inlineStr">
        <is>
          <t/>
        </is>
      </c>
      <c r="H190" s="3" t="inlineStr">
        <is>
          <t>System</t>
        </is>
      </c>
      <c r="I190" s="3" t="inlineStr">
        <is>
          <t>RYAN KELLY</t>
        </is>
      </c>
      <c r="J190" s="4" t="n">
        <v>46048.70334490741</v>
      </c>
      <c r="K190" s="5" t="n">
        <v>46048.0</v>
      </c>
      <c r="L190" s="5" t="n">
        <v>46048.0</v>
      </c>
      <c r="M190" s="3" t="inlineStr">
        <is>
          <t>Approved</t>
        </is>
      </c>
      <c r="N190" s="3" t="inlineStr">
        <is>
          <t>Study Close</t>
        </is>
      </c>
      <c r="O190" s="3" t="inlineStr">
        <is>
          <t>42847922MDD3003</t>
        </is>
      </c>
    </row>
    <row r="191">
      <c r="A191" s="2" t="str">
        <f>HYPERLINK("https://vtmf.veevavault.com/ui/#doc_info/29219874/1/0", "42847922MDD3003---Committee Output-28 Mar 2025 (v1.0)")</f>
        <v>42847922MDD3003---Committee Output-28 Mar 2025 (v1.0)</v>
      </c>
      <c r="B191" s="3" t="inlineStr">
        <is>
          <t>Trial Management</t>
        </is>
      </c>
      <c r="C191" s="3" t="inlineStr">
        <is>
          <t>Trial Committee</t>
        </is>
      </c>
      <c r="D191" s="3" t="inlineStr">
        <is>
          <t>Committee Output</t>
        </is>
      </c>
      <c r="E191" s="3" t="inlineStr">
        <is>
          <t>Seltorexant RAC Meeting Attendance and Presentation from the KOM</t>
        </is>
      </c>
      <c r="F191" s="2" t="str">
        <f>HYPERLINK("https://vtmf.veevavault.com/ui/#doc_info/29219874/1/0", "VTMF-23485788")</f>
        <v>VTMF-23485788</v>
      </c>
      <c r="G191" s="3" t="inlineStr">
        <is>
          <t/>
        </is>
      </c>
      <c r="H191" s="3" t="inlineStr">
        <is>
          <t>System</t>
        </is>
      </c>
      <c r="I191" s="3" t="inlineStr">
        <is>
          <t>Teresa Wen</t>
        </is>
      </c>
      <c r="J191" s="4" t="n">
        <v>45805.85414351852</v>
      </c>
      <c r="K191" s="5" t="n">
        <v>45805.0</v>
      </c>
      <c r="L191" s="5" t="n">
        <v>45744.0</v>
      </c>
      <c r="M191" s="3" t="inlineStr">
        <is>
          <t>Approved</t>
        </is>
      </c>
      <c r="N191" s="3" t="inlineStr">
        <is>
          <t>Study Close</t>
        </is>
      </c>
      <c r="O191" s="3" t="inlineStr">
        <is>
          <t>42847922MDD3003</t>
        </is>
      </c>
    </row>
    <row r="192">
      <c r="A192" s="2" t="str">
        <f>HYPERLINK("https://vtmf.veevavault.com/ui/#doc_info/29246526/1/0", "42847922MDD3003---Committee Process-02 Jun 2025 (v1.0)")</f>
        <v>42847922MDD3003---Committee Process-02 Jun 2025 (v1.0)</v>
      </c>
      <c r="B192" s="3" t="inlineStr">
        <is>
          <t>Trial Management</t>
        </is>
      </c>
      <c r="C192" s="3" t="inlineStr">
        <is>
          <t>Trial Committee</t>
        </is>
      </c>
      <c r="D192" s="3" t="inlineStr">
        <is>
          <t>Committee Process</t>
        </is>
      </c>
      <c r="E192" s="3" t="inlineStr">
        <is>
          <t>DMC-FD-42847922MDD3003-1594090</t>
        </is>
      </c>
      <c r="F192" s="2" t="str">
        <f>HYPERLINK("https://vtmf.veevavault.com/ui/#doc_info/29246526/1/0", "VTMF-23508147")</f>
        <v>VTMF-23508147</v>
      </c>
      <c r="G192" s="3" t="inlineStr">
        <is>
          <t>RIMDOCS</t>
        </is>
      </c>
      <c r="H192" s="3" t="inlineStr">
        <is>
          <t>System</t>
        </is>
      </c>
      <c r="I192" s="3" t="inlineStr">
        <is>
          <t>Integration RIM Docs</t>
        </is>
      </c>
      <c r="J192" s="4" t="n">
        <v>45810.753541666665</v>
      </c>
      <c r="K192" s="5" t="n">
        <v>45810.0</v>
      </c>
      <c r="L192" s="5" t="n">
        <v>45810.0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42847922MDD3003</t>
        </is>
      </c>
    </row>
    <row r="193">
      <c r="A193" s="2" t="str">
        <f>HYPERLINK("https://vtmf.veevavault.com/ui/#doc_info/29248040/1/0", "42847922MDD3003---Committee Process-14 Apr 2025 (v1.0)")</f>
        <v>42847922MDD3003---Committee Process-14 Apr 2025 (v1.0)</v>
      </c>
      <c r="B193" s="3" t="inlineStr">
        <is>
          <t>Trial Management</t>
        </is>
      </c>
      <c r="C193" s="3" t="inlineStr">
        <is>
          <t>Trial Committee</t>
        </is>
      </c>
      <c r="D193" s="3" t="inlineStr">
        <is>
          <t>Committee Process</t>
        </is>
      </c>
      <c r="E193" s="3" t="inlineStr">
        <is>
          <t>42847922MDD3003 Relapse Adjudication Committee Charter Version 1.0 (EDMS-RIM-1594090 1.0)</t>
        </is>
      </c>
      <c r="F193" s="2" t="str">
        <f>HYPERLINK("https://vtmf.veevavault.com/ui/#doc_info/29248040/1/0", "VTMF-23509372")</f>
        <v>VTMF-23509372</v>
      </c>
      <c r="G193" s="3" t="inlineStr">
        <is>
          <t/>
        </is>
      </c>
      <c r="H193" s="3" t="inlineStr">
        <is>
          <t>System</t>
        </is>
      </c>
      <c r="I193" s="3" t="inlineStr">
        <is>
          <t>Teresa Wen</t>
        </is>
      </c>
      <c r="J193" s="4" t="n">
        <v>45810.95501157407</v>
      </c>
      <c r="K193" s="5" t="n">
        <v>45810.0</v>
      </c>
      <c r="L193" s="5" t="n">
        <v>45761.0</v>
      </c>
      <c r="M193" s="3" t="inlineStr">
        <is>
          <t>Approved</t>
        </is>
      </c>
      <c r="N193" s="3" t="inlineStr">
        <is>
          <t>Study Start</t>
        </is>
      </c>
      <c r="O193" s="3" t="inlineStr">
        <is>
          <t>42847922MDD3003</t>
        </is>
      </c>
    </row>
    <row r="194">
      <c r="A194" s="2" t="str">
        <f>HYPERLINK("https://vtmf.veevavault.com/ui/#doc_info/25833282/1/0", "42847922MDD3003---Committee Process-21 May 2024 (v1.0)")</f>
        <v>42847922MDD3003---Committee Process-21 May 2024 (v1.0)</v>
      </c>
      <c r="B194" s="3" t="inlineStr">
        <is>
          <t>Trial Management</t>
        </is>
      </c>
      <c r="C194" s="3" t="inlineStr">
        <is>
          <t>Trial Committee</t>
        </is>
      </c>
      <c r="D194" s="3" t="inlineStr">
        <is>
          <t>Committee Process</t>
        </is>
      </c>
      <c r="E194" s="3" t="inlineStr">
        <is>
          <t>IDMC Charter</t>
        </is>
      </c>
      <c r="F194" s="2" t="str">
        <f>HYPERLINK("https://vtmf.veevavault.com/ui/#doc_info/25833282/1/0", "VTMF-20632007")</f>
        <v>VTMF-20632007</v>
      </c>
      <c r="G194" s="3" t="inlineStr">
        <is>
          <t/>
        </is>
      </c>
      <c r="H194" s="3" t="inlineStr">
        <is>
          <t>System</t>
        </is>
      </c>
      <c r="I194" s="3" t="inlineStr">
        <is>
          <t>RYAN KELLY</t>
        </is>
      </c>
      <c r="J194" s="4" t="n">
        <v>45478.629212962966</v>
      </c>
      <c r="K194" s="5" t="n">
        <v>45583.0</v>
      </c>
      <c r="L194" s="5" t="n">
        <v>45433.0</v>
      </c>
      <c r="M194" s="3" t="inlineStr">
        <is>
          <t>Approved</t>
        </is>
      </c>
      <c r="N194" s="3" t="inlineStr">
        <is>
          <t>Study Start</t>
        </is>
      </c>
      <c r="O194" s="3" t="inlineStr">
        <is>
          <t>42847922MDD3003</t>
        </is>
      </c>
    </row>
    <row r="195">
      <c r="A195" s="2" t="str">
        <f>HYPERLINK("https://vtmf.veevavault.com/ui/#doc_info/26943533/1/0", "42847922MDD3003---Committee Process-22 Aug 2024 (v1.0)")</f>
        <v>42847922MDD3003---Committee Process-22 Aug 2024 (v1.0)</v>
      </c>
      <c r="B195" s="3" t="inlineStr">
        <is>
          <t>Trial Management</t>
        </is>
      </c>
      <c r="C195" s="3" t="inlineStr">
        <is>
          <t>Trial Committee</t>
        </is>
      </c>
      <c r="D195" s="3" t="inlineStr">
        <is>
          <t>Committee Process</t>
        </is>
      </c>
      <c r="E195" s="3" t="inlineStr">
        <is>
          <t>Relapse Adjudication Commitee Charter MDD3003 draft 22 Aug.</t>
        </is>
      </c>
      <c r="F195" s="2" t="str">
        <f>HYPERLINK("https://vtmf.veevavault.com/ui/#doc_info/26943533/1/0", "VTMF-21598824")</f>
        <v>VTMF-21598824</v>
      </c>
      <c r="G195" s="3" t="inlineStr">
        <is>
          <t/>
        </is>
      </c>
      <c r="H195" s="3" t="inlineStr">
        <is>
          <t>System</t>
        </is>
      </c>
      <c r="I195" s="3" t="inlineStr">
        <is>
          <t>Gina Stefanelli</t>
        </is>
      </c>
      <c r="J195" s="4" t="n">
        <v>45527.59416666667</v>
      </c>
      <c r="K195" s="5" t="n">
        <v>45527.0</v>
      </c>
      <c r="L195" s="5" t="n">
        <v>45526.0</v>
      </c>
      <c r="M195" s="3" t="inlineStr">
        <is>
          <t>Approved</t>
        </is>
      </c>
      <c r="N195" s="3" t="inlineStr">
        <is>
          <t>Study Start</t>
        </is>
      </c>
      <c r="O195" s="3" t="inlineStr">
        <is>
          <t>42847922MDD3003</t>
        </is>
      </c>
    </row>
    <row r="196">
      <c r="A196" s="2" t="str">
        <f>HYPERLINK("https://vtmf.veevavault.com/ui/#doc_info/25799424/1/0", "42847922MDD3003---Committee Process-27 Feb 2024 (v1.0)")</f>
        <v>42847922MDD3003---Committee Process-27 Feb 2024 (v1.0)</v>
      </c>
      <c r="B196" s="3" t="inlineStr">
        <is>
          <t>Trial Management</t>
        </is>
      </c>
      <c r="C196" s="3" t="inlineStr">
        <is>
          <t>Trial Committee</t>
        </is>
      </c>
      <c r="D196" s="3" t="inlineStr">
        <is>
          <t>Committee Process</t>
        </is>
      </c>
      <c r="E196" s="3" t="inlineStr">
        <is>
          <t>Escalation Plan_27Feb2024</t>
        </is>
      </c>
      <c r="F196" s="2" t="str">
        <f>HYPERLINK("https://vtmf.veevavault.com/ui/#doc_info/25799424/1/0", "VTMF-20601998")</f>
        <v>VTMF-20601998</v>
      </c>
      <c r="G196" s="3" t="inlineStr">
        <is>
          <t/>
        </is>
      </c>
      <c r="H196" s="3" t="inlineStr">
        <is>
          <t>Anthony Suarez (veeva.com)</t>
        </is>
      </c>
      <c r="I196" s="3" t="inlineStr">
        <is>
          <t>Stephanie Bachman</t>
        </is>
      </c>
      <c r="J196" s="4" t="n">
        <v>45349.58650462963</v>
      </c>
      <c r="K196" s="5" t="n">
        <v>45349.0</v>
      </c>
      <c r="L196" s="5" t="n">
        <v>45349.0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42847922MDD3003</t>
        </is>
      </c>
    </row>
    <row r="197">
      <c r="A197" s="2" t="str">
        <f>HYPERLINK("https://vtmf.veevavault.com/ui/#doc_info/26251099/2/0", "42847922MDD3003---Communication Plan-02 May 2024 (v2.0)")</f>
        <v>42847922MDD3003---Communication Plan-02 May 2024 (v2.0)</v>
      </c>
      <c r="B197" s="3" t="inlineStr">
        <is>
          <t>Trial Management</t>
        </is>
      </c>
      <c r="C197" s="3" t="inlineStr">
        <is>
          <t>Trial Oversight</t>
        </is>
      </c>
      <c r="D197" s="3" t="inlineStr">
        <is>
          <t>Communication Plan</t>
        </is>
      </c>
      <c r="E197" s="3" t="inlineStr">
        <is>
          <t>42847922MDD3003_Project Management Plan_Clario_v1.0_2MAY2024.pdf</t>
        </is>
      </c>
      <c r="F197" s="2" t="str">
        <f>HYPERLINK("https://vtmf.veevavault.com/ui/#doc_info/26251099/2/0", "VTMF-20999115")</f>
        <v>VTMF-20999115</v>
      </c>
      <c r="G197" s="3" t="inlineStr">
        <is>
          <t/>
        </is>
      </c>
      <c r="H197" s="3" t="inlineStr">
        <is>
          <t>Anthony Suarez (veeva.com)</t>
        </is>
      </c>
      <c r="I197" s="3" t="inlineStr">
        <is>
          <t>Jennifer Hockenbury</t>
        </is>
      </c>
      <c r="J197" s="4" t="n">
        <v>45448.83587962963</v>
      </c>
      <c r="K197" s="5" t="n">
        <v>45593.0</v>
      </c>
      <c r="L197" s="5" t="n">
        <v>45414.0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42847922MDD3003</t>
        </is>
      </c>
    </row>
    <row r="198">
      <c r="A198" s="2" t="str">
        <f>HYPERLINK("https://vtmf.veevavault.com/ui/#doc_info/26454879/3/0", "42847922MDD3003---Communication Plan-06 Aug 2025 (v3.0)")</f>
        <v>42847922MDD3003---Communication Plan-06 Aug 2025 (v3.0)</v>
      </c>
      <c r="B198" s="3" t="inlineStr">
        <is>
          <t>Trial Management</t>
        </is>
      </c>
      <c r="C198" s="3" t="inlineStr">
        <is>
          <t>Trial Oversight</t>
        </is>
      </c>
      <c r="D198" s="3" t="inlineStr">
        <is>
          <t>Communication Plan</t>
        </is>
      </c>
      <c r="E198" s="3" t="inlineStr">
        <is>
          <t>Clario eCOA Project Management Plan v3.0</t>
        </is>
      </c>
      <c r="F198" s="2" t="str">
        <f>HYPERLINK("https://vtmf.veevavault.com/ui/#doc_info/26454879/3/0", "VTMF-21177688")</f>
        <v>VTMF-21177688</v>
      </c>
      <c r="G198" s="3" t="inlineStr">
        <is>
          <t/>
        </is>
      </c>
      <c r="H198" s="3" t="inlineStr">
        <is>
          <t>System</t>
        </is>
      </c>
      <c r="I198" s="3" t="inlineStr">
        <is>
          <t>Charles Hayes</t>
        </is>
      </c>
      <c r="J198" s="4" t="n">
        <v>45876.010787037034</v>
      </c>
      <c r="K198" s="5" t="n">
        <v>45875.0</v>
      </c>
      <c r="L198" s="5" t="n">
        <v>45875.0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42847922MDD3003</t>
        </is>
      </c>
    </row>
    <row r="199">
      <c r="A199" s="2" t="str">
        <f>HYPERLINK("https://vtmf.veevavault.com/ui/#doc_info/30970967/2/0", "42847922MDD3003---Communication Plan-14 Jan 2026 (v2.0)")</f>
        <v>42847922MDD3003---Communication Plan-14 Jan 2026 (v2.0)</v>
      </c>
      <c r="B199" s="3" t="inlineStr">
        <is>
          <t>Trial Management</t>
        </is>
      </c>
      <c r="C199" s="3" t="inlineStr">
        <is>
          <t>Trial Oversight</t>
        </is>
      </c>
      <c r="D199" s="3" t="inlineStr">
        <is>
          <t>Communication Plan</t>
        </is>
      </c>
      <c r="E199" s="3" t="inlineStr">
        <is>
          <t>Beacon Biosignals Study Contact List_V3</t>
        </is>
      </c>
      <c r="F199" s="2" t="str">
        <f>HYPERLINK("https://vtmf.veevavault.com/ui/#doc_info/30970967/2/0", "VTMF-24964222")</f>
        <v>VTMF-24964222</v>
      </c>
      <c r="G199" s="3" t="inlineStr">
        <is>
          <t/>
        </is>
      </c>
      <c r="H199" s="3" t="inlineStr">
        <is>
          <t>Charles Hayes</t>
        </is>
      </c>
      <c r="I199" s="3" t="inlineStr">
        <is>
          <t>Charles Hayes</t>
        </is>
      </c>
      <c r="J199" s="4" t="n">
        <v>46064.91138888889</v>
      </c>
      <c r="K199" s="5" t="n">
        <v>46064.0</v>
      </c>
      <c r="L199" s="5" t="n">
        <v>46036.0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42847922MDD3003</t>
        </is>
      </c>
    </row>
    <row r="200">
      <c r="A200" s="2" t="str">
        <f>HYPERLINK("https://vtmf.veevavault.com/ui/#doc_info/28696257/2/0", "42847922MDD3003---Communication Plan-18 Jul 2025 (v2.0)")</f>
        <v>42847922MDD3003---Communication Plan-18 Jul 2025 (v2.0)</v>
      </c>
      <c r="B200" s="3" t="inlineStr">
        <is>
          <t>Trial Management</t>
        </is>
      </c>
      <c r="C200" s="3" t="inlineStr">
        <is>
          <t>Trial Oversight</t>
        </is>
      </c>
      <c r="D200" s="3" t="inlineStr">
        <is>
          <t>Communication Plan</t>
        </is>
      </c>
      <c r="E200" s="3" t="inlineStr">
        <is>
          <t>Beacon DREEM Project Management Plan_v2.0</t>
        </is>
      </c>
      <c r="F200" s="2" t="str">
        <f>HYPERLINK("https://vtmf.veevavault.com/ui/#doc_info/28696257/2/0", "VTMF-23051442")</f>
        <v>VTMF-23051442</v>
      </c>
      <c r="G200" s="3" t="inlineStr">
        <is>
          <t/>
        </is>
      </c>
      <c r="H200" s="3" t="inlineStr">
        <is>
          <t>Charles Hayes</t>
        </is>
      </c>
      <c r="I200" s="3" t="inlineStr">
        <is>
          <t>Charles Hayes</t>
        </is>
      </c>
      <c r="J200" s="4" t="n">
        <v>45856.74627314815</v>
      </c>
      <c r="K200" s="5" t="n">
        <v>45856.0</v>
      </c>
      <c r="L200" s="5" t="n">
        <v>45856.0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42847922MDD3003</t>
        </is>
      </c>
    </row>
    <row r="201">
      <c r="A201" s="2" t="str">
        <f>HYPERLINK("https://vtmf.veevavault.com/ui/#doc_info/28704618/1/0", "42847922MDD3003---Communication Plan-18 Mar 2025 (v1.0)")</f>
        <v>42847922MDD3003---Communication Plan-18 Mar 2025 (v1.0)</v>
      </c>
      <c r="B201" s="3" t="inlineStr">
        <is>
          <t>Trial Management</t>
        </is>
      </c>
      <c r="C201" s="3" t="inlineStr">
        <is>
          <t>Trial Oversight</t>
        </is>
      </c>
      <c r="D201" s="3" t="inlineStr">
        <is>
          <t>Communication Plan</t>
        </is>
      </c>
      <c r="E201" s="3" t="inlineStr">
        <is>
          <t>Beacon Support Mgmt. Plan_v1.0 ; 18MAR2025</t>
        </is>
      </c>
      <c r="F201" s="2" t="str">
        <f>HYPERLINK("https://vtmf.veevavault.com/ui/#doc_info/28704618/1/0", "VTMF-23058906")</f>
        <v>VTMF-23058906</v>
      </c>
      <c r="G201" s="3" t="inlineStr">
        <is>
          <t/>
        </is>
      </c>
      <c r="H201" s="3" t="inlineStr">
        <is>
          <t>Anthony Suarez (veeva.com)</t>
        </is>
      </c>
      <c r="I201" s="3" t="inlineStr">
        <is>
          <t>Charles Hayes</t>
        </is>
      </c>
      <c r="J201" s="4" t="n">
        <v>45735.98148148148</v>
      </c>
      <c r="K201" s="5" t="n">
        <v>45735.0</v>
      </c>
      <c r="L201" s="5" t="n">
        <v>45734.0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42847922MDD3003</t>
        </is>
      </c>
    </row>
    <row r="202">
      <c r="A202" s="2" t="str">
        <f>HYPERLINK("https://vtmf.veevavault.com/ui/#doc_info/25356510/1/0", "42847922MDD3003---Confidentiality Agreement-04 Dec 2023 (v1.0)")</f>
        <v>42847922MDD3003---Confidentiality Agreement-04 Dec 2023 (v1.0)</v>
      </c>
      <c r="B202" s="3" t="inlineStr">
        <is>
          <t>Site Management</t>
        </is>
      </c>
      <c r="C202" s="3" t="inlineStr">
        <is>
          <t>Site Selection</t>
        </is>
      </c>
      <c r="D202" s="3" t="inlineStr">
        <is>
          <t>Confidentiality Agreement</t>
        </is>
      </c>
      <c r="E202" s="3" t="inlineStr">
        <is>
          <t>CLINICAL TRIAL CDA template</t>
        </is>
      </c>
      <c r="F202" s="2" t="str">
        <f>HYPERLINK("https://vtmf.veevavault.com/ui/#doc_info/25356510/1/0", "VTMF-20214724")</f>
        <v>VTMF-20214724</v>
      </c>
      <c r="G202" s="3" t="inlineStr">
        <is>
          <t/>
        </is>
      </c>
      <c r="H202" s="3" t="inlineStr">
        <is>
          <t>Anthony Suarez (veeva.com)</t>
        </is>
      </c>
      <c r="I202" s="3" t="inlineStr">
        <is>
          <t>Tania Cruz</t>
        </is>
      </c>
      <c r="J202" s="4" t="n">
        <v>45275.84596064815</v>
      </c>
      <c r="K202" s="5" t="n">
        <v>45275.0</v>
      </c>
      <c r="L202" s="5" t="n">
        <v>45264.0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42847922MDD3003, 67953964MDD3005, 67953964MDD3007, 89495120MDD2001</t>
        </is>
      </c>
    </row>
    <row r="203">
      <c r="A203" s="2" t="str">
        <f>HYPERLINK("https://vtmf.veevavault.com/ui/#doc_info/25408014/1/0", "42847922MDD3003---Confidentiality Agreement-06 Dec 2023 (v1.0)")</f>
        <v>42847922MDD3003---Confidentiality Agreement-06 Dec 2023 (v1.0)</v>
      </c>
      <c r="B203" s="3" t="inlineStr">
        <is>
          <t>Site Management</t>
        </is>
      </c>
      <c r="C203" s="3" t="inlineStr">
        <is>
          <t>Site Selection</t>
        </is>
      </c>
      <c r="D203" s="3" t="inlineStr">
        <is>
          <t>Confidentiality Agreement</t>
        </is>
      </c>
      <c r="E203" s="3" t="inlineStr">
        <is>
          <t>MDD2001/3003/3005 and 3007 - IP Attorney CDA Review Forms - written approval_06-Dec-2023</t>
        </is>
      </c>
      <c r="F203" s="2" t="str">
        <f>HYPERLINK("https://vtmf.veevavault.com/ui/#doc_info/25408014/1/0", "VTMF-20258812")</f>
        <v>VTMF-20258812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Arturo Munguia</t>
        </is>
      </c>
      <c r="J203" s="4" t="n">
        <v>45286.805185185185</v>
      </c>
      <c r="K203" s="5" t="n">
        <v>45286.0</v>
      </c>
      <c r="L203" s="5" t="n">
        <v>45266.0</v>
      </c>
      <c r="M203" s="3" t="inlineStr">
        <is>
          <t>Approved</t>
        </is>
      </c>
      <c r="N203" s="3" t="inlineStr">
        <is>
          <t>Available for Distribution, Site Start</t>
        </is>
      </c>
      <c r="O203" s="3" t="inlineStr">
        <is>
          <t>42847922MDD3003, 67953964MDD3005, 67953964MDD3007, 89495120MDD2001</t>
        </is>
      </c>
    </row>
    <row r="204">
      <c r="A204" s="2" t="str">
        <f>HYPERLINK("https://vtmf.veevavault.com/ui/#doc_info/25165776/1/0", "42847922MDD3003---Confidentiality Agreement-08 Nov 2023 (v1.0)")</f>
        <v>42847922MDD3003---Confidentiality Agreement-08 Nov 2023 (v1.0)</v>
      </c>
      <c r="B204" s="3" t="inlineStr">
        <is>
          <t>Site Management</t>
        </is>
      </c>
      <c r="C204" s="3" t="inlineStr">
        <is>
          <t>Site Selection</t>
        </is>
      </c>
      <c r="D204" s="3" t="inlineStr">
        <is>
          <t>Confidentiality Agreement</t>
        </is>
      </c>
      <c r="E204" s="3" t="inlineStr">
        <is>
          <t>IP Attorney CDA Review Form_Woodrow, H; 08Nov2023</t>
        </is>
      </c>
      <c r="F204" s="2" t="str">
        <f>HYPERLINK("https://vtmf.veevavault.com/ui/#doc_info/25165776/1/0", "VTMF-20048692")</f>
        <v>VTMF-20048692</v>
      </c>
      <c r="G204" s="3" t="inlineStr">
        <is>
          <t/>
        </is>
      </c>
      <c r="H204" s="3" t="inlineStr">
        <is>
          <t>System</t>
        </is>
      </c>
      <c r="I204" s="3" t="inlineStr">
        <is>
          <t>Debhora Garcia</t>
        </is>
      </c>
      <c r="J204" s="4" t="n">
        <v>45244.65306712963</v>
      </c>
      <c r="K204" s="5" t="n">
        <v>45244.0</v>
      </c>
      <c r="L204" s="5" t="n">
        <v>45238.0</v>
      </c>
      <c r="M204" s="3" t="inlineStr">
        <is>
          <t>Approved</t>
        </is>
      </c>
      <c r="N204" s="3" t="inlineStr">
        <is>
          <t>Available for Distribution, Site Start</t>
        </is>
      </c>
      <c r="O204" s="3" t="inlineStr">
        <is>
          <t>42847922MDD3003</t>
        </is>
      </c>
    </row>
    <row r="205">
      <c r="A205" s="2" t="str">
        <f>HYPERLINK("https://vtmf.veevavault.com/ui/#doc_info/24746447/1/0", "42847922MDD3003---Contractual Agreement-05 Sep 2023 (v1.0)")</f>
        <v>42847922MDD3003---Contractual Agreement-05 Sep 2023 (v1.0)</v>
      </c>
      <c r="B205" s="3" t="inlineStr">
        <is>
          <t>Third Parties</t>
        </is>
      </c>
      <c r="C205" s="3" t="inlineStr">
        <is>
          <t>Third Party Set-up</t>
        </is>
      </c>
      <c r="D205" s="3" t="inlineStr">
        <is>
          <t>Contractual Agreement</t>
        </is>
      </c>
      <c r="E205" s="3" t="inlineStr">
        <is>
          <t>42847922MDD3003 -- Supplier Agreements filed in ICD</t>
        </is>
      </c>
      <c r="F205" s="2" t="str">
        <f>HYPERLINK("https://vtmf.veevavault.com/ui/#doc_info/24746447/1/0", "VTMF-19679036")</f>
        <v>VTMF-19679036</v>
      </c>
      <c r="G205" s="3" t="inlineStr">
        <is>
          <t>International Contract Database (ICD)</t>
        </is>
      </c>
      <c r="H205" s="3" t="inlineStr">
        <is>
          <t>Anthony Suarez (veeva.com)</t>
        </is>
      </c>
      <c r="I205" s="3" t="inlineStr">
        <is>
          <t>Dana Cappiccille</t>
        </is>
      </c>
      <c r="J205" s="4" t="n">
        <v>45174.665300925924</v>
      </c>
      <c r="K205" s="5" t="n">
        <v>45174.0</v>
      </c>
      <c r="L205" s="5" t="n">
        <v>45174.0</v>
      </c>
      <c r="M205" s="3" t="inlineStr">
        <is>
          <t>Approved</t>
        </is>
      </c>
      <c r="N205" s="3" t="inlineStr">
        <is>
          <t>Study Start</t>
        </is>
      </c>
      <c r="O205" s="3" t="inlineStr">
        <is>
          <t>42847922MDD3003</t>
        </is>
      </c>
    </row>
    <row r="206">
      <c r="A206" s="2" t="str">
        <f>HYPERLINK("https://vtmf.veevavault.com/ui/#doc_info/29422611/1/0", "42847922MDD3003---Contractual Agreement-09 Jul 2024 (v1.0)")</f>
        <v>42847922MDD3003---Contractual Agreement-09 Jul 2024 (v1.0)</v>
      </c>
      <c r="B206" s="3" t="inlineStr">
        <is>
          <t>Third Parties</t>
        </is>
      </c>
      <c r="C206" s="3" t="inlineStr">
        <is>
          <t>Third Party Set-up</t>
        </is>
      </c>
      <c r="D206" s="3" t="inlineStr">
        <is>
          <t>Contractual Agreement</t>
        </is>
      </c>
      <c r="E206" s="3" t="inlineStr">
        <is>
          <t>LabCorp SOW Budget</t>
        </is>
      </c>
      <c r="F206" s="2" t="str">
        <f>HYPERLINK("https://vtmf.veevavault.com/ui/#doc_info/29422611/1/0", "VTMF-23659112")</f>
        <v>VTMF-23659112</v>
      </c>
      <c r="G206" s="3" t="inlineStr">
        <is>
          <t/>
        </is>
      </c>
      <c r="H206" s="3" t="inlineStr">
        <is>
          <t>Anthony Suarez (veeva.com)</t>
        </is>
      </c>
      <c r="I206" s="3" t="inlineStr">
        <is>
          <t>Gina Stefanelli</t>
        </is>
      </c>
      <c r="J206" s="4" t="n">
        <v>45831.703668981485</v>
      </c>
      <c r="K206" s="5" t="n">
        <v>45831.0</v>
      </c>
      <c r="L206" s="5" t="n">
        <v>45482.0</v>
      </c>
      <c r="M206" s="3" t="inlineStr">
        <is>
          <t>Approved</t>
        </is>
      </c>
      <c r="N206" s="3" t="inlineStr">
        <is>
          <t>Study Start</t>
        </is>
      </c>
      <c r="O206" s="3" t="inlineStr">
        <is>
          <t>42847922MDD3003</t>
        </is>
      </c>
    </row>
    <row r="207">
      <c r="A207" s="2" t="str">
        <f>HYPERLINK("https://vtmf.veevavault.com/ui/#doc_info/29422619/1/0", "42847922MDD3003---Contractual Agreement-19 Nov 2024 (v1.0)")</f>
        <v>42847922MDD3003---Contractual Agreement-19 Nov 2024 (v1.0)</v>
      </c>
      <c r="B207" s="3" t="inlineStr">
        <is>
          <t>Third Parties</t>
        </is>
      </c>
      <c r="C207" s="3" t="inlineStr">
        <is>
          <t>Third Party Set-up</t>
        </is>
      </c>
      <c r="D207" s="3" t="inlineStr">
        <is>
          <t>Contractual Agreement</t>
        </is>
      </c>
      <c r="E207" s="3" t="inlineStr">
        <is>
          <t>LabCorp SOW Budget</t>
        </is>
      </c>
      <c r="F207" s="2" t="str">
        <f>HYPERLINK("https://vtmf.veevavault.com/ui/#doc_info/29422619/1/0", "VTMF-23659129")</f>
        <v>VTMF-23659129</v>
      </c>
      <c r="G207" s="3" t="inlineStr">
        <is>
          <t/>
        </is>
      </c>
      <c r="H207" s="3" t="inlineStr">
        <is>
          <t>Anthony Suarez (veeva.com)</t>
        </is>
      </c>
      <c r="I207" s="3" t="inlineStr">
        <is>
          <t>Gina Stefanelli</t>
        </is>
      </c>
      <c r="J207" s="4" t="n">
        <v>45831.70501157407</v>
      </c>
      <c r="K207" s="5" t="n">
        <v>45831.0</v>
      </c>
      <c r="L207" s="5" t="n">
        <v>45615.0</v>
      </c>
      <c r="M207" s="3" t="inlineStr">
        <is>
          <t>Approved</t>
        </is>
      </c>
      <c r="N207" s="3" t="inlineStr">
        <is>
          <t>Study Start</t>
        </is>
      </c>
      <c r="O207" s="3" t="inlineStr">
        <is>
          <t>42847922MDD3003</t>
        </is>
      </c>
    </row>
    <row r="208">
      <c r="A208" s="2" t="str">
        <f>HYPERLINK("https://vtmf.veevavault.com/ui/#doc_info/26734612/5/0", "42847922MDD3003---CRF Completion Requirements-18 May 2026 (v5.0)")</f>
        <v>42847922MDD3003---CRF Completion Requirements-18 May 2026 (v5.0)</v>
      </c>
      <c r="B208" s="3" t="inlineStr">
        <is>
          <t>Data Management</t>
        </is>
      </c>
      <c r="C208" s="3" t="inlineStr">
        <is>
          <t>Data Capture</t>
        </is>
      </c>
      <c r="D208" s="3" t="inlineStr">
        <is>
          <t>CRF Completion Requirements</t>
        </is>
      </c>
      <c r="E208" s="3" t="inlineStr">
        <is>
          <t>42847922MDD3003_eCRF_Completion_Guidelines V5.0</t>
        </is>
      </c>
      <c r="F208" s="2" t="str">
        <f>HYPERLINK("https://vtmf.veevavault.com/ui/#doc_info/26734612/5/0", "VTMF-21422763")</f>
        <v>VTMF-21422763</v>
      </c>
      <c r="G208" s="3" t="inlineStr">
        <is>
          <t/>
        </is>
      </c>
      <c r="H208" s="3" t="inlineStr">
        <is>
          <t>System</t>
        </is>
      </c>
      <c r="I208" s="3" t="inlineStr">
        <is>
          <t>JAMES SHARP</t>
        </is>
      </c>
      <c r="J208" s="4" t="n">
        <v>46168.9071412037</v>
      </c>
      <c r="K208" s="5" t="n">
        <v>46168.0</v>
      </c>
      <c r="L208" s="5" t="n">
        <v>46160.0</v>
      </c>
      <c r="M208" s="3" t="inlineStr">
        <is>
          <t>Approved</t>
        </is>
      </c>
      <c r="N208" s="3" t="inlineStr">
        <is>
          <t>Available for Distribution, CLIX Filing, Study Start</t>
        </is>
      </c>
      <c r="O208" s="3" t="inlineStr">
        <is>
          <t>42847922MDD3003</t>
        </is>
      </c>
    </row>
    <row r="209">
      <c r="A209" s="2" t="str">
        <f>HYPERLINK("https://vtmf.veevavault.com/ui/#doc_info/25004260/1/0", "42847922MDD3003---CSC Clinical Trial Medication Labels (v1.0)")</f>
        <v>42847922MDD3003---CSC Clinical Trial Medication Labels (v1.0)</v>
      </c>
      <c r="B209" s="3" t="inlineStr">
        <is>
          <t>IP and Trial Supplies</t>
        </is>
      </c>
      <c r="C209" s="3" t="inlineStr">
        <is>
          <t>IP Documentation</t>
        </is>
      </c>
      <c r="D209" s="3" t="inlineStr">
        <is>
          <t>CSC Clinical Trial Medication Labels</t>
        </is>
      </c>
      <c r="E209" s="3" t="inlineStr">
        <is>
          <t>All medication labels reside in NGENCODAC.</t>
        </is>
      </c>
      <c r="F209" s="2" t="str">
        <f>HYPERLINK("https://vtmf.veevavault.com/ui/#doc_info/25004260/1/0", "VTMF-19907612")</f>
        <v>VTMF-19907612</v>
      </c>
      <c r="G209" s="3" t="inlineStr">
        <is>
          <t>NGENCODAC - E2 Clinical Packaging and Labeling</t>
        </is>
      </c>
      <c r="H209" s="3" t="inlineStr">
        <is>
          <t>Anthony Suarez (veeva.com)</t>
        </is>
      </c>
      <c r="I209" s="3" t="inlineStr">
        <is>
          <t>Kim Van Peer</t>
        </is>
      </c>
      <c r="J209" s="4" t="n">
        <v>45218.48520833333</v>
      </c>
      <c r="K209" s="5" t="n">
        <v>45218.0</v>
      </c>
      <c r="L209" s="5" t="n">
        <v>45218.0</v>
      </c>
      <c r="M209" s="3" t="inlineStr">
        <is>
          <t>Approved</t>
        </is>
      </c>
      <c r="N209" s="3" t="inlineStr">
        <is>
          <t/>
        </is>
      </c>
      <c r="O209" s="3" t="inlineStr">
        <is>
          <t>42847922MDD3003</t>
        </is>
      </c>
    </row>
    <row r="210">
      <c r="A210" s="2" t="str">
        <f>HYPERLINK("https://vtmf.veevavault.com/ui/#doc_info/26628529/3/0", "42847922MDD3003---Data Flow Diagram-10 Jun 2026 (v3.0)")</f>
        <v>42847922MDD3003---Data Flow Diagram-10 Jun 2026 (v3.0)</v>
      </c>
      <c r="B210" s="3" t="inlineStr">
        <is>
          <t>Data Management</t>
        </is>
      </c>
      <c r="C210" s="3" t="inlineStr">
        <is>
          <t>Data Management Oversight</t>
        </is>
      </c>
      <c r="D210" s="3" t="inlineStr">
        <is>
          <t>Data Flow Diagram</t>
        </is>
      </c>
      <c r="E210" s="3" t="inlineStr">
        <is>
          <t>42847922MDD3003 Data Flow Diagram V3.0 10JUN2026</t>
        </is>
      </c>
      <c r="F210" s="2" t="str">
        <f>HYPERLINK("https://vtmf.veevavault.com/ui/#doc_info/26628529/3/0", "VTMF-21330200")</f>
        <v>VTMF-21330200</v>
      </c>
      <c r="G210" s="3" t="inlineStr">
        <is>
          <t/>
        </is>
      </c>
      <c r="H210" s="3" t="inlineStr">
        <is>
          <t>System</t>
        </is>
      </c>
      <c r="I210" s="3" t="inlineStr">
        <is>
          <t>Ilona Panis</t>
        </is>
      </c>
      <c r="J210" s="4" t="n">
        <v>46183.583657407406</v>
      </c>
      <c r="K210" s="5" t="n">
        <v>46184.0</v>
      </c>
      <c r="L210" s="5" t="n">
        <v>46183.0</v>
      </c>
      <c r="M210" s="3" t="inlineStr">
        <is>
          <t>Approved</t>
        </is>
      </c>
      <c r="N210" s="3" t="inlineStr">
        <is>
          <t>Study Start</t>
        </is>
      </c>
      <c r="O210" s="3" t="inlineStr">
        <is>
          <t>42847922MDD3003</t>
        </is>
      </c>
    </row>
    <row r="211">
      <c r="A211" s="2" t="str">
        <f>HYPERLINK("https://vtmf.veevavault.com/ui/#doc_info/31800630/1/0", "42847922MDD3003---Data Management Plan-02 Jun 2026 (v1.0)")</f>
        <v>42847922MDD3003---Data Management Plan-02 Jun 2026 (v1.0)</v>
      </c>
      <c r="B211" s="3" t="inlineStr">
        <is>
          <t>Data Management</t>
        </is>
      </c>
      <c r="C211" s="3" t="inlineStr">
        <is>
          <t>Data Management Oversight</t>
        </is>
      </c>
      <c r="D211" s="3" t="inlineStr">
        <is>
          <t>Data Management Plan</t>
        </is>
      </c>
      <c r="E211" s="3" t="inlineStr">
        <is>
          <t>42847922MDD3003 Data Handling Report_V0.1 (TV-eFRM-15971_v3.0)_Final Part 1 lock JS</t>
        </is>
      </c>
      <c r="F211" s="2" t="str">
        <f>HYPERLINK("https://vtmf.veevavault.com/ui/#doc_info/31800630/1/0", "VTMF-25669768")</f>
        <v>VTMF-25669768</v>
      </c>
      <c r="G211" s="3" t="inlineStr">
        <is>
          <t/>
        </is>
      </c>
      <c r="H211" s="3" t="inlineStr">
        <is>
          <t>System</t>
        </is>
      </c>
      <c r="I211" s="3" t="inlineStr">
        <is>
          <t>JAMES SHARP</t>
        </is>
      </c>
      <c r="J211" s="4" t="n">
        <v>46175.98471064815</v>
      </c>
      <c r="K211" s="5" t="n">
        <v>46175.0</v>
      </c>
      <c r="L211" s="5" t="n">
        <v>46175.0</v>
      </c>
      <c r="M211" s="3" t="inlineStr">
        <is>
          <t>Approved</t>
        </is>
      </c>
      <c r="N211" s="3" t="inlineStr">
        <is>
          <t>Study Start</t>
        </is>
      </c>
      <c r="O211" s="3" t="inlineStr">
        <is>
          <t>42847922MDD3003</t>
        </is>
      </c>
    </row>
    <row r="212">
      <c r="A212" s="2" t="str">
        <f>HYPERLINK("https://vtmf.veevavault.com/ui/#doc_info/27340205/1/0", "42847922MDD3003---Data Management Plan-03 Oct 2024 (v1.0)")</f>
        <v>42847922MDD3003---Data Management Plan-03 Oct 2024 (v1.0)</v>
      </c>
      <c r="B212" s="3" t="inlineStr">
        <is>
          <t>Data Management</t>
        </is>
      </c>
      <c r="C212" s="3" t="inlineStr">
        <is>
          <t>Data Management Oversight</t>
        </is>
      </c>
      <c r="D212" s="3" t="inlineStr">
        <is>
          <t>Data Management Plan</t>
        </is>
      </c>
      <c r="E212" s="3" t="inlineStr">
        <is>
          <t>Clario eCOA Data Management Plan (DMP)_v1.0</t>
        </is>
      </c>
      <c r="F212" s="2" t="str">
        <f>HYPERLINK("https://vtmf.veevavault.com/ui/#doc_info/27340205/1/0", "VTMF-21930949")</f>
        <v>VTMF-21930949</v>
      </c>
      <c r="G212" s="3" t="inlineStr">
        <is>
          <t/>
        </is>
      </c>
      <c r="H212" s="3" t="inlineStr">
        <is>
          <t>Anthony Suarez (veeva.com)</t>
        </is>
      </c>
      <c r="I212" s="3" t="inlineStr">
        <is>
          <t>Amrita Trueblood</t>
        </is>
      </c>
      <c r="J212" s="4" t="n">
        <v>45590.96796296296</v>
      </c>
      <c r="K212" s="5" t="n">
        <v>45596.0</v>
      </c>
      <c r="L212" s="5" t="n">
        <v>45568.0</v>
      </c>
      <c r="M212" s="3" t="inlineStr">
        <is>
          <t>Approved</t>
        </is>
      </c>
      <c r="N212" s="3" t="inlineStr">
        <is>
          <t>Study Start</t>
        </is>
      </c>
      <c r="O212" s="3" t="inlineStr">
        <is>
          <t>42847922MDD3003</t>
        </is>
      </c>
    </row>
    <row r="213">
      <c r="A213" s="2" t="str">
        <f>HYPERLINK("https://vtmf.veevavault.com/ui/#doc_info/27434274/1/0", "42847922MDD3003---Data Management Plan-06 Nov 2024 (v1.0)")</f>
        <v>42847922MDD3003---Data Management Plan-06 Nov 2024 (v1.0)</v>
      </c>
      <c r="B213" s="3" t="inlineStr">
        <is>
          <t>Data Management</t>
        </is>
      </c>
      <c r="C213" s="3" t="inlineStr">
        <is>
          <t>Data Management Oversight</t>
        </is>
      </c>
      <c r="D213" s="3" t="inlineStr">
        <is>
          <t>Data Management Plan</t>
        </is>
      </c>
      <c r="E213" s="3" t="inlineStr">
        <is>
          <t>42847922MDD3003_Secure Data Handling Plan Document_v1.0_06NOV2024</t>
        </is>
      </c>
      <c r="F213" s="2" t="str">
        <f>HYPERLINK("https://vtmf.veevavault.com/ui/#doc_info/27434274/1/0", "VTMF-22000953")</f>
        <v>VTMF-22000953</v>
      </c>
      <c r="G213" s="3" t="inlineStr">
        <is>
          <t/>
        </is>
      </c>
      <c r="H213" s="3" t="inlineStr">
        <is>
          <t>Anthony Suarez (veeva.com)</t>
        </is>
      </c>
      <c r="I213" s="3" t="inlineStr">
        <is>
          <t>Shashikant Behera</t>
        </is>
      </c>
      <c r="J213" s="4" t="n">
        <v>45602.820763888885</v>
      </c>
      <c r="K213" s="5" t="n">
        <v>45607.0</v>
      </c>
      <c r="L213" s="5" t="n">
        <v>45602.0</v>
      </c>
      <c r="M213" s="3" t="inlineStr">
        <is>
          <t>Approved</t>
        </is>
      </c>
      <c r="N213" s="3" t="inlineStr">
        <is>
          <t>Study Start</t>
        </is>
      </c>
      <c r="O213" s="3" t="inlineStr">
        <is>
          <t>42847922MDD3003</t>
        </is>
      </c>
    </row>
    <row r="214">
      <c r="A214" s="2" t="str">
        <f>HYPERLINK("https://vtmf.veevavault.com/ui/#doc_info/25607458/3/0", "42847922MDD3003---Data Management Plan-28 May 2026 (v3.0)")</f>
        <v>42847922MDD3003---Data Management Plan-28 May 2026 (v3.0)</v>
      </c>
      <c r="B214" s="3" t="inlineStr">
        <is>
          <t>Data Management</t>
        </is>
      </c>
      <c r="C214" s="3" t="inlineStr">
        <is>
          <t>Data Management Oversight</t>
        </is>
      </c>
      <c r="D214" s="3" t="inlineStr">
        <is>
          <t>Data Management Plan</t>
        </is>
      </c>
      <c r="E214" s="3" t="inlineStr">
        <is>
          <t>Study Assessment File_V3.0</t>
        </is>
      </c>
      <c r="F214" s="2" t="str">
        <f>HYPERLINK("https://vtmf.veevavault.com/ui/#doc_info/25607458/3/0", "VTMF-20433183")</f>
        <v>VTMF-20433183</v>
      </c>
      <c r="G214" s="3" t="inlineStr">
        <is>
          <t/>
        </is>
      </c>
      <c r="H214" s="3" t="inlineStr">
        <is>
          <t>System</t>
        </is>
      </c>
      <c r="I214" s="3" t="inlineStr">
        <is>
          <t>Ilona Panis</t>
        </is>
      </c>
      <c r="J214" s="4" t="n">
        <v>46170.68145833333</v>
      </c>
      <c r="K214" s="5" t="n">
        <v>46170.0</v>
      </c>
      <c r="L214" s="5" t="n">
        <v>46170.0</v>
      </c>
      <c r="M214" s="3" t="inlineStr">
        <is>
          <t>Approved</t>
        </is>
      </c>
      <c r="N214" s="3" t="inlineStr">
        <is>
          <t>Study Start</t>
        </is>
      </c>
      <c r="O214" s="3" t="inlineStr">
        <is>
          <t>42847922MDD3003</t>
        </is>
      </c>
    </row>
    <row r="215">
      <c r="A215" s="2" t="str">
        <f>HYPERLINK("https://vtmf.veevavault.com/ui/#doc_info/26572270/2/0", "42847922MDD3003---Data Management Plan-28 May 2026 (v2.0)")</f>
        <v>42847922MDD3003---Data Management Plan-28 May 2026 (v2.0)</v>
      </c>
      <c r="B215" s="3" t="inlineStr">
        <is>
          <t>Data Management</t>
        </is>
      </c>
      <c r="C215" s="3" t="inlineStr">
        <is>
          <t>Data Management Oversight</t>
        </is>
      </c>
      <c r="D215" s="3" t="inlineStr">
        <is>
          <t>Data Management Plan</t>
        </is>
      </c>
      <c r="E215" s="3" t="inlineStr">
        <is>
          <t>Data Management Plan_ V2.0 28-MAY-2026</t>
        </is>
      </c>
      <c r="F215" s="2" t="str">
        <f>HYPERLINK("https://vtmf.veevavault.com/ui/#doc_info/26572270/2/0", "VTMF-21281134")</f>
        <v>VTMF-21281134</v>
      </c>
      <c r="G215" s="3" t="inlineStr">
        <is>
          <t/>
        </is>
      </c>
      <c r="H215" s="3" t="inlineStr">
        <is>
          <t>System</t>
        </is>
      </c>
      <c r="I215" s="3" t="inlineStr">
        <is>
          <t>Mahija Manchakal</t>
        </is>
      </c>
      <c r="J215" s="4" t="n">
        <v>46170.85045138889</v>
      </c>
      <c r="K215" s="5" t="n">
        <v>46170.0</v>
      </c>
      <c r="L215" s="5" t="n">
        <v>46170.0</v>
      </c>
      <c r="M215" s="3" t="inlineStr">
        <is>
          <t>Approved</t>
        </is>
      </c>
      <c r="N215" s="3" t="inlineStr">
        <is>
          <t>Study Start</t>
        </is>
      </c>
      <c r="O215" s="3" t="inlineStr">
        <is>
          <t>42847922MDD3003</t>
        </is>
      </c>
    </row>
    <row r="216">
      <c r="A216" s="2" t="str">
        <f>HYPERLINK("https://vtmf.veevavault.com/ui/#doc_info/29082460/1/0", "42847922MDD3003---Data Management Plan-29 Apr 2025 (v1.0)")</f>
        <v>42847922MDD3003---Data Management Plan-29 Apr 2025 (v1.0)</v>
      </c>
      <c r="B216" s="3" t="inlineStr">
        <is>
          <t>Data Management</t>
        </is>
      </c>
      <c r="C216" s="3" t="inlineStr">
        <is>
          <t>Data Management Oversight</t>
        </is>
      </c>
      <c r="D216" s="3" t="inlineStr">
        <is>
          <t>Data Management Plan</t>
        </is>
      </c>
      <c r="E216" s="3" t="inlineStr">
        <is>
          <t>Beacon Bio Polysomnography Data Management Plan_V1.0 ; 29APR2025</t>
        </is>
      </c>
      <c r="F216" s="2" t="str">
        <f>HYPERLINK("https://vtmf.veevavault.com/ui/#doc_info/29082460/1/0", "VTMF-23367960")</f>
        <v>VTMF-23367960</v>
      </c>
      <c r="G216" s="3" t="inlineStr">
        <is>
          <t/>
        </is>
      </c>
      <c r="H216" s="3" t="inlineStr">
        <is>
          <t>Anthony Suarez (veeva.com)</t>
        </is>
      </c>
      <c r="I216" s="3" t="inlineStr">
        <is>
          <t>Charles Hayes</t>
        </is>
      </c>
      <c r="J216" s="4" t="n">
        <v>45786.89765046296</v>
      </c>
      <c r="K216" s="5" t="n">
        <v>45786.0</v>
      </c>
      <c r="L216" s="5" t="n">
        <v>45776.0</v>
      </c>
      <c r="M216" s="3" t="inlineStr">
        <is>
          <t>Approved</t>
        </is>
      </c>
      <c r="N216" s="3" t="inlineStr">
        <is>
          <t>Study Start</t>
        </is>
      </c>
      <c r="O216" s="3" t="inlineStr">
        <is>
          <t>42847922MDD3003</t>
        </is>
      </c>
    </row>
    <row r="217">
      <c r="A217" s="2" t="str">
        <f>HYPERLINK("https://vtmf.veevavault.com/ui/#doc_info/28056747/1/0", "42847922MDD3003---Data Protection Impact Assessment (DPIA)-10 Jan 2025 (v1.0)")</f>
        <v>42847922MDD3003---Data Protection Impact Assessment (DPIA)-10 Jan 2025 (v1.0)</v>
      </c>
      <c r="B217" s="3" t="inlineStr">
        <is>
          <t>Data Management</t>
        </is>
      </c>
      <c r="C217" s="3" t="inlineStr">
        <is>
          <t>General</t>
        </is>
      </c>
      <c r="D217" s="3" t="inlineStr">
        <is>
          <t>Data Protection Impact Assessment (DPIA)</t>
        </is>
      </c>
      <c r="E217" s="3" t="inlineStr">
        <is>
          <t>42847922MDD3003_TV-eFRM-15277_10Jan2025_Final.</t>
        </is>
      </c>
      <c r="F217" s="2" t="str">
        <f>HYPERLINK("https://vtmf.veevavault.com/ui/#doc_info/28056747/1/0", "VTMF-22499419")</f>
        <v>VTMF-22499419</v>
      </c>
      <c r="G217" s="3" t="inlineStr">
        <is>
          <t/>
        </is>
      </c>
      <c r="H217" s="3" t="inlineStr">
        <is>
          <t>Anthony Suarez (veeva.com)</t>
        </is>
      </c>
      <c r="I217" s="3" t="inlineStr">
        <is>
          <t>Gina Stefanelli</t>
        </is>
      </c>
      <c r="J217" s="4" t="n">
        <v>45667.638506944444</v>
      </c>
      <c r="K217" s="5" t="n">
        <v>45667.0</v>
      </c>
      <c r="L217" s="5" t="n">
        <v>45667.0</v>
      </c>
      <c r="M217" s="3" t="inlineStr">
        <is>
          <t>Approved</t>
        </is>
      </c>
      <c r="N217" s="3" t="inlineStr">
        <is>
          <t/>
        </is>
      </c>
      <c r="O217" s="3" t="inlineStr">
        <is>
          <t>42847922MDD3003</t>
        </is>
      </c>
    </row>
    <row r="218">
      <c r="A218" s="2" t="str">
        <f>HYPERLINK("https://vtmf.veevavault.com/ui/#doc_info/28057029/1/0", "42847922MDD3003---Data Protection Impact Assessment (DPIA)-10 Jan 2025 (v1.0)")</f>
        <v>42847922MDD3003---Data Protection Impact Assessment (DPIA)-10 Jan 2025 (v1.0)</v>
      </c>
      <c r="B218" s="3" t="inlineStr">
        <is>
          <t>Data Management</t>
        </is>
      </c>
      <c r="C218" s="3" t="inlineStr">
        <is>
          <t>General</t>
        </is>
      </c>
      <c r="D218" s="3" t="inlineStr">
        <is>
          <t>Data Protection Impact Assessment (DPIA)</t>
        </is>
      </c>
      <c r="E218" s="3" t="inlineStr">
        <is>
          <t>42847922MDD3003_Study Specific Data Protection Impact Assessment_ (DPIA)_TV-eFRM-14874_v2.0_10Jan2025_Final.</t>
        </is>
      </c>
      <c r="F218" s="2" t="str">
        <f>HYPERLINK("https://vtmf.veevavault.com/ui/#doc_info/28057029/1/0", "VTMF-22499599")</f>
        <v>VTMF-22499599</v>
      </c>
      <c r="G218" s="3" t="inlineStr">
        <is>
          <t/>
        </is>
      </c>
      <c r="H218" s="3" t="inlineStr">
        <is>
          <t>Anthony Suarez (veeva.com)</t>
        </is>
      </c>
      <c r="I218" s="3" t="inlineStr">
        <is>
          <t>Gina Stefanelli</t>
        </is>
      </c>
      <c r="J218" s="4" t="n">
        <v>45667.6609375</v>
      </c>
      <c r="K218" s="5" t="n">
        <v>45667.0</v>
      </c>
      <c r="L218" s="5" t="n">
        <v>45667.0</v>
      </c>
      <c r="M218" s="3" t="inlineStr">
        <is>
          <t>Approved</t>
        </is>
      </c>
      <c r="N218" s="3" t="inlineStr">
        <is>
          <t/>
        </is>
      </c>
      <c r="O218" s="3" t="inlineStr">
        <is>
          <t>42847922MDD3003</t>
        </is>
      </c>
    </row>
    <row r="219">
      <c r="A219" s="2" t="str">
        <f>HYPERLINK("https://vtmf.veevavault.com/ui/#doc_info/29050330/1/0", "42847922MDD3003---Data Protection Impact Assessment (DPIA)-10 Jan 2025 (v1.0)")</f>
        <v>42847922MDD3003---Data Protection Impact Assessment (DPIA)-10 Jan 2025 (v1.0)</v>
      </c>
      <c r="B219" s="3" t="inlineStr">
        <is>
          <t>Data Management</t>
        </is>
      </c>
      <c r="C219" s="3" t="inlineStr">
        <is>
          <t>General</t>
        </is>
      </c>
      <c r="D219" s="3" t="inlineStr">
        <is>
          <t>Data Protection Impact Assessment (DPIA)</t>
        </is>
      </c>
      <c r="E219" s="3" t="inlineStr">
        <is>
          <t>42847922MDD3003 DPIA form 15277 - DPIA &amp; Cross Border Transfer Completed and finalised; 10Jan2025</t>
        </is>
      </c>
      <c r="F219" s="2" t="str">
        <f>HYPERLINK("https://vtmf.veevavault.com/ui/#doc_info/29050330/1/0", "VTMF-23341582")</f>
        <v>VTMF-23341582</v>
      </c>
      <c r="G219" s="3" t="inlineStr">
        <is>
          <t/>
        </is>
      </c>
      <c r="H219" s="3" t="inlineStr">
        <is>
          <t>Anthony Suarez (veeva.com)</t>
        </is>
      </c>
      <c r="I219" s="3" t="inlineStr">
        <is>
          <t>Debhora Garcia</t>
        </is>
      </c>
      <c r="J219" s="4" t="n">
        <v>45783.75171296296</v>
      </c>
      <c r="K219" s="5" t="n">
        <v>45783.0</v>
      </c>
      <c r="L219" s="5" t="n">
        <v>45667.0</v>
      </c>
      <c r="M219" s="3" t="inlineStr">
        <is>
          <t>Approved</t>
        </is>
      </c>
      <c r="N219" s="3" t="inlineStr">
        <is>
          <t/>
        </is>
      </c>
      <c r="O219" s="3" t="inlineStr">
        <is>
          <t>42847922MDD3003</t>
        </is>
      </c>
    </row>
    <row r="220">
      <c r="A220" s="2" t="str">
        <f>HYPERLINK("https://vtmf.veevavault.com/ui/#doc_info/26225561/1/0", "42847922MDD3003---Data Protection Impact Assessment (DPIA)-23 Apr 2024 (v1.0)")</f>
        <v>42847922MDD3003---Data Protection Impact Assessment (DPIA)-23 Apr 2024 (v1.0)</v>
      </c>
      <c r="B220" s="3" t="inlineStr">
        <is>
          <t>Data Management</t>
        </is>
      </c>
      <c r="C220" s="3" t="inlineStr">
        <is>
          <t>General</t>
        </is>
      </c>
      <c r="D220" s="3" t="inlineStr">
        <is>
          <t>Data Protection Impact Assessment (DPIA)</t>
        </is>
      </c>
      <c r="E220" s="3" t="inlineStr">
        <is>
          <t>42847922MDD3003 Measures for Cross Border Transfer &amp; Transfer Impact Assessment 23Apr2024</t>
        </is>
      </c>
      <c r="F220" s="2" t="str">
        <f>HYPERLINK("https://vtmf.veevavault.com/ui/#doc_info/26225561/1/0", "VTMF-20976825")</f>
        <v>VTMF-20976825</v>
      </c>
      <c r="G220" s="3" t="inlineStr">
        <is>
          <t/>
        </is>
      </c>
      <c r="H220" s="3" t="inlineStr">
        <is>
          <t>Anthony Suarez (veeva.com)</t>
        </is>
      </c>
      <c r="I220" s="3" t="inlineStr">
        <is>
          <t>Jamie Hardy</t>
        </is>
      </c>
      <c r="J220" s="4" t="n">
        <v>45411.62365740741</v>
      </c>
      <c r="K220" s="5" t="n">
        <v>45411.0</v>
      </c>
      <c r="L220" s="5" t="n">
        <v>45405.0</v>
      </c>
      <c r="M220" s="3" t="inlineStr">
        <is>
          <t>Approved</t>
        </is>
      </c>
      <c r="N220" s="3" t="inlineStr">
        <is>
          <t/>
        </is>
      </c>
      <c r="O220" s="3" t="inlineStr">
        <is>
          <t>42847922MDD3003</t>
        </is>
      </c>
    </row>
    <row r="221">
      <c r="A221" s="2" t="str">
        <f>HYPERLINK("https://vtmf.veevavault.com/ui/#doc_info/26225583/1/0", "42847922MDD3003---Data Protection Impact Assessment (DPIA)-23 Apr 2024 (v1.0)")</f>
        <v>42847922MDD3003---Data Protection Impact Assessment (DPIA)-23 Apr 2024 (v1.0)</v>
      </c>
      <c r="B221" s="3" t="inlineStr">
        <is>
          <t>Data Management</t>
        </is>
      </c>
      <c r="C221" s="3" t="inlineStr">
        <is>
          <t>General</t>
        </is>
      </c>
      <c r="D221" s="3" t="inlineStr">
        <is>
          <t>Data Protection Impact Assessment (DPIA)</t>
        </is>
      </c>
      <c r="E221" s="3" t="inlineStr">
        <is>
          <t>42847922MDD3003_Study Specific Data Protection Impact Assessment (DPIA)_23Apr2024</t>
        </is>
      </c>
      <c r="F221" s="2" t="str">
        <f>HYPERLINK("https://vtmf.veevavault.com/ui/#doc_info/26225583/1/0", "VTMF-20976865")</f>
        <v>VTMF-20976865</v>
      </c>
      <c r="G221" s="3" t="inlineStr">
        <is>
          <t/>
        </is>
      </c>
      <c r="H221" s="3" t="inlineStr">
        <is>
          <t>Anthony Suarez (veeva.com)</t>
        </is>
      </c>
      <c r="I221" s="3" t="inlineStr">
        <is>
          <t>Jamie Hardy</t>
        </is>
      </c>
      <c r="J221" s="4" t="n">
        <v>45411.62787037037</v>
      </c>
      <c r="K221" s="5" t="n">
        <v>45411.0</v>
      </c>
      <c r="L221" s="5" t="n">
        <v>45405.0</v>
      </c>
      <c r="M221" s="3" t="inlineStr">
        <is>
          <t>Approved</t>
        </is>
      </c>
      <c r="N221" s="3" t="inlineStr">
        <is>
          <t/>
        </is>
      </c>
      <c r="O221" s="3" t="inlineStr">
        <is>
          <t>42847922MDD3003</t>
        </is>
      </c>
    </row>
    <row r="222">
      <c r="A222" s="2" t="str">
        <f>HYPERLINK("https://vtmf.veevavault.com/ui/#doc_info/31818821/1/0", "42847922MDD3003---Database Lock Notification-04 Jun 2026 (v1.0)")</f>
        <v>42847922MDD3003---Database Lock Notification-04 Jun 2026 (v1.0)</v>
      </c>
      <c r="B222" s="3" t="inlineStr">
        <is>
          <t>Data Management</t>
        </is>
      </c>
      <c r="C222" s="3" t="inlineStr">
        <is>
          <t>Database</t>
        </is>
      </c>
      <c r="D222" s="3" t="inlineStr">
        <is>
          <t>Database Lock Notification</t>
        </is>
      </c>
      <c r="E222" s="3" t="inlineStr">
        <is>
          <t>Database Lock Notification Memo -- Part 1</t>
        </is>
      </c>
      <c r="F222" s="2" t="str">
        <f>HYPERLINK("https://vtmf.veevavault.com/ui/#doc_info/31818821/1/0", "VTMF-25685004")</f>
        <v>VTMF-25685004</v>
      </c>
      <c r="G222" s="3" t="inlineStr">
        <is>
          <t/>
        </is>
      </c>
      <c r="H222" s="3" t="inlineStr">
        <is>
          <t>System</t>
        </is>
      </c>
      <c r="I222" s="3" t="inlineStr">
        <is>
          <t>JAMES SHARP</t>
        </is>
      </c>
      <c r="J222" s="4" t="n">
        <v>46177.9071412037</v>
      </c>
      <c r="K222" s="5" t="n">
        <v>46177.0</v>
      </c>
      <c r="L222" s="5" t="n">
        <v>46177.0</v>
      </c>
      <c r="M222" s="3" t="inlineStr">
        <is>
          <t>Approved</t>
        </is>
      </c>
      <c r="N222" s="3" t="inlineStr">
        <is>
          <t>Study Close</t>
        </is>
      </c>
      <c r="O222" s="3" t="inlineStr">
        <is>
          <t>42847922MDD3003</t>
        </is>
      </c>
    </row>
    <row r="223">
      <c r="A223" s="2" t="str">
        <f>HYPERLINK("https://vtmf.veevavault.com/ui/#doc_info/29069532/1/0", "42847922MDD3003---Database Lock Notification-07 May 2025 (v1.0)")</f>
        <v>42847922MDD3003---Database Lock Notification-07 May 2025 (v1.0)</v>
      </c>
      <c r="B223" s="3" t="inlineStr">
        <is>
          <t>Data Management</t>
        </is>
      </c>
      <c r="C223" s="3" t="inlineStr">
        <is>
          <t>Database</t>
        </is>
      </c>
      <c r="D223" s="3" t="inlineStr">
        <is>
          <t>Database Lock Notification</t>
        </is>
      </c>
      <c r="E223" s="3" t="inlineStr">
        <is>
          <t>Database Release Notification_DBR_DSUR_20250507_42847922MDD3003</t>
        </is>
      </c>
      <c r="F223" s="2" t="str">
        <f>HYPERLINK("https://vtmf.veevavault.com/ui/#doc_info/29069532/1/0", "VTMF-23357430")</f>
        <v>VTMF-23357430</v>
      </c>
      <c r="G223" s="3" t="inlineStr">
        <is>
          <t/>
        </is>
      </c>
      <c r="H223" s="3" t="inlineStr">
        <is>
          <t>Anthony Suarez (veeva.com)</t>
        </is>
      </c>
      <c r="I223" s="3" t="inlineStr">
        <is>
          <t>Lentz Brice</t>
        </is>
      </c>
      <c r="J223" s="4" t="n">
        <v>45785.64104166667</v>
      </c>
      <c r="K223" s="5" t="n">
        <v>45785.0</v>
      </c>
      <c r="L223" s="5" t="n">
        <v>45784.0</v>
      </c>
      <c r="M223" s="3" t="inlineStr">
        <is>
          <t>Approved</t>
        </is>
      </c>
      <c r="N223" s="3" t="inlineStr">
        <is>
          <t>Study Close</t>
        </is>
      </c>
      <c r="O223" s="3" t="inlineStr">
        <is>
          <t>42847922MDD3003</t>
        </is>
      </c>
    </row>
    <row r="224">
      <c r="A224" s="2" t="str">
        <f>HYPERLINK("https://vtmf.veevavault.com/ui/#doc_info/29069515/1/0", "42847922MDD3003---Database Lock Notification-27 Mar 2025 (v1.0)")</f>
        <v>42847922MDD3003---Database Lock Notification-27 Mar 2025 (v1.0)</v>
      </c>
      <c r="B224" s="3" t="inlineStr">
        <is>
          <t>Data Management</t>
        </is>
      </c>
      <c r="C224" s="3" t="inlineStr">
        <is>
          <t>Database</t>
        </is>
      </c>
      <c r="D224" s="3" t="inlineStr">
        <is>
          <t>Database Lock Notification</t>
        </is>
      </c>
      <c r="E224" s="3" t="inlineStr">
        <is>
          <t>Database Release Notification_DBR_IDMC_20250327_42847922MDD3003</t>
        </is>
      </c>
      <c r="F224" s="2" t="str">
        <f>HYPERLINK("https://vtmf.veevavault.com/ui/#doc_info/29069515/1/0", "VTMF-23357400")</f>
        <v>VTMF-23357400</v>
      </c>
      <c r="G224" s="3" t="inlineStr">
        <is>
          <t/>
        </is>
      </c>
      <c r="H224" s="3" t="inlineStr">
        <is>
          <t>Anthony Suarez (veeva.com)</t>
        </is>
      </c>
      <c r="I224" s="3" t="inlineStr">
        <is>
          <t>Lentz Brice</t>
        </is>
      </c>
      <c r="J224" s="4" t="n">
        <v>45785.63826388889</v>
      </c>
      <c r="K224" s="5" t="n">
        <v>45785.0</v>
      </c>
      <c r="L224" s="5" t="n">
        <v>45743.0</v>
      </c>
      <c r="M224" s="3" t="inlineStr">
        <is>
          <t>Approved</t>
        </is>
      </c>
      <c r="N224" s="3" t="inlineStr">
        <is>
          <t>Study Close</t>
        </is>
      </c>
      <c r="O224" s="3" t="inlineStr">
        <is>
          <t>42847922MDD3003</t>
        </is>
      </c>
    </row>
    <row r="225">
      <c r="A225" s="2" t="str">
        <f>HYPERLINK("https://vtmf.veevavault.com/ui/#doc_info/28704539/4/0", "42847922MDD3003---Database Release Plan-01 Jun 2026 (v4.0)")</f>
        <v>42847922MDD3003---Database Release Plan-01 Jun 2026 (v4.0)</v>
      </c>
      <c r="B225" s="3" t="inlineStr">
        <is>
          <t>Data Management</t>
        </is>
      </c>
      <c r="C225" s="3" t="inlineStr">
        <is>
          <t>Data Management Oversight</t>
        </is>
      </c>
      <c r="D225" s="3" t="inlineStr">
        <is>
          <t>Database Release Plan</t>
        </is>
      </c>
      <c r="E225" s="3" t="inlineStr">
        <is>
          <t>Database Release Plan-V5.0</t>
        </is>
      </c>
      <c r="F225" s="2" t="str">
        <f>HYPERLINK("https://vtmf.veevavault.com/ui/#doc_info/28704539/4/0", "VTMF-23058823")</f>
        <v>VTMF-23058823</v>
      </c>
      <c r="G225" s="3" t="inlineStr">
        <is>
          <t/>
        </is>
      </c>
      <c r="H225" s="3" t="inlineStr">
        <is>
          <t>System</t>
        </is>
      </c>
      <c r="I225" s="3" t="inlineStr">
        <is>
          <t>Ilona Panis</t>
        </is>
      </c>
      <c r="J225" s="4" t="n">
        <v>46174.86701388889</v>
      </c>
      <c r="K225" s="5" t="n">
        <v>46175.0</v>
      </c>
      <c r="L225" s="5" t="n">
        <v>46174.0</v>
      </c>
      <c r="M225" s="3" t="inlineStr">
        <is>
          <t>Approved</t>
        </is>
      </c>
      <c r="N225" s="3" t="inlineStr">
        <is>
          <t>Study Start</t>
        </is>
      </c>
      <c r="O225" s="3" t="inlineStr">
        <is>
          <t>42847922MDD3003</t>
        </is>
      </c>
    </row>
    <row r="226">
      <c r="A226" s="2" t="str">
        <f>HYPERLINK("https://vtmf.veevavault.com/ui/#doc_info/26780488/1/0", "42847922MDD3003---Database Release Plan-26 Jul 2024 (v1.0)")</f>
        <v>42847922MDD3003---Database Release Plan-26 Jul 2024 (v1.0)</v>
      </c>
      <c r="B226" s="3" t="inlineStr">
        <is>
          <t>Data Management</t>
        </is>
      </c>
      <c r="C226" s="3" t="inlineStr">
        <is>
          <t>Data Management Oversight</t>
        </is>
      </c>
      <c r="D226" s="3" t="inlineStr">
        <is>
          <t>Database Release Plan</t>
        </is>
      </c>
      <c r="E226" s="3" t="inlineStr">
        <is>
          <t>42847922MDD3003 Database Release Plan TV-FRM-05894 V1.0 26July2024</t>
        </is>
      </c>
      <c r="F226" s="2" t="str">
        <f>HYPERLINK("https://vtmf.veevavault.com/ui/#doc_info/26780488/1/0", "VTMF-21462043")</f>
        <v>VTMF-21462043</v>
      </c>
      <c r="G226" s="3" t="inlineStr">
        <is>
          <t/>
        </is>
      </c>
      <c r="H226" s="3" t="inlineStr">
        <is>
          <t>Anthony Suarez (veeva.com)</t>
        </is>
      </c>
      <c r="I226" s="3" t="inlineStr">
        <is>
          <t>Laree LaPierre</t>
        </is>
      </c>
      <c r="J226" s="4" t="n">
        <v>45499.96060185185</v>
      </c>
      <c r="K226" s="5" t="n">
        <v>45502.0</v>
      </c>
      <c r="L226" s="5" t="n">
        <v>45499.0</v>
      </c>
      <c r="M226" s="3" t="inlineStr">
        <is>
          <t>Approved</t>
        </is>
      </c>
      <c r="N226" s="3" t="inlineStr">
        <is>
          <t>Study Start</t>
        </is>
      </c>
      <c r="O226" s="3" t="inlineStr">
        <is>
          <t>42847922MDD3003</t>
        </is>
      </c>
    </row>
    <row r="227">
      <c r="A227" s="2" t="str">
        <f>HYPERLINK("https://vtmf.veevavault.com/ui/#doc_info/25800119/5/0", "42847922MDD3003---Database Specifications-07 Aug 2025 (v5.0)")</f>
        <v>42847922MDD3003---Database Specifications-07 Aug 2025 (v5.0)</v>
      </c>
      <c r="B227" s="3" t="inlineStr">
        <is>
          <t>Data Management</t>
        </is>
      </c>
      <c r="C227" s="3" t="inlineStr">
        <is>
          <t>Database</t>
        </is>
      </c>
      <c r="D227" s="3" t="inlineStr">
        <is>
          <t>Database Specifications</t>
        </is>
      </c>
      <c r="E227" s="3" t="inlineStr">
        <is>
          <t>Clario eCOA Charter Document v4.0</t>
        </is>
      </c>
      <c r="F227" s="2" t="str">
        <f>HYPERLINK("https://vtmf.veevavault.com/ui/#doc_info/25800119/5/0", "VTMF-20602591")</f>
        <v>VTMF-20602591</v>
      </c>
      <c r="G227" s="3" t="inlineStr">
        <is>
          <t/>
        </is>
      </c>
      <c r="H227" s="3" t="inlineStr">
        <is>
          <t>System</t>
        </is>
      </c>
      <c r="I227" s="3" t="inlineStr">
        <is>
          <t>Charles Hayes</t>
        </is>
      </c>
      <c r="J227" s="4" t="n">
        <v>45888.74599537037</v>
      </c>
      <c r="K227" s="5" t="n">
        <v>45888.0</v>
      </c>
      <c r="L227" s="5" t="n">
        <v>45876.0</v>
      </c>
      <c r="M227" s="3" t="inlineStr">
        <is>
          <t>Approved</t>
        </is>
      </c>
      <c r="N227" s="3" t="inlineStr">
        <is>
          <t>Study Start</t>
        </is>
      </c>
      <c r="O227" s="3" t="inlineStr">
        <is>
          <t>42847922MDD3003</t>
        </is>
      </c>
    </row>
    <row r="228">
      <c r="A228" s="2" t="str">
        <f>HYPERLINK("https://vtmf.veevavault.com/ui/#doc_info/30270444/1/0", "42847922MDD3003---Database Specifications-22 Feb 2024 (v1.0)")</f>
        <v>42847922MDD3003---Database Specifications-22 Feb 2024 (v1.0)</v>
      </c>
      <c r="B228" s="3" t="inlineStr">
        <is>
          <t>Data Management</t>
        </is>
      </c>
      <c r="C228" s="3" t="inlineStr">
        <is>
          <t>Database</t>
        </is>
      </c>
      <c r="D228" s="3" t="inlineStr">
        <is>
          <t>Database Specifications</t>
        </is>
      </c>
      <c r="E228" s="3" t="inlineStr">
        <is>
          <t>Design Freeze Memo</t>
        </is>
      </c>
      <c r="F228" s="2" t="str">
        <f>HYPERLINK("https://vtmf.veevavault.com/ui/#doc_info/30270444/1/0", "VTMF-24374816")</f>
        <v>VTMF-24374816</v>
      </c>
      <c r="G228" s="3" t="inlineStr">
        <is>
          <t/>
        </is>
      </c>
      <c r="H228" s="3" t="inlineStr">
        <is>
          <t>System</t>
        </is>
      </c>
      <c r="I228" s="3" t="inlineStr">
        <is>
          <t>Stephanie Bachman</t>
        </is>
      </c>
      <c r="J228" s="4" t="n">
        <v>45960.71555555556</v>
      </c>
      <c r="K228" s="5" t="n">
        <v>45960.0</v>
      </c>
      <c r="L228" s="5" t="n">
        <v>45344.0</v>
      </c>
      <c r="M228" s="3" t="inlineStr">
        <is>
          <t>Approved</t>
        </is>
      </c>
      <c r="N228" s="3" t="inlineStr">
        <is>
          <t>Study Start</t>
        </is>
      </c>
      <c r="O228" s="3" t="inlineStr">
        <is>
          <t>42847922MDD3003</t>
        </is>
      </c>
    </row>
    <row r="229">
      <c r="A229" s="2" t="str">
        <f>HYPERLINK("https://vtmf.veevavault.com/ui/#doc_info/26192492/2/0", "42847922MDD3003---Dictionary Coding-22 Oct 2024 (v2.0)")</f>
        <v>42847922MDD3003---Dictionary Coding-22 Oct 2024 (v2.0)</v>
      </c>
      <c r="B229" s="3" t="inlineStr">
        <is>
          <t>Data Management</t>
        </is>
      </c>
      <c r="C229" s="3" t="inlineStr">
        <is>
          <t>Database</t>
        </is>
      </c>
      <c r="D229" s="3" t="inlineStr">
        <is>
          <t>Dictionary Coding</t>
        </is>
      </c>
      <c r="E229" s="3" t="inlineStr">
        <is>
          <t>42847922MDD3003 TV-FRM-17804 Medical Coding Specifications V2.0 22Oct2024</t>
        </is>
      </c>
      <c r="F229" s="2" t="str">
        <f>HYPERLINK("https://vtmf.veevavault.com/ui/#doc_info/26192492/2/0", "VTMF-20948413")</f>
        <v>VTMF-20948413</v>
      </c>
      <c r="G229" s="3" t="inlineStr">
        <is>
          <t/>
        </is>
      </c>
      <c r="H229" s="3" t="inlineStr">
        <is>
          <t>Anthony Suarez (veeva.com)</t>
        </is>
      </c>
      <c r="I229" s="3" t="inlineStr">
        <is>
          <t>JAMES SHARP</t>
        </is>
      </c>
      <c r="J229" s="4" t="n">
        <v>45587.91200231481</v>
      </c>
      <c r="K229" s="5" t="n">
        <v>45589.0</v>
      </c>
      <c r="L229" s="5" t="n">
        <v>45587.0</v>
      </c>
      <c r="M229" s="3" t="inlineStr">
        <is>
          <t>Approved</t>
        </is>
      </c>
      <c r="N229" s="3" t="inlineStr">
        <is>
          <t>Study Start</t>
        </is>
      </c>
      <c r="O229" s="3" t="inlineStr">
        <is>
          <t>42847922MDD3003</t>
        </is>
      </c>
    </row>
    <row r="230">
      <c r="A230" s="2" t="str">
        <f>HYPERLINK("https://vtmf.veevavault.com/ui/#doc_info/31751812/1/0", "42847922MDD3003---Dictionary Coding-26 May 2026 (v1.0)")</f>
        <v>42847922MDD3003---Dictionary Coding-26 May 2026 (v1.0)</v>
      </c>
      <c r="B230" s="3" t="inlineStr">
        <is>
          <t>Data Management</t>
        </is>
      </c>
      <c r="C230" s="3" t="inlineStr">
        <is>
          <t>Database</t>
        </is>
      </c>
      <c r="D230" s="3" t="inlineStr">
        <is>
          <t>Dictionary Coding</t>
        </is>
      </c>
      <c r="E230" s="3" t="inlineStr">
        <is>
          <t>Coding Review Sign-off DBL Part1</t>
        </is>
      </c>
      <c r="F230" s="2" t="str">
        <f>HYPERLINK("https://vtmf.veevavault.com/ui/#doc_info/31751812/1/0", "VTMF-25627313")</f>
        <v>VTMF-25627313</v>
      </c>
      <c r="G230" s="3" t="inlineStr">
        <is>
          <t/>
        </is>
      </c>
      <c r="H230" s="3" t="inlineStr">
        <is>
          <t>System</t>
        </is>
      </c>
      <c r="I230" s="3" t="inlineStr">
        <is>
          <t>Ilona Panis</t>
        </is>
      </c>
      <c r="J230" s="4" t="n">
        <v>46168.82618055555</v>
      </c>
      <c r="K230" s="5" t="n">
        <v>46168.0</v>
      </c>
      <c r="L230" s="5" t="n">
        <v>46168.0</v>
      </c>
      <c r="M230" s="3" t="inlineStr">
        <is>
          <t>Approved</t>
        </is>
      </c>
      <c r="N230" s="3" t="inlineStr">
        <is>
          <t>Study Start</t>
        </is>
      </c>
      <c r="O230" s="3" t="inlineStr">
        <is>
          <t>42847922MDD3003</t>
        </is>
      </c>
    </row>
    <row r="231">
      <c r="A231" s="2" t="str">
        <f>HYPERLINK("https://vtmf.veevavault.com/ui/#doc_info/31751823/1/0", "42847922MDD3003---Dictionary Coding-26 May 2026 (v1.0)")</f>
        <v>42847922MDD3003---Dictionary Coding-26 May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Dictionary Coding</t>
        </is>
      </c>
      <c r="E231" s="3" t="inlineStr">
        <is>
          <t>Default AE Coding Values of Predefined list - Part 1 DBL</t>
        </is>
      </c>
      <c r="F231" s="2" t="str">
        <f>HYPERLINK("https://vtmf.veevavault.com/ui/#doc_info/31751823/1/0", "VTMF-25627339")</f>
        <v>VTMF-25627339</v>
      </c>
      <c r="G231" s="3" t="inlineStr">
        <is>
          <t/>
        </is>
      </c>
      <c r="H231" s="3" t="inlineStr">
        <is>
          <t>System</t>
        </is>
      </c>
      <c r="I231" s="3" t="inlineStr">
        <is>
          <t>Ilona Panis</t>
        </is>
      </c>
      <c r="J231" s="4" t="n">
        <v>46168.829884259256</v>
      </c>
      <c r="K231" s="5" t="n">
        <v>46168.0</v>
      </c>
      <c r="L231" s="5" t="n">
        <v>46168.0</v>
      </c>
      <c r="M231" s="3" t="inlineStr">
        <is>
          <t>Approved</t>
        </is>
      </c>
      <c r="N231" s="3" t="inlineStr">
        <is>
          <t>Study Start</t>
        </is>
      </c>
      <c r="O231" s="3" t="inlineStr">
        <is>
          <t>42847922MDD3003</t>
        </is>
      </c>
    </row>
    <row r="232">
      <c r="A232" s="2" t="str">
        <f>HYPERLINK("https://vtmf.veevavault.com/ui/#doc_info/31751831/1/0", "42847922MDD3003---Dictionary Coding-26 May 2026 (v1.0)")</f>
        <v>42847922MDD3003---Dictionary Coding-26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Dictionary Coding</t>
        </is>
      </c>
      <c r="E232" s="3" t="inlineStr">
        <is>
          <t>Default CM Coding Values of predefined list</t>
        </is>
      </c>
      <c r="F232" s="2" t="str">
        <f>HYPERLINK("https://vtmf.veevavault.com/ui/#doc_info/31751831/1/0", "VTMF-25627350")</f>
        <v>VTMF-25627350</v>
      </c>
      <c r="G232" s="3" t="inlineStr">
        <is>
          <t/>
        </is>
      </c>
      <c r="H232" s="3" t="inlineStr">
        <is>
          <t>System</t>
        </is>
      </c>
      <c r="I232" s="3" t="inlineStr">
        <is>
          <t>Ilona Panis</t>
        </is>
      </c>
      <c r="J232" s="4" t="n">
        <v>46168.83226851852</v>
      </c>
      <c r="K232" s="5" t="n">
        <v>46168.0</v>
      </c>
      <c r="L232" s="5" t="n">
        <v>46168.0</v>
      </c>
      <c r="M232" s="3" t="inlineStr">
        <is>
          <t>Approved</t>
        </is>
      </c>
      <c r="N232" s="3" t="inlineStr">
        <is>
          <t>Study Start</t>
        </is>
      </c>
      <c r="O232" s="3" t="inlineStr">
        <is>
          <t>42847922MDD3003</t>
        </is>
      </c>
    </row>
    <row r="233">
      <c r="A233" s="2" t="str">
        <f>HYPERLINK("https://vtmf.veevavault.com/ui/#doc_info/31751843/1/0", "42847922MDD3003---Dictionary Coding-26 May 2026 (v1.0)")</f>
        <v>42847922MDD3003---Dictionary Coding-26 May 2026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Dictionary Coding</t>
        </is>
      </c>
      <c r="E233" s="3" t="inlineStr">
        <is>
          <t>Default MH Coding values of predefined list DBL Part 1</t>
        </is>
      </c>
      <c r="F233" s="2" t="str">
        <f>HYPERLINK("https://vtmf.veevavault.com/ui/#doc_info/31751843/1/0", "VTMF-25627373")</f>
        <v>VTMF-25627373</v>
      </c>
      <c r="G233" s="3" t="inlineStr">
        <is>
          <t/>
        </is>
      </c>
      <c r="H233" s="3" t="inlineStr">
        <is>
          <t>System</t>
        </is>
      </c>
      <c r="I233" s="3" t="inlineStr">
        <is>
          <t>Ilona Panis</t>
        </is>
      </c>
      <c r="J233" s="4" t="n">
        <v>46168.83530092592</v>
      </c>
      <c r="K233" s="5" t="n">
        <v>46168.0</v>
      </c>
      <c r="L233" s="5" t="n">
        <v>46168.0</v>
      </c>
      <c r="M233" s="3" t="inlineStr">
        <is>
          <t>Approved</t>
        </is>
      </c>
      <c r="N233" s="3" t="inlineStr">
        <is>
          <t>Study Start</t>
        </is>
      </c>
      <c r="O233" s="3" t="inlineStr">
        <is>
          <t>42847922MDD3003</t>
        </is>
      </c>
    </row>
    <row r="234">
      <c r="A234" s="2" t="str">
        <f>HYPERLINK("https://vtmf.veevavault.com/ui/#doc_info/31861057/1/0", "42847922MDD3003---Distribution Plan (v1.0)")</f>
        <v>42847922MDD3003---Distribution Plan (v1.0)</v>
      </c>
      <c r="B234" s="3" t="inlineStr">
        <is>
          <t>IP and Trial Supplies</t>
        </is>
      </c>
      <c r="C234" s="3" t="inlineStr">
        <is>
          <t>IP Documentation</t>
        </is>
      </c>
      <c r="D234" s="3" t="inlineStr">
        <is>
          <t>Distribution Plan</t>
        </is>
      </c>
      <c r="E234" s="3" t="inlineStr">
        <is>
          <t>All Depots_V#6</t>
        </is>
      </c>
      <c r="F234" s="2" t="str">
        <f>HYPERLINK("https://vtmf.veevavault.com/ui/#doc_info/31861057/1/0", "VTMF-25720754")</f>
        <v>VTMF-25720754</v>
      </c>
      <c r="G234" s="3" t="inlineStr">
        <is>
          <t/>
        </is>
      </c>
      <c r="H234" s="3" t="inlineStr">
        <is>
          <t>System</t>
        </is>
      </c>
      <c r="I234" s="3" t="inlineStr">
        <is>
          <t>Maja Matyszewska</t>
        </is>
      </c>
      <c r="J234" s="4" t="n">
        <v>46184.51420138889</v>
      </c>
      <c r="K234" s="5" t="n">
        <v>46184.0</v>
      </c>
      <c r="L234" s="5" t="n">
        <v>46183.0</v>
      </c>
      <c r="M234" s="3" t="inlineStr">
        <is>
          <t>Approved</t>
        </is>
      </c>
      <c r="N234" s="3" t="inlineStr">
        <is>
          <t/>
        </is>
      </c>
      <c r="O234" s="3" t="inlineStr">
        <is>
          <t>42847922MDD3003</t>
        </is>
      </c>
    </row>
    <row r="235">
      <c r="A235" s="2" t="str">
        <f>HYPERLINK("https://vtmf.veevavault.com/ui/#doc_info/26066307/1/0", "42847922MDD3003---Distribution Plan (v1.0)")</f>
        <v>42847922MDD3003---Distribution Plan (v1.0)</v>
      </c>
      <c r="B235" s="3" t="inlineStr">
        <is>
          <t>IP and Trial Supplies</t>
        </is>
      </c>
      <c r="C235" s="3" t="inlineStr">
        <is>
          <t>IP Documentation</t>
        </is>
      </c>
      <c r="D235" s="3" t="inlineStr">
        <is>
          <t>Distribution Plan</t>
        </is>
      </c>
      <c r="E235" s="3" t="inlineStr">
        <is>
          <t>All Depots_V#1</t>
        </is>
      </c>
      <c r="F235" s="2" t="str">
        <f>HYPERLINK("https://vtmf.veevavault.com/ui/#doc_info/26066307/1/0", "VTMF-20838281")</f>
        <v>VTMF-20838281</v>
      </c>
      <c r="G235" s="3" t="inlineStr">
        <is>
          <t/>
        </is>
      </c>
      <c r="H235" s="3" t="inlineStr">
        <is>
          <t>Anthony Suarez (veeva.com)</t>
        </is>
      </c>
      <c r="I235" s="3" t="inlineStr">
        <is>
          <t>Almudena Ortiz Barahona</t>
        </is>
      </c>
      <c r="J235" s="4" t="n">
        <v>45386.718877314815</v>
      </c>
      <c r="K235" s="5" t="n">
        <v>45386.0</v>
      </c>
      <c r="L235" s="5" t="n">
        <v>45386.0</v>
      </c>
      <c r="M235" s="3" t="inlineStr">
        <is>
          <t>Approved</t>
        </is>
      </c>
      <c r="N235" s="3" t="inlineStr">
        <is>
          <t/>
        </is>
      </c>
      <c r="O235" s="3" t="inlineStr">
        <is>
          <t>42847922MDD3003</t>
        </is>
      </c>
    </row>
    <row r="236">
      <c r="A236" s="2" t="str">
        <f>HYPERLINK("https://vtmf.veevavault.com/ui/#doc_info/26681071/1/0", "42847922MDD3003---Distribution Plan (v1.0)")</f>
        <v>42847922MDD3003---Distribution Plan (v1.0)</v>
      </c>
      <c r="B236" s="3" t="inlineStr">
        <is>
          <t>IP and Trial Supplies</t>
        </is>
      </c>
      <c r="C236" s="3" t="inlineStr">
        <is>
          <t>IP Documentation</t>
        </is>
      </c>
      <c r="D236" s="3" t="inlineStr">
        <is>
          <t>Distribution Plan</t>
        </is>
      </c>
      <c r="E236" s="3" t="inlineStr">
        <is>
          <t>All Depots_V#2</t>
        </is>
      </c>
      <c r="F236" s="2" t="str">
        <f>HYPERLINK("https://vtmf.veevavault.com/ui/#doc_info/26681071/1/0", "VTMF-21376253")</f>
        <v>VTMF-21376253</v>
      </c>
      <c r="G236" s="3" t="inlineStr">
        <is>
          <t/>
        </is>
      </c>
      <c r="H236" s="3" t="inlineStr">
        <is>
          <t>Anthony Suarez (veeva.com)</t>
        </is>
      </c>
      <c r="I236" s="3" t="inlineStr">
        <is>
          <t>Maja Matyszewska</t>
        </is>
      </c>
      <c r="J236" s="4" t="n">
        <v>45483.410150462965</v>
      </c>
      <c r="K236" s="5" t="n">
        <v>45483.0</v>
      </c>
      <c r="L236" s="5" t="n">
        <v>45482.0</v>
      </c>
      <c r="M236" s="3" t="inlineStr">
        <is>
          <t>Approved</t>
        </is>
      </c>
      <c r="N236" s="3" t="inlineStr">
        <is>
          <t/>
        </is>
      </c>
      <c r="O236" s="3" t="inlineStr">
        <is>
          <t>42847922MDD3003</t>
        </is>
      </c>
    </row>
    <row r="237">
      <c r="A237" s="2" t="str">
        <f>HYPERLINK("https://vtmf.veevavault.com/ui/#doc_info/28083111/1/0", "42847922MDD3003---Distribution Plan (v1.0)")</f>
        <v>42847922MDD3003---Distribution Plan (v1.0)</v>
      </c>
      <c r="B237" s="3" t="inlineStr">
        <is>
          <t>IP and Trial Supplies</t>
        </is>
      </c>
      <c r="C237" s="3" t="inlineStr">
        <is>
          <t>IP Documentation</t>
        </is>
      </c>
      <c r="D237" s="3" t="inlineStr">
        <is>
          <t>Distribution Plan</t>
        </is>
      </c>
      <c r="E237" s="3" t="inlineStr">
        <is>
          <t>All Depots_V#3</t>
        </is>
      </c>
      <c r="F237" s="2" t="str">
        <f>HYPERLINK("https://vtmf.veevavault.com/ui/#doc_info/28083111/1/0", "VTMF-22521504")</f>
        <v>VTMF-22521504</v>
      </c>
      <c r="G237" s="3" t="inlineStr">
        <is>
          <t/>
        </is>
      </c>
      <c r="H237" s="3" t="inlineStr">
        <is>
          <t>Anthony Suarez (veeva.com)</t>
        </is>
      </c>
      <c r="I237" s="3" t="inlineStr">
        <is>
          <t>Emily Batastini</t>
        </is>
      </c>
      <c r="J237" s="4" t="n">
        <v>45672.603634259256</v>
      </c>
      <c r="K237" s="5" t="n">
        <v>45672.0</v>
      </c>
      <c r="L237" s="5" t="n">
        <v>45672.0</v>
      </c>
      <c r="M237" s="3" t="inlineStr">
        <is>
          <t>Approved</t>
        </is>
      </c>
      <c r="N237" s="3" t="inlineStr">
        <is>
          <t/>
        </is>
      </c>
      <c r="O237" s="3" t="inlineStr">
        <is>
          <t>42847922MDD3003</t>
        </is>
      </c>
    </row>
    <row r="238">
      <c r="A238" s="2" t="str">
        <f>HYPERLINK("https://vtmf.veevavault.com/ui/#doc_info/29971104/1/0", "42847922MDD3003---Distribution Plan (v1.0)")</f>
        <v>42847922MDD3003---Distribution Plan (v1.0)</v>
      </c>
      <c r="B238" s="3" t="inlineStr">
        <is>
          <t>IP and Trial Supplies</t>
        </is>
      </c>
      <c r="C238" s="3" t="inlineStr">
        <is>
          <t>IP Documentation</t>
        </is>
      </c>
      <c r="D238" s="3" t="inlineStr">
        <is>
          <t>Distribution Plan</t>
        </is>
      </c>
      <c r="E238" s="3" t="inlineStr">
        <is>
          <t>All Depots_V#4</t>
        </is>
      </c>
      <c r="F238" s="2" t="str">
        <f>HYPERLINK("https://vtmf.veevavault.com/ui/#doc_info/29971104/1/0", "VTMF-24128274")</f>
        <v>VTMF-24128274</v>
      </c>
      <c r="G238" s="3" t="inlineStr">
        <is>
          <t/>
        </is>
      </c>
      <c r="H238" s="3" t="inlineStr">
        <is>
          <t>Anthony Suarez (veeva.com)</t>
        </is>
      </c>
      <c r="I238" s="3" t="inlineStr">
        <is>
          <t>Emily Batastini</t>
        </is>
      </c>
      <c r="J238" s="4" t="n">
        <v>45917.82325231482</v>
      </c>
      <c r="K238" s="5" t="n">
        <v>45917.0</v>
      </c>
      <c r="L238" s="5" t="n">
        <v>45910.0</v>
      </c>
      <c r="M238" s="3" t="inlineStr">
        <is>
          <t>Approved</t>
        </is>
      </c>
      <c r="N238" s="3" t="inlineStr">
        <is>
          <t/>
        </is>
      </c>
      <c r="O238" s="3" t="inlineStr">
        <is>
          <t>42847922MDD3003</t>
        </is>
      </c>
    </row>
    <row r="239">
      <c r="A239" s="2" t="str">
        <f>HYPERLINK("https://vtmf.veevavault.com/ui/#doc_info/30511705/1/0", "42847922MDD3003---Distribution Plan (v1.0)")</f>
        <v>42847922MDD3003---Distribution Plan (v1.0)</v>
      </c>
      <c r="B239" s="3" t="inlineStr">
        <is>
          <t>IP and Trial Supplies</t>
        </is>
      </c>
      <c r="C239" s="3" t="inlineStr">
        <is>
          <t>IP Documentation</t>
        </is>
      </c>
      <c r="D239" s="3" t="inlineStr">
        <is>
          <t>Distribution Plan</t>
        </is>
      </c>
      <c r="E239" s="3" t="inlineStr">
        <is>
          <t>All Depots_V#5</t>
        </is>
      </c>
      <c r="F239" s="2" t="str">
        <f>HYPERLINK("https://vtmf.veevavault.com/ui/#doc_info/30511705/1/0", "VTMF-24583056")</f>
        <v>VTMF-24583056</v>
      </c>
      <c r="G239" s="3" t="inlineStr">
        <is>
          <t/>
        </is>
      </c>
      <c r="H239" s="3" t="inlineStr">
        <is>
          <t>Anthony Suarez (veeva.com)</t>
        </is>
      </c>
      <c r="I239" s="3" t="inlineStr">
        <is>
          <t>Maja Matyszewska</t>
        </is>
      </c>
      <c r="J239" s="4" t="n">
        <v>45993.443923611114</v>
      </c>
      <c r="K239" s="5" t="n">
        <v>45993.0</v>
      </c>
      <c r="L239" s="5" t="n">
        <v>45992.0</v>
      </c>
      <c r="M239" s="3" t="inlineStr">
        <is>
          <t>Approved</t>
        </is>
      </c>
      <c r="N239" s="3" t="inlineStr">
        <is>
          <t/>
        </is>
      </c>
      <c r="O239" s="3" t="inlineStr">
        <is>
          <t>42847922MDD3003</t>
        </is>
      </c>
    </row>
    <row r="240">
      <c r="A240" s="2" t="str">
        <f>HYPERLINK("https://vtmf.veevavault.com/ui/#doc_info/26288051/3/0", "42847922MDD3003---ECG Specifications Document-22 Aug 2025 (v3.0)")</f>
        <v>42847922MDD3003---ECG Specifications Document-22 Aug 2025 (v3.0)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ECG Specifications Document</t>
        </is>
      </c>
      <c r="E240" s="3" t="inlineStr">
        <is>
          <t>Clario Project Requirement Specification_Janssen_22Aug2024_V3.0</t>
        </is>
      </c>
      <c r="F240" s="2" t="str">
        <f>HYPERLINK("https://vtmf.veevavault.com/ui/#doc_info/26288051/3/0", "VTMF-21031586")</f>
        <v>VTMF-21031586</v>
      </c>
      <c r="G240" s="3" t="inlineStr">
        <is>
          <t/>
        </is>
      </c>
      <c r="H240" s="3" t="inlineStr">
        <is>
          <t>Desiree Heerstrass</t>
        </is>
      </c>
      <c r="I240" s="3" t="inlineStr">
        <is>
          <t>Debhora Garcia</t>
        </is>
      </c>
      <c r="J240" s="4" t="n">
        <v>45895.04672453704</v>
      </c>
      <c r="K240" s="5" t="n">
        <v>45894.0</v>
      </c>
      <c r="L240" s="5" t="n">
        <v>45891.0</v>
      </c>
      <c r="M240" s="3" t="inlineStr">
        <is>
          <t>Approved</t>
        </is>
      </c>
      <c r="N240" s="3" t="inlineStr">
        <is>
          <t>Study Start</t>
        </is>
      </c>
      <c r="O240" s="3" t="inlineStr">
        <is>
          <t>42847922MDD3003</t>
        </is>
      </c>
    </row>
    <row r="241">
      <c r="A241" s="2" t="str">
        <f>HYPERLINK("https://vtmf.veevavault.com/ui/#doc_info/29930023/1/0", "42847922MDD3003---eCOA UAT Related Document-10 Sep 2025 (v1.0)")</f>
        <v>42847922MDD3003---eCOA UAT Related Document-10 Sep 2025 (v1.0)</v>
      </c>
      <c r="B241" s="3" t="inlineStr">
        <is>
          <t>Data Management</t>
        </is>
      </c>
      <c r="C241" s="3" t="inlineStr">
        <is>
          <t>EDC Management</t>
        </is>
      </c>
      <c r="D241" s="3" t="inlineStr">
        <is>
          <t>eCOA UAT Related Document</t>
        </is>
      </c>
      <c r="E241" s="3" t="inlineStr">
        <is>
          <t>Clario eCOA UAT Acceptance Form_v1.0</t>
        </is>
      </c>
      <c r="F241" s="2" t="str">
        <f>HYPERLINK("https://vtmf.veevavault.com/ui/#doc_info/29930023/1/0", "VTMF-24093330")</f>
        <v>VTMF-24093330</v>
      </c>
      <c r="G241" s="3" t="inlineStr">
        <is>
          <t/>
        </is>
      </c>
      <c r="H241" s="3" t="inlineStr">
        <is>
          <t>System</t>
        </is>
      </c>
      <c r="I241" s="3" t="inlineStr">
        <is>
          <t>Charles Hayes</t>
        </is>
      </c>
      <c r="J241" s="4" t="n">
        <v>45910.979108796295</v>
      </c>
      <c r="K241" s="5" t="n">
        <v>45910.0</v>
      </c>
      <c r="L241" s="5" t="n">
        <v>45910.0</v>
      </c>
      <c r="M241" s="3" t="inlineStr">
        <is>
          <t>Approved</t>
        </is>
      </c>
      <c r="N241" s="3" t="inlineStr">
        <is>
          <t>Study Start</t>
        </is>
      </c>
      <c r="O241" s="3" t="inlineStr">
        <is>
          <t>42847922MDD3003</t>
        </is>
      </c>
    </row>
    <row r="242">
      <c r="A242" s="2" t="str">
        <f>HYPERLINK("https://vtmf.veevavault.com/ui/#doc_info/29094480/1/0", "42847922MDD3003---eCOA UAT Related Document-12 May 2025 (v1.0)")</f>
        <v>42847922MDD3003---eCOA UAT Related Document-12 May 2025 (v1.0)</v>
      </c>
      <c r="B242" s="3" t="inlineStr">
        <is>
          <t>Data Management</t>
        </is>
      </c>
      <c r="C242" s="3" t="inlineStr">
        <is>
          <t>EDC Management</t>
        </is>
      </c>
      <c r="D242" s="3" t="inlineStr">
        <is>
          <t>eCOA UAT Related Document</t>
        </is>
      </c>
      <c r="E242" s="3" t="inlineStr">
        <is>
          <t>UAT Round 4 Acceptance Memo</t>
        </is>
      </c>
      <c r="F242" s="2" t="str">
        <f>HYPERLINK("https://vtmf.veevavault.com/ui/#doc_info/29094480/1/0", "VTMF-23378843")</f>
        <v>VTMF-23378843</v>
      </c>
      <c r="G242" s="3" t="inlineStr">
        <is>
          <t/>
        </is>
      </c>
      <c r="H242" s="3" t="inlineStr">
        <is>
          <t>Anthony Suarez (veeva.com)</t>
        </is>
      </c>
      <c r="I242" s="3" t="inlineStr">
        <is>
          <t>Stephanie Bachman</t>
        </is>
      </c>
      <c r="J242" s="4" t="n">
        <v>45789.89844907408</v>
      </c>
      <c r="K242" s="5" t="n">
        <v>45789.0</v>
      </c>
      <c r="L242" s="5" t="n">
        <v>45789.0</v>
      </c>
      <c r="M242" s="3" t="inlineStr">
        <is>
          <t>Approved</t>
        </is>
      </c>
      <c r="N242" s="3" t="inlineStr">
        <is>
          <t>Study Start</t>
        </is>
      </c>
      <c r="O242" s="3" t="inlineStr">
        <is>
          <t>42847922MDD3003</t>
        </is>
      </c>
    </row>
    <row r="243">
      <c r="A243" s="2" t="str">
        <f>HYPERLINK("https://vtmf.veevavault.com/ui/#doc_info/27201212/1/0", "42847922MDD3003---External Data Transfer Specifications-04 Oct 2024 (v1.0)")</f>
        <v>42847922MDD3003---External Data Transfer Specifications-04 Oct 2024 (v1.0)</v>
      </c>
      <c r="B243" s="3" t="inlineStr">
        <is>
          <t>Data Management</t>
        </is>
      </c>
      <c r="C243" s="3" t="inlineStr">
        <is>
          <t>Database</t>
        </is>
      </c>
      <c r="D243" s="3" t="inlineStr">
        <is>
          <t>External Data Transfer Specifications</t>
        </is>
      </c>
      <c r="E243" s="3" t="inlineStr">
        <is>
          <t>Janssen _42847922MDD3003_DTS_V1.0_04Oct2024_Final</t>
        </is>
      </c>
      <c r="F243" s="2" t="str">
        <f>HYPERLINK("https://vtmf.veevavault.com/ui/#doc_info/27201212/1/0", "VTMF-21811635")</f>
        <v>VTMF-21811635</v>
      </c>
      <c r="G243" s="3" t="inlineStr">
        <is>
          <t/>
        </is>
      </c>
      <c r="H243" s="3" t="inlineStr">
        <is>
          <t>Anthony Suarez (veeva.com)</t>
        </is>
      </c>
      <c r="I243" s="3" t="inlineStr">
        <is>
          <t>Laura Braun</t>
        </is>
      </c>
      <c r="J243" s="4" t="n">
        <v>45569.871157407404</v>
      </c>
      <c r="K243" s="5" t="n">
        <v>45572.0</v>
      </c>
      <c r="L243" s="5" t="n">
        <v>45569.0</v>
      </c>
      <c r="M243" s="3" t="inlineStr">
        <is>
          <t>Approved</t>
        </is>
      </c>
      <c r="N243" s="3" t="inlineStr">
        <is>
          <t>Study Start</t>
        </is>
      </c>
      <c r="O243" s="3" t="inlineStr">
        <is>
          <t>42847922MDD3003</t>
        </is>
      </c>
    </row>
    <row r="244">
      <c r="A244" s="2" t="str">
        <f>HYPERLINK("https://vtmf.veevavault.com/ui/#doc_info/29014309/6/0", "42847922MDD3003---External Data Transfer Specifications-11 Jun 2026 (v6.0)")</f>
        <v>42847922MDD3003---External Data Transfer Specifications-11 Jun 2026 (v6.0)</v>
      </c>
      <c r="B244" s="3" t="inlineStr">
        <is>
          <t>Data Management</t>
        </is>
      </c>
      <c r="C244" s="3" t="inlineStr">
        <is>
          <t>Database</t>
        </is>
      </c>
      <c r="D244" s="3" t="inlineStr">
        <is>
          <t>External Data Transfer Specifications</t>
        </is>
      </c>
      <c r="E244" s="3" t="inlineStr">
        <is>
          <t>Beacon DREEM Polysomnography Data Transfer Specification_v4.0</t>
        </is>
      </c>
      <c r="F244" s="2" t="str">
        <f>HYPERLINK("https://vtmf.veevavault.com/ui/#doc_info/29014309/6/0", "VTMF-23309980")</f>
        <v>VTMF-23309980</v>
      </c>
      <c r="G244" s="3" t="inlineStr">
        <is>
          <t/>
        </is>
      </c>
      <c r="H244" s="3" t="inlineStr">
        <is>
          <t>System</t>
        </is>
      </c>
      <c r="I244" s="3" t="inlineStr">
        <is>
          <t>Heather Huntley</t>
        </is>
      </c>
      <c r="J244" s="4" t="n">
        <v>46183.95513888889</v>
      </c>
      <c r="K244" s="5" t="n">
        <v>46188.0</v>
      </c>
      <c r="L244" s="5" t="n">
        <v>46184.0</v>
      </c>
      <c r="M244" s="3" t="inlineStr">
        <is>
          <t>Approved</t>
        </is>
      </c>
      <c r="N244" s="3" t="inlineStr">
        <is>
          <t>Study Start</t>
        </is>
      </c>
      <c r="O244" s="3" t="inlineStr">
        <is>
          <t>42847922MDD3003</t>
        </is>
      </c>
    </row>
    <row r="245">
      <c r="A245" s="2" t="str">
        <f>HYPERLINK("https://vtmf.veevavault.com/ui/#doc_info/26121172/1/0", "42847922MDD3003---Feasibility Documentation-11 Apr 2024 (v1.0)")</f>
        <v>42847922MDD3003---Feasibility Documentation-11 Apr 2024 (v1.0)</v>
      </c>
      <c r="B245" s="3" t="inlineStr">
        <is>
          <t>Site Management</t>
        </is>
      </c>
      <c r="C245" s="3" t="inlineStr">
        <is>
          <t>Site Selection</t>
        </is>
      </c>
      <c r="D245" s="3" t="inlineStr">
        <is>
          <t>Feasibility Documentation</t>
        </is>
      </c>
      <c r="E245" s="3" t="inlineStr">
        <is>
          <t>Non Selected Site Email_Lupo,C_11Apr2024</t>
        </is>
      </c>
      <c r="F245" s="2" t="str">
        <f>HYPERLINK("https://vtmf.veevavault.com/ui/#doc_info/26121172/1/0", "VTMF-20886987")</f>
        <v>VTMF-20886987</v>
      </c>
      <c r="G245" s="3" t="inlineStr">
        <is>
          <t/>
        </is>
      </c>
      <c r="H245" s="3" t="inlineStr">
        <is>
          <t>Anthony Suarez (veeva.com)</t>
        </is>
      </c>
      <c r="I245" s="3" t="inlineStr">
        <is>
          <t>Zulema Sandruss</t>
        </is>
      </c>
      <c r="J245" s="4" t="n">
        <v>45394.65547453704</v>
      </c>
      <c r="K245" s="5" t="n">
        <v>45394.0</v>
      </c>
      <c r="L245" s="5" t="n">
        <v>45393.0</v>
      </c>
      <c r="M245" s="3" t="inlineStr">
        <is>
          <t>Approved</t>
        </is>
      </c>
      <c r="N245" s="3" t="inlineStr">
        <is>
          <t>Available for Distribution, CLIX Filing, Site Start</t>
        </is>
      </c>
      <c r="O245" s="3" t="inlineStr">
        <is>
          <t>42847922MDD3003, 67953964MDD3005, 67953964MDD3007</t>
        </is>
      </c>
    </row>
    <row r="246">
      <c r="A246" s="2" t="str">
        <f>HYPERLINK("https://vtmf.veevavault.com/ui/#doc_info/26121197/1/0", "42847922MDD3003---Feasibility Documentation-11 Apr 2024 (v1.0)")</f>
        <v>42847922MDD3003---Feasibility Documentation-11 Apr 2024 (v1.0)</v>
      </c>
      <c r="B246" s="3" t="inlineStr">
        <is>
          <t>Site Management</t>
        </is>
      </c>
      <c r="C246" s="3" t="inlineStr">
        <is>
          <t>Site Selection</t>
        </is>
      </c>
      <c r="D246" s="3" t="inlineStr">
        <is>
          <t>Feasibility Documentation</t>
        </is>
      </c>
      <c r="E246" s="3" t="inlineStr">
        <is>
          <t>Non Selected Site Email_Morra,C_11Apr2024</t>
        </is>
      </c>
      <c r="F246" s="2" t="str">
        <f>HYPERLINK("https://vtmf.veevavault.com/ui/#doc_info/26121197/1/0", "VTMF-20887010")</f>
        <v>VTMF-20887010</v>
      </c>
      <c r="G246" s="3" t="inlineStr">
        <is>
          <t/>
        </is>
      </c>
      <c r="H246" s="3" t="inlineStr">
        <is>
          <t>Anthony Suarez (veeva.com)</t>
        </is>
      </c>
      <c r="I246" s="3" t="inlineStr">
        <is>
          <t>Zulema Sandruss</t>
        </is>
      </c>
      <c r="J246" s="4" t="n">
        <v>45394.65837962963</v>
      </c>
      <c r="K246" s="5" t="n">
        <v>45394.0</v>
      </c>
      <c r="L246" s="5" t="n">
        <v>45393.0</v>
      </c>
      <c r="M246" s="3" t="inlineStr">
        <is>
          <t>Approved</t>
        </is>
      </c>
      <c r="N246" s="3" t="inlineStr">
        <is>
          <t>Available for Distribution, CLIX Filing, Site Start</t>
        </is>
      </c>
      <c r="O246" s="3" t="inlineStr">
        <is>
          <t>42847922MDD3003, 67953964MDD3005, 67953964MDD3007</t>
        </is>
      </c>
    </row>
    <row r="247">
      <c r="A247" s="2" t="str">
        <f>HYPERLINK("https://vtmf.veevavault.com/ui/#doc_info/26121246/1/0", "42847922MDD3003---Feasibility Documentation-11 Apr 2024 (v1.0)")</f>
        <v>42847922MDD3003---Feasibility Documentation-11 Apr 2024 (v1.0)</v>
      </c>
      <c r="B247" s="3" t="inlineStr">
        <is>
          <t>Site Management</t>
        </is>
      </c>
      <c r="C247" s="3" t="inlineStr">
        <is>
          <t>Site Selection</t>
        </is>
      </c>
      <c r="D247" s="3" t="inlineStr">
        <is>
          <t>Feasibility Documentation</t>
        </is>
      </c>
      <c r="E247" s="3" t="inlineStr">
        <is>
          <t>Non Selected Site Email_Buteler,M_11Apr2024</t>
        </is>
      </c>
      <c r="F247" s="2" t="str">
        <f>HYPERLINK("https://vtmf.veevavault.com/ui/#doc_info/26121246/1/0", "VTMF-20887040")</f>
        <v>VTMF-20887040</v>
      </c>
      <c r="G247" s="3" t="inlineStr">
        <is>
          <t/>
        </is>
      </c>
      <c r="H247" s="3" t="inlineStr">
        <is>
          <t>Anthony Suarez (veeva.com)</t>
        </is>
      </c>
      <c r="I247" s="3" t="inlineStr">
        <is>
          <t>Zulema Sandruss</t>
        </is>
      </c>
      <c r="J247" s="4" t="n">
        <v>45394.66185185185</v>
      </c>
      <c r="K247" s="5" t="n">
        <v>45394.0</v>
      </c>
      <c r="L247" s="5" t="n">
        <v>45393.0</v>
      </c>
      <c r="M247" s="3" t="inlineStr">
        <is>
          <t>Approved</t>
        </is>
      </c>
      <c r="N247" s="3" t="inlineStr">
        <is>
          <t>Available for Distribution, CLIX Filing, Site Start</t>
        </is>
      </c>
      <c r="O247" s="3" t="inlineStr">
        <is>
          <t>42847922MDD3003, 67953964MDD3005, 67953964MDD3007</t>
        </is>
      </c>
    </row>
    <row r="248">
      <c r="A248" s="2" t="str">
        <f>HYPERLINK("https://vtmf.veevavault.com/ui/#doc_info/25716325/1/0", "42847922MDD3003---Feasibility Documentation-14 Feb 2024 (v1.0)")</f>
        <v>42847922MDD3003---Feasibility Documentation-14 Feb 2024 (v1.0)</v>
      </c>
      <c r="B248" s="3" t="inlineStr">
        <is>
          <t>Site Management</t>
        </is>
      </c>
      <c r="C248" s="3" t="inlineStr">
        <is>
          <t>Site Selection</t>
        </is>
      </c>
      <c r="D248" s="3" t="inlineStr">
        <is>
          <t>Feasibility Documentation</t>
        </is>
      </c>
      <c r="E248" s="3" t="inlineStr">
        <is>
          <t>42847922MDD3003_Site Feasibility_additional flexibility related to conmeds 14Feb2024</t>
        </is>
      </c>
      <c r="F248" s="2" t="str">
        <f>HYPERLINK("https://vtmf.veevavault.com/ui/#doc_info/25716325/1/0", "VTMF-20529647")</f>
        <v>VTMF-20529647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Jamie Hardy</t>
        </is>
      </c>
      <c r="J248" s="4" t="n">
        <v>45336.64063657408</v>
      </c>
      <c r="K248" s="5" t="n">
        <v>45336.0</v>
      </c>
      <c r="L248" s="5" t="n">
        <v>45336.0</v>
      </c>
      <c r="M248" s="3" t="inlineStr">
        <is>
          <t>Approved</t>
        </is>
      </c>
      <c r="N248" s="3" t="inlineStr">
        <is>
          <t>Available for Distribution, CLIX Filing, Site Start</t>
        </is>
      </c>
      <c r="O248" s="3" t="inlineStr">
        <is>
          <t>42847922MDD3003</t>
        </is>
      </c>
    </row>
    <row r="249">
      <c r="A249" s="2" t="str">
        <f>HYPERLINK("https://vtmf.veevavault.com/ui/#doc_info/26141735/1/0", "42847922MDD3003---Feasibility Documentation-15 Apr 2024 (v1.0)")</f>
        <v>42847922MDD3003---Feasibility Documentation-15 Apr 2024 (v1.0)</v>
      </c>
      <c r="B249" s="3" t="inlineStr">
        <is>
          <t>Site Management</t>
        </is>
      </c>
      <c r="C249" s="3" t="inlineStr">
        <is>
          <t>Site Selection</t>
        </is>
      </c>
      <c r="D249" s="3" t="inlineStr">
        <is>
          <t>Feasibility Documentation</t>
        </is>
      </c>
      <c r="E249" s="3" t="inlineStr">
        <is>
          <t>Not Selected Site Email_Serfaty,E_15Apr2024</t>
        </is>
      </c>
      <c r="F249" s="2" t="str">
        <f>HYPERLINK("https://vtmf.veevavault.com/ui/#doc_info/26141735/1/0", "VTMF-20905206")</f>
        <v>VTMF-20905206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Zulema Sandruss</t>
        </is>
      </c>
      <c r="J249" s="4" t="n">
        <v>45398.65803240741</v>
      </c>
      <c r="K249" s="5" t="n">
        <v>45398.0</v>
      </c>
      <c r="L249" s="5" t="n">
        <v>45397.0</v>
      </c>
      <c r="M249" s="3" t="inlineStr">
        <is>
          <t>Approved</t>
        </is>
      </c>
      <c r="N249" s="3" t="inlineStr">
        <is>
          <t>Available for Distribution, CLIX Filing, Site Start</t>
        </is>
      </c>
      <c r="O249" s="3" t="inlineStr">
        <is>
          <t>42847922MDD3003, 67953964MDD3005, 67953964MDD3007</t>
        </is>
      </c>
    </row>
    <row r="250">
      <c r="A250" s="2" t="str">
        <f>HYPERLINK("https://vtmf.veevavault.com/ui/#doc_info/27408474/1/0", "42847922MDD3003---Feasibility Documentation-29 Oct 2024 (v1.0)")</f>
        <v>42847922MDD3003---Feasibility Documentation-29 Oct 2024 (v1.0)</v>
      </c>
      <c r="B250" s="3" t="inlineStr">
        <is>
          <t>Site Management</t>
        </is>
      </c>
      <c r="C250" s="3" t="inlineStr">
        <is>
          <t>Site Selection</t>
        </is>
      </c>
      <c r="D250" s="3" t="inlineStr">
        <is>
          <t>Feasibility Documentation</t>
        </is>
      </c>
      <c r="E250" s="3" t="inlineStr">
        <is>
          <t>42847922MDD3003_SDL_29OCT2024.</t>
        </is>
      </c>
      <c r="F250" s="2" t="str">
        <f>HYPERLINK("https://vtmf.veevavault.com/ui/#doc_info/27408474/1/0", "VTMF-21985817")</f>
        <v>VTMF-21985817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Gina Stefanelli</t>
        </is>
      </c>
      <c r="J250" s="4" t="n">
        <v>45600.791979166665</v>
      </c>
      <c r="K250" s="5" t="n">
        <v>45600.0</v>
      </c>
      <c r="L250" s="5" t="n">
        <v>45594.0</v>
      </c>
      <c r="M250" s="3" t="inlineStr">
        <is>
          <t>Approved</t>
        </is>
      </c>
      <c r="N250" s="3" t="inlineStr">
        <is>
          <t>Available for Distribution, CLIX Filing, Site Start</t>
        </is>
      </c>
      <c r="O250" s="3" t="inlineStr">
        <is>
          <t>42847922MDD3003</t>
        </is>
      </c>
    </row>
    <row r="251">
      <c r="A251" s="2" t="str">
        <f>HYPERLINK("https://vtmf.veevavault.com/ui/#doc_info/27186409/1/0", "42847922MDD3003---File Note-02 Oct 2024 (v1.0)")</f>
        <v>42847922MDD3003---File Note-02 Oct 2024 (v1.0)</v>
      </c>
      <c r="B251" s="3" t="inlineStr">
        <is>
          <t>Trial Management</t>
        </is>
      </c>
      <c r="C251" s="3" t="inlineStr">
        <is>
          <t>General</t>
        </is>
      </c>
      <c r="D251" s="3" t="inlineStr">
        <is>
          <t>File Note</t>
        </is>
      </c>
      <c r="E251" s="3" t="inlineStr">
        <is>
          <t>42847922MDD3003_LabCorp UDS_NTF_02Oct2024</t>
        </is>
      </c>
      <c r="F251" s="2" t="str">
        <f>HYPERLINK("https://vtmf.veevavault.com/ui/#doc_info/27186409/1/0", "VTMF-21798987")</f>
        <v>VTMF-21798987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Gina Stefanelli</t>
        </is>
      </c>
      <c r="J251" s="4" t="n">
        <v>45567.96627314815</v>
      </c>
      <c r="K251" s="5" t="n">
        <v>45567.0</v>
      </c>
      <c r="L251" s="5" t="n">
        <v>45567.0</v>
      </c>
      <c r="M251" s="3" t="inlineStr">
        <is>
          <t>Approved</t>
        </is>
      </c>
      <c r="N251" s="3" t="inlineStr">
        <is>
          <t>Country Close, Site Close, Study Close</t>
        </is>
      </c>
      <c r="O251" s="3" t="inlineStr">
        <is>
          <t>42847922MDD3003</t>
        </is>
      </c>
    </row>
    <row r="252">
      <c r="A252" s="2" t="str">
        <f>HYPERLINK("https://vtmf.veevavault.com/ui/#doc_info/30924219/1/0", "42847922MDD3003---File Note-03 Dec 2025 (v1.0)")</f>
        <v>42847922MDD3003---File Note-03 Dec 2025 (v1.0)</v>
      </c>
      <c r="B252" s="3" t="inlineStr">
        <is>
          <t>Third Parties</t>
        </is>
      </c>
      <c r="C252" s="3" t="inlineStr">
        <is>
          <t>General</t>
        </is>
      </c>
      <c r="D252" s="3" t="inlineStr">
        <is>
          <t>File Note</t>
        </is>
      </c>
      <c r="E252" s="3" t="inlineStr">
        <is>
          <t>Beacon DREEM_NTF_Training Requirement Complete_Site US10009_03Dec25 (3014-3003) - signed.pdf</t>
        </is>
      </c>
      <c r="F252" s="2" t="str">
        <f>HYPERLINK("https://vtmf.veevavault.com/ui/#doc_info/30924219/1/0", "VTMF-24924789")</f>
        <v>VTMF-24924789</v>
      </c>
      <c r="G252" s="3" t="inlineStr">
        <is>
          <t/>
        </is>
      </c>
      <c r="H252" s="3" t="inlineStr">
        <is>
          <t>System</t>
        </is>
      </c>
      <c r="I252" s="3" t="inlineStr">
        <is>
          <t>Arlean Worthy</t>
        </is>
      </c>
      <c r="J252" s="4" t="n">
        <v>46058.19825231482</v>
      </c>
      <c r="K252" s="5" t="n">
        <v>46057.0</v>
      </c>
      <c r="L252" s="5" t="n">
        <v>45994.0</v>
      </c>
      <c r="M252" s="3" t="inlineStr">
        <is>
          <t>Approved</t>
        </is>
      </c>
      <c r="N252" s="3" t="inlineStr">
        <is>
          <t>Country Close, Site Close, Study Close</t>
        </is>
      </c>
      <c r="O252" s="3" t="inlineStr">
        <is>
          <t>42847922MDD3003, 42847922MDD3014</t>
        </is>
      </c>
    </row>
    <row r="253">
      <c r="A253" s="2" t="str">
        <f>HYPERLINK("https://vtmf.veevavault.com/ui/#doc_info/30515695/1/0", "42847922MDD3003---File Note-03 Jun 2025 (v1.0)")</f>
        <v>42847922MDD3003---File Note-03 Jun 2025 (v1.0)</v>
      </c>
      <c r="B253" s="3" t="inlineStr">
        <is>
          <t>Third Parties</t>
        </is>
      </c>
      <c r="C253" s="3" t="inlineStr">
        <is>
          <t>General</t>
        </is>
      </c>
      <c r="D253" s="3" t="inlineStr">
        <is>
          <t>File Note</t>
        </is>
      </c>
      <c r="E253" s="3" t="inlineStr">
        <is>
          <t>Beacon Biosignals Participant ID Correction_Site US10084_03Jun2025 (part 1) - signed</t>
        </is>
      </c>
      <c r="F253" s="2" t="str">
        <f>HYPERLINK("https://vtmf.veevavault.com/ui/#doc_info/30515695/1/0", "VTMF-24586644")</f>
        <v>VTMF-24586644</v>
      </c>
      <c r="G253" s="3" t="inlineStr">
        <is>
          <t/>
        </is>
      </c>
      <c r="H253" s="3" t="inlineStr">
        <is>
          <t>Debhora Garcia</t>
        </is>
      </c>
      <c r="I253" s="3" t="inlineStr">
        <is>
          <t>Gina Stefanelli</t>
        </is>
      </c>
      <c r="J253" s="4" t="n">
        <v>45993.808287037034</v>
      </c>
      <c r="K253" s="5" t="n">
        <v>45993.0</v>
      </c>
      <c r="L253" s="5" t="n">
        <v>45811.0</v>
      </c>
      <c r="M253" s="3" t="inlineStr">
        <is>
          <t>Approved</t>
        </is>
      </c>
      <c r="N253" s="3" t="inlineStr">
        <is>
          <t>Country Close, Site Close, Study Close</t>
        </is>
      </c>
      <c r="O253" s="3" t="inlineStr">
        <is>
          <t>42847922MDD3003</t>
        </is>
      </c>
    </row>
    <row r="254">
      <c r="A254" s="2" t="str">
        <f>HYPERLINK("https://vtmf.veevavault.com/ui/#doc_info/30095357/1/0", "42847922MDD3003---File Note-03 Oct 2025 (v1.0)")</f>
        <v>42847922MDD3003---File Note-03 Oct 2025 (v1.0)</v>
      </c>
      <c r="B254" s="3" t="inlineStr">
        <is>
          <t>Trial Management</t>
        </is>
      </c>
      <c r="C254" s="3" t="inlineStr">
        <is>
          <t>General</t>
        </is>
      </c>
      <c r="D254" s="3" t="inlineStr">
        <is>
          <t>File Note</t>
        </is>
      </c>
      <c r="E254" s="3" t="inlineStr">
        <is>
          <t>NTF S10-AR10014 - Dr. Buteler move from part 1 to part 2 direct entry</t>
        </is>
      </c>
      <c r="F254" s="2" t="str">
        <f>HYPERLINK("https://vtmf.veevavault.com/ui/#doc_info/30095357/1/0", "VTMF-24225469")</f>
        <v>VTMF-24225469</v>
      </c>
      <c r="G254" s="3" t="inlineStr">
        <is>
          <t/>
        </is>
      </c>
      <c r="H254" s="3" t="inlineStr">
        <is>
          <t>System</t>
        </is>
      </c>
      <c r="I254" s="3" t="inlineStr">
        <is>
          <t>Debhora Garcia</t>
        </is>
      </c>
      <c r="J254" s="4" t="n">
        <v>45933.96210648148</v>
      </c>
      <c r="K254" s="5" t="n">
        <v>45934.0</v>
      </c>
      <c r="L254" s="5" t="n">
        <v>45933.0</v>
      </c>
      <c r="M254" s="3" t="inlineStr">
        <is>
          <t>Approved</t>
        </is>
      </c>
      <c r="N254" s="3" t="inlineStr">
        <is>
          <t>Country Close, Site Close, Study Close</t>
        </is>
      </c>
      <c r="O254" s="3" t="inlineStr">
        <is>
          <t>42847922MDD3003</t>
        </is>
      </c>
    </row>
    <row r="255">
      <c r="A255" s="2" t="str">
        <f>HYPERLINK("https://vtmf.veevavault.com/ui/#doc_info/30077739/1/0", "42847922MDD3003---File Note-03 Sep 2025 (v1.0)")</f>
        <v>42847922MDD3003---File Note-03 Sep 2025 (v1.0)</v>
      </c>
      <c r="B255" s="3" t="inlineStr">
        <is>
          <t>Third Parties</t>
        </is>
      </c>
      <c r="C255" s="3" t="inlineStr">
        <is>
          <t>General</t>
        </is>
      </c>
      <c r="D255" s="3" t="inlineStr">
        <is>
          <t>File Note</t>
        </is>
      </c>
      <c r="E255" s="3" t="inlineStr">
        <is>
          <t>Beacon Bio_NTF_Participant ID Correction_Site US10234_audit_08Aug2025</t>
        </is>
      </c>
      <c r="F255" s="2" t="str">
        <f>HYPERLINK("https://vtmf.veevavault.com/ui/#doc_info/30077739/1/0", "VTMF-24210111")</f>
        <v>VTMF-24210111</v>
      </c>
      <c r="G255" s="3" t="inlineStr">
        <is>
          <t/>
        </is>
      </c>
      <c r="H255" s="3" t="inlineStr">
        <is>
          <t>Gina Stefanelli</t>
        </is>
      </c>
      <c r="I255" s="3" t="inlineStr">
        <is>
          <t>Debhora Garcia</t>
        </is>
      </c>
      <c r="J255" s="4" t="n">
        <v>45931.886921296296</v>
      </c>
      <c r="K255" s="5" t="n">
        <v>45931.0</v>
      </c>
      <c r="L255" s="5" t="n">
        <v>45903.0</v>
      </c>
      <c r="M255" s="3" t="inlineStr">
        <is>
          <t>Approved</t>
        </is>
      </c>
      <c r="N255" s="3" t="inlineStr">
        <is>
          <t>Country Close, Site Close, Study Close</t>
        </is>
      </c>
      <c r="O255" s="3" t="inlineStr">
        <is>
          <t>42847922MDD3003</t>
        </is>
      </c>
    </row>
    <row r="256">
      <c r="A256" s="2" t="str">
        <f>HYPERLINK("https://vtmf.veevavault.com/ui/#doc_info/30923994/1/0", "42847922MDD3003---File Note-04 Feb 2026 (v1.0)")</f>
        <v>42847922MDD3003---File Note-04 Feb 2026 (v1.0)</v>
      </c>
      <c r="B256" s="3" t="inlineStr">
        <is>
          <t>Third Parties</t>
        </is>
      </c>
      <c r="C256" s="3" t="inlineStr">
        <is>
          <t>General</t>
        </is>
      </c>
      <c r="D256" s="3" t="inlineStr">
        <is>
          <t>File Note</t>
        </is>
      </c>
      <c r="E256" s="3" t="inlineStr">
        <is>
          <t>Beacon Dreem Training Requirement Complete_Site US10040_03Dec25 (3003-3014) (part 1) - signed.pdf</t>
        </is>
      </c>
      <c r="F256" s="2" t="str">
        <f>HYPERLINK("https://vtmf.veevavault.com/ui/#doc_info/30923994/1/0", "VTMF-24924749")</f>
        <v>VTMF-24924749</v>
      </c>
      <c r="G256" s="3" t="inlineStr">
        <is>
          <t/>
        </is>
      </c>
      <c r="H256" s="3" t="inlineStr">
        <is>
          <t>System</t>
        </is>
      </c>
      <c r="I256" s="3" t="inlineStr">
        <is>
          <t>Arlean Worthy</t>
        </is>
      </c>
      <c r="J256" s="4" t="n">
        <v>46058.18883101852</v>
      </c>
      <c r="K256" s="5" t="n">
        <v>46057.0</v>
      </c>
      <c r="L256" s="5" t="n">
        <v>46057.0</v>
      </c>
      <c r="M256" s="3" t="inlineStr">
        <is>
          <t>Approved</t>
        </is>
      </c>
      <c r="N256" s="3" t="inlineStr">
        <is>
          <t>Country Close, Site Close, Study Close</t>
        </is>
      </c>
      <c r="O256" s="3" t="inlineStr">
        <is>
          <t>42847922MDD3003, 42847922MDD3014</t>
        </is>
      </c>
    </row>
    <row r="257">
      <c r="A257" s="2" t="str">
        <f>HYPERLINK("https://vtmf.veevavault.com/ui/#doc_info/30924210/1/0", "42847922MDD3003---File Note-04 Feb 2026 (v1.0)")</f>
        <v>42847922MDD3003---File Note-04 Feb 2026 (v1.0)</v>
      </c>
      <c r="B257" s="3" t="inlineStr">
        <is>
          <t>Third Parties</t>
        </is>
      </c>
      <c r="C257" s="3" t="inlineStr">
        <is>
          <t>General</t>
        </is>
      </c>
      <c r="D257" s="3" t="inlineStr">
        <is>
          <t>File Note</t>
        </is>
      </c>
      <c r="E257" s="3" t="inlineStr">
        <is>
          <t>Beacon DREEM Training Requirement Complete_Site US10002_21Nov25 (part 1) - signed.pdf</t>
        </is>
      </c>
      <c r="F257" s="2" t="str">
        <f>HYPERLINK("https://vtmf.veevavault.com/ui/#doc_info/30924210/1/0", "VTMF-24924774")</f>
        <v>VTMF-24924774</v>
      </c>
      <c r="G257" s="3" t="inlineStr">
        <is>
          <t/>
        </is>
      </c>
      <c r="H257" s="3" t="inlineStr">
        <is>
          <t>System</t>
        </is>
      </c>
      <c r="I257" s="3" t="inlineStr">
        <is>
          <t>Arlean Worthy</t>
        </is>
      </c>
      <c r="J257" s="4" t="n">
        <v>46058.19293981481</v>
      </c>
      <c r="K257" s="5" t="n">
        <v>46057.0</v>
      </c>
      <c r="L257" s="5" t="n">
        <v>46057.0</v>
      </c>
      <c r="M257" s="3" t="inlineStr">
        <is>
          <t>Approved</t>
        </is>
      </c>
      <c r="N257" s="3" t="inlineStr">
        <is>
          <t>Country Close, Site Close, Study Close</t>
        </is>
      </c>
      <c r="O257" s="3" t="inlineStr">
        <is>
          <t>42847922MDD3003, 42847922MDD3014</t>
        </is>
      </c>
    </row>
    <row r="258">
      <c r="A258" s="2" t="str">
        <f>HYPERLINK("https://vtmf.veevavault.com/ui/#doc_info/30301553/1/0", "42847922MDD3003---File Note-04 Nov 2025 (v1.0)")</f>
        <v>42847922MDD3003---File Note-04 Nov 2025 (v1.0)</v>
      </c>
      <c r="B258" s="3" t="inlineStr">
        <is>
          <t>Trial Management</t>
        </is>
      </c>
      <c r="C258" s="3" t="inlineStr">
        <is>
          <t>General</t>
        </is>
      </c>
      <c r="D258" s="3" t="inlineStr">
        <is>
          <t>File Note</t>
        </is>
      </c>
      <c r="E258" s="3" t="inlineStr">
        <is>
          <t>Enrollment cap increase_S10-BG10010 Dr Kakanakova</t>
        </is>
      </c>
      <c r="F258" s="2" t="str">
        <f>HYPERLINK("https://vtmf.veevavault.com/ui/#doc_info/30301553/1/0", "VTMF-24401054")</f>
        <v>VTMF-24401054</v>
      </c>
      <c r="G258" s="3" t="inlineStr">
        <is>
          <t/>
        </is>
      </c>
      <c r="H258" s="3" t="inlineStr">
        <is>
          <t>System</t>
        </is>
      </c>
      <c r="I258" s="3" t="inlineStr">
        <is>
          <t>Gina Stefanelli</t>
        </is>
      </c>
      <c r="J258" s="4" t="n">
        <v>45965.82361111111</v>
      </c>
      <c r="K258" s="5" t="n">
        <v>45965.0</v>
      </c>
      <c r="L258" s="5" t="n">
        <v>45965.0</v>
      </c>
      <c r="M258" s="3" t="inlineStr">
        <is>
          <t>Approved</t>
        </is>
      </c>
      <c r="N258" s="3" t="inlineStr">
        <is>
          <t>Country Close, Site Close, Study Close</t>
        </is>
      </c>
      <c r="O258" s="3" t="inlineStr">
        <is>
          <t>42847922MDD3003</t>
        </is>
      </c>
    </row>
    <row r="259">
      <c r="A259" s="2" t="str">
        <f>HYPERLINK("https://vtmf.veevavault.com/ui/#doc_info/28616677/1/0", "42847922MDD3003---File Note-05 Mar 2025 (v1.0)")</f>
        <v>42847922MDD3003---File Note-05 Mar 2025 (v1.0)</v>
      </c>
      <c r="B259" s="3" t="inlineStr">
        <is>
          <t>Trial Management</t>
        </is>
      </c>
      <c r="C259" s="3" t="inlineStr">
        <is>
          <t>General</t>
        </is>
      </c>
      <c r="D259" s="3" t="inlineStr">
        <is>
          <t>File Note</t>
        </is>
      </c>
      <c r="E259" s="3" t="inlineStr">
        <is>
          <t>NTF MDD3003 Split Sample_05 March2025</t>
        </is>
      </c>
      <c r="F259" s="2" t="str">
        <f>HYPERLINK("https://vtmf.veevavault.com/ui/#doc_info/28616677/1/0", "VTMF-22984598")</f>
        <v>VTMF-22984598</v>
      </c>
      <c r="G259" s="3" t="inlineStr">
        <is>
          <t/>
        </is>
      </c>
      <c r="H259" s="3" t="inlineStr">
        <is>
          <t>Anthony Suarez (veeva.com)</t>
        </is>
      </c>
      <c r="I259" s="3" t="inlineStr">
        <is>
          <t>Debhora Garcia</t>
        </is>
      </c>
      <c r="J259" s="4" t="n">
        <v>45723.08267361111</v>
      </c>
      <c r="K259" s="5" t="n">
        <v>45723.0</v>
      </c>
      <c r="L259" s="5" t="n">
        <v>45721.0</v>
      </c>
      <c r="M259" s="3" t="inlineStr">
        <is>
          <t>Approved</t>
        </is>
      </c>
      <c r="N259" s="3" t="inlineStr">
        <is>
          <t>Country Close, Site Close, Study Close</t>
        </is>
      </c>
      <c r="O259" s="3" t="inlineStr">
        <is>
          <t>42847922MDD3003</t>
        </is>
      </c>
    </row>
    <row r="260">
      <c r="A260" s="2" t="str">
        <f>HYPERLINK("https://vtmf.veevavault.com/ui/#doc_info/30101499/1/0", "42847922MDD3003---File Note-05 Oct 2025 (v1.0)")</f>
        <v>42847922MDD3003---File Note-05 Oct 2025 (v1.0)</v>
      </c>
      <c r="B260" s="3" t="inlineStr">
        <is>
          <t>Trial Management</t>
        </is>
      </c>
      <c r="C260" s="3" t="inlineStr">
        <is>
          <t>General</t>
        </is>
      </c>
      <c r="D260" s="3" t="inlineStr">
        <is>
          <t>File Note</t>
        </is>
      </c>
      <c r="E260" s="3" t="inlineStr">
        <is>
          <t>Enrollment cap increase_S10-US10219 Dr Jorge Betancourt</t>
        </is>
      </c>
      <c r="F260" s="2" t="str">
        <f>HYPERLINK("https://vtmf.veevavault.com/ui/#doc_info/30101499/1/0", "VTMF-24230771")</f>
        <v>VTMF-24230771</v>
      </c>
      <c r="G260" s="3" t="inlineStr">
        <is>
          <t/>
        </is>
      </c>
      <c r="H260" s="3" t="inlineStr">
        <is>
          <t>System</t>
        </is>
      </c>
      <c r="I260" s="3" t="inlineStr">
        <is>
          <t>Gina Stefanelli</t>
        </is>
      </c>
      <c r="J260" s="4" t="n">
        <v>45936.64505787037</v>
      </c>
      <c r="K260" s="5" t="n">
        <v>45936.0</v>
      </c>
      <c r="L260" s="5" t="n">
        <v>45935.0</v>
      </c>
      <c r="M260" s="3" t="inlineStr">
        <is>
          <t>Approved</t>
        </is>
      </c>
      <c r="N260" s="3" t="inlineStr">
        <is>
          <t>Country Close, Site Close, Study Close</t>
        </is>
      </c>
      <c r="O260" s="3" t="inlineStr">
        <is>
          <t>42847922MDD3003</t>
        </is>
      </c>
    </row>
    <row r="261">
      <c r="A261" s="2" t="str">
        <f>HYPERLINK("https://vtmf.veevavault.com/ui/#doc_info/30940247/1/0", "42847922MDD3003---File Note-06 Feb 2026 (v1.0)")</f>
        <v>42847922MDD3003---File Note-06 Feb 2026 (v1.0)</v>
      </c>
      <c r="B261" s="3" t="inlineStr">
        <is>
          <t>Trial Management</t>
        </is>
      </c>
      <c r="C261" s="3" t="inlineStr">
        <is>
          <t>General</t>
        </is>
      </c>
      <c r="D261" s="3" t="inlineStr">
        <is>
          <t>File Note</t>
        </is>
      </c>
      <c r="E261" s="3" t="inlineStr">
        <is>
          <t>Enrollment cap increase_S10-US10058 Dr Kenia Castro_</t>
        </is>
      </c>
      <c r="F261" s="2" t="str">
        <f>HYPERLINK("https://vtmf.veevavault.com/ui/#doc_info/30940247/1/0", "VTMF-24938012")</f>
        <v>VTMF-24938012</v>
      </c>
      <c r="G261" s="3" t="inlineStr">
        <is>
          <t/>
        </is>
      </c>
      <c r="H261" s="3" t="inlineStr">
        <is>
          <t>System</t>
        </is>
      </c>
      <c r="I261" s="3" t="inlineStr">
        <is>
          <t>Gina Stefanelli</t>
        </is>
      </c>
      <c r="J261" s="4" t="n">
        <v>46059.63644675926</v>
      </c>
      <c r="K261" s="5" t="n">
        <v>46059.0</v>
      </c>
      <c r="L261" s="5" t="n">
        <v>46059.0</v>
      </c>
      <c r="M261" s="3" t="inlineStr">
        <is>
          <t>Approved</t>
        </is>
      </c>
      <c r="N261" s="3" t="inlineStr">
        <is>
          <t>Country Close, Site Close, Study Close</t>
        </is>
      </c>
      <c r="O261" s="3" t="inlineStr">
        <is>
          <t>42847922MDD3003</t>
        </is>
      </c>
    </row>
    <row r="262">
      <c r="A262" s="2" t="str">
        <f>HYPERLINK("https://vtmf.veevavault.com/ui/#doc_info/30940304/1/0", "42847922MDD3003---File Note-06 Feb 2026 (v1.0)")</f>
        <v>42847922MDD3003---File Note-06 Feb 2026 (v1.0)</v>
      </c>
      <c r="B262" s="3" t="inlineStr">
        <is>
          <t>Trial Management</t>
        </is>
      </c>
      <c r="C262" s="3" t="inlineStr">
        <is>
          <t>General</t>
        </is>
      </c>
      <c r="D262" s="3" t="inlineStr">
        <is>
          <t>File Note</t>
        </is>
      </c>
      <c r="E262" s="3" t="inlineStr">
        <is>
          <t>Enrollment cap increase_S10-PL10012 Dr Szymkowiak</t>
        </is>
      </c>
      <c r="F262" s="2" t="str">
        <f>HYPERLINK("https://vtmf.veevavault.com/ui/#doc_info/30940304/1/0", "VTMF-24938040")</f>
        <v>VTMF-24938040</v>
      </c>
      <c r="G262" s="3" t="inlineStr">
        <is>
          <t/>
        </is>
      </c>
      <c r="H262" s="3" t="inlineStr">
        <is>
          <t>System</t>
        </is>
      </c>
      <c r="I262" s="3" t="inlineStr">
        <is>
          <t>Gina Stefanelli</t>
        </is>
      </c>
      <c r="J262" s="4" t="n">
        <v>46059.63878472222</v>
      </c>
      <c r="K262" s="5" t="n">
        <v>46059.0</v>
      </c>
      <c r="L262" s="5" t="n">
        <v>46059.0</v>
      </c>
      <c r="M262" s="3" t="inlineStr">
        <is>
          <t>Approved</t>
        </is>
      </c>
      <c r="N262" s="3" t="inlineStr">
        <is>
          <t>Country Close, Site Close, Study Close</t>
        </is>
      </c>
      <c r="O262" s="3" t="inlineStr">
        <is>
          <t>42847922MDD3003</t>
        </is>
      </c>
    </row>
    <row r="263">
      <c r="A263" s="2" t="str">
        <f>HYPERLINK("https://vtmf.veevavault.com/ui/#doc_info/29050846/1/0", "42847922MDD3003---File Note-06 May 2025 (v1.0)")</f>
        <v>42847922MDD3003---File Note-06 May 2025 (v1.0)</v>
      </c>
      <c r="B263" s="3" t="inlineStr">
        <is>
          <t>Trial Management</t>
        </is>
      </c>
      <c r="C263" s="3" t="inlineStr">
        <is>
          <t>General</t>
        </is>
      </c>
      <c r="D263" s="3" t="inlineStr">
        <is>
          <t>File Note</t>
        </is>
      </c>
      <c r="E263" s="3" t="inlineStr">
        <is>
          <t>Central team approval for site to enroll 7th patient_S10-US10103 Dr Padilla_06May2025</t>
        </is>
      </c>
      <c r="F263" s="2" t="str">
        <f>HYPERLINK("https://vtmf.veevavault.com/ui/#doc_info/29050846/1/0", "VTMF-23342177")</f>
        <v>VTMF-23342177</v>
      </c>
      <c r="G263" s="3" t="inlineStr">
        <is>
          <t/>
        </is>
      </c>
      <c r="H263" s="3" t="inlineStr">
        <is>
          <t>Anthony Suarez (veeva.com)</t>
        </is>
      </c>
      <c r="I263" s="3" t="inlineStr">
        <is>
          <t>Gina Stefanelli</t>
        </is>
      </c>
      <c r="J263" s="4" t="n">
        <v>45783.78601851852</v>
      </c>
      <c r="K263" s="5" t="n">
        <v>45783.0</v>
      </c>
      <c r="L263" s="5" t="n">
        <v>45783.0</v>
      </c>
      <c r="M263" s="3" t="inlineStr">
        <is>
          <t>Approved</t>
        </is>
      </c>
      <c r="N263" s="3" t="inlineStr">
        <is>
          <t>Country Close, Site Close, Study Close</t>
        </is>
      </c>
      <c r="O263" s="3" t="inlineStr">
        <is>
          <t>42847922MDD3003</t>
        </is>
      </c>
    </row>
    <row r="264">
      <c r="A264" s="2" t="str">
        <f>HYPERLINK("https://vtmf.veevavault.com/ui/#doc_info/31606743/1/0", "42847922MDD3003---File Note-06 May 2026 (v1.0)")</f>
        <v>42847922MDD3003---File Note-06 May 2026 (v1.0)</v>
      </c>
      <c r="B264" s="3" t="inlineStr">
        <is>
          <t>Third Parties</t>
        </is>
      </c>
      <c r="C264" s="3" t="inlineStr">
        <is>
          <t>General</t>
        </is>
      </c>
      <c r="D264" s="3" t="inlineStr">
        <is>
          <t>File Note</t>
        </is>
      </c>
      <c r="E264" s="3" t="inlineStr">
        <is>
          <t>NTF_Sponsor Requested RBDM Flags_V1.0</t>
        </is>
      </c>
      <c r="F264" s="2" t="str">
        <f>HYPERLINK("https://vtmf.veevavault.com/ui/#doc_info/31606743/1/0", "VTMF-25508931")</f>
        <v>VTMF-25508931</v>
      </c>
      <c r="G264" s="3" t="inlineStr">
        <is>
          <t/>
        </is>
      </c>
      <c r="H264" s="3" t="inlineStr">
        <is>
          <t>System</t>
        </is>
      </c>
      <c r="I264" s="3" t="inlineStr">
        <is>
          <t>Aurora Barbera</t>
        </is>
      </c>
      <c r="J264" s="4" t="n">
        <v>46149.64165509259</v>
      </c>
      <c r="K264" s="5" t="n">
        <v>46149.0</v>
      </c>
      <c r="L264" s="5" t="n">
        <v>46148.0</v>
      </c>
      <c r="M264" s="3" t="inlineStr">
        <is>
          <t>Approved</t>
        </is>
      </c>
      <c r="N264" s="3" t="inlineStr">
        <is>
          <t>Country Close, Site Close, Study Close</t>
        </is>
      </c>
      <c r="O264" s="3" t="inlineStr">
        <is>
          <t>42847922MDD3003</t>
        </is>
      </c>
    </row>
    <row r="265">
      <c r="A265" s="2" t="str">
        <f>HYPERLINK("https://vtmf.veevavault.com/ui/#doc_info/28587826/1/0", "42847922MDD3003---File Note-08 Jan 2025 (v1.0)")</f>
        <v>42847922MDD3003---File Note-08 Jan 2025 (v1.0)</v>
      </c>
      <c r="B265" s="3" t="inlineStr">
        <is>
          <t>Third Parties</t>
        </is>
      </c>
      <c r="C265" s="3" t="inlineStr">
        <is>
          <t>General</t>
        </is>
      </c>
      <c r="D265" s="3" t="inlineStr">
        <is>
          <t>File Note</t>
        </is>
      </c>
      <c r="E265" s="3" t="inlineStr">
        <is>
          <t>Note to File and Updated Certification Site Status Summary - Site S10-AR10014 - V5 - Site Removed</t>
        </is>
      </c>
      <c r="F265" s="2" t="str">
        <f>HYPERLINK("https://vtmf.veevavault.com/ui/#doc_info/28587826/1/0", "VTMF-22959169")</f>
        <v>VTMF-22959169</v>
      </c>
      <c r="G265" s="3" t="inlineStr">
        <is>
          <t/>
        </is>
      </c>
      <c r="H265" s="3" t="inlineStr">
        <is>
          <t>Anthony Suarez (veeva.com)</t>
        </is>
      </c>
      <c r="I265" s="3" t="inlineStr">
        <is>
          <t>Gina Stefanelli</t>
        </is>
      </c>
      <c r="J265" s="4" t="n">
        <v>45720.082337962966</v>
      </c>
      <c r="K265" s="5" t="n">
        <v>45719.0</v>
      </c>
      <c r="L265" s="5" t="n">
        <v>45665.0</v>
      </c>
      <c r="M265" s="3" t="inlineStr">
        <is>
          <t>Approved</t>
        </is>
      </c>
      <c r="N265" s="3" t="inlineStr">
        <is>
          <t>Country Close, Site Close, Study Close</t>
        </is>
      </c>
      <c r="O265" s="3" t="inlineStr">
        <is>
          <t>42847922MDD3003</t>
        </is>
      </c>
    </row>
    <row r="266">
      <c r="A266" s="2" t="str">
        <f>HYPERLINK("https://vtmf.veevavault.com/ui/#doc_info/30763100/1/0", "42847922MDD3003---File Note-09 Jan 2026 (v1.0)")</f>
        <v>42847922MDD3003---File Note-09 Jan 2026 (v1.0)</v>
      </c>
      <c r="B266" s="3" t="inlineStr">
        <is>
          <t>Trial Management</t>
        </is>
      </c>
      <c r="C266" s="3" t="inlineStr">
        <is>
          <t>General</t>
        </is>
      </c>
      <c r="D266" s="3" t="inlineStr">
        <is>
          <t>File Note</t>
        </is>
      </c>
      <c r="E266" s="3" t="inlineStr">
        <is>
          <t>Enrollment cap increase_S10-CZ10011 Dr Lendlova_09Jan2026</t>
        </is>
      </c>
      <c r="F266" s="2" t="str">
        <f>HYPERLINK("https://vtmf.veevavault.com/ui/#doc_info/30763100/1/0", "VTMF-24789213")</f>
        <v>VTMF-24789213</v>
      </c>
      <c r="G266" s="3" t="inlineStr">
        <is>
          <t/>
        </is>
      </c>
      <c r="H266" s="3" t="inlineStr">
        <is>
          <t>System</t>
        </is>
      </c>
      <c r="I266" s="3" t="inlineStr">
        <is>
          <t>Debhora Garcia</t>
        </is>
      </c>
      <c r="J266" s="4" t="n">
        <v>46034.88539351852</v>
      </c>
      <c r="K266" s="5" t="n">
        <v>46034.0</v>
      </c>
      <c r="L266" s="5" t="n">
        <v>46031.0</v>
      </c>
      <c r="M266" s="3" t="inlineStr">
        <is>
          <t>Approved</t>
        </is>
      </c>
      <c r="N266" s="3" t="inlineStr">
        <is>
          <t>Country Close, Site Close, Study Close</t>
        </is>
      </c>
      <c r="O266" s="3" t="inlineStr">
        <is>
          <t>42847922MDD3003</t>
        </is>
      </c>
    </row>
    <row r="267">
      <c r="A267" s="2" t="str">
        <f>HYPERLINK("https://vtmf.veevavault.com/ui/#doc_info/28277093/1/0", "42847922MDD3003---File Note-10 Feb 2025 (v1.0)")</f>
        <v>42847922MDD3003---File Note-10 Feb 2025 (v1.0)</v>
      </c>
      <c r="B267" s="3" t="inlineStr">
        <is>
          <t>Trial Management</t>
        </is>
      </c>
      <c r="C267" s="3" t="inlineStr">
        <is>
          <t>General</t>
        </is>
      </c>
      <c r="D267" s="3" t="inlineStr">
        <is>
          <t>File Note</t>
        </is>
      </c>
      <c r="E267" s="3" t="inlineStr">
        <is>
          <t>NTF_Urinary Drug Screening at SV1_10 Feb 2025-11 Feb 2025</t>
        </is>
      </c>
      <c r="F267" s="2" t="str">
        <f>HYPERLINK("https://vtmf.veevavault.com/ui/#doc_info/28277093/1/0", "VTMF-22682677")</f>
        <v>VTMF-22682677</v>
      </c>
      <c r="G267" s="3" t="inlineStr">
        <is>
          <t/>
        </is>
      </c>
      <c r="H267" s="3" t="inlineStr">
        <is>
          <t>Anthony Suarez (veeva.com)</t>
        </is>
      </c>
      <c r="I267" s="3" t="inlineStr">
        <is>
          <t>Debhora Garcia</t>
        </is>
      </c>
      <c r="J267" s="4" t="n">
        <v>45700.07896990741</v>
      </c>
      <c r="K267" s="5" t="n">
        <v>45700.0</v>
      </c>
      <c r="L267" s="5" t="n">
        <v>45698.0</v>
      </c>
      <c r="M267" s="3" t="inlineStr">
        <is>
          <t>Approved</t>
        </is>
      </c>
      <c r="N267" s="3" t="inlineStr">
        <is>
          <t>Country Close, Site Close, Study Close</t>
        </is>
      </c>
      <c r="O267" s="3" t="inlineStr">
        <is>
          <t>42847922MDD3003</t>
        </is>
      </c>
    </row>
    <row r="268">
      <c r="A268" s="2" t="str">
        <f>HYPERLINK("https://vtmf.veevavault.com/ui/#doc_info/30963520/1/0", "42847922MDD3003---File Note-10 Feb 2026 (v1.0)")</f>
        <v>42847922MDD3003---File Note-10 Feb 2026 (v1.0)</v>
      </c>
      <c r="B268" s="3" t="inlineStr">
        <is>
          <t>Trial Management</t>
        </is>
      </c>
      <c r="C268" s="3" t="inlineStr">
        <is>
          <t>General</t>
        </is>
      </c>
      <c r="D268" s="3" t="inlineStr">
        <is>
          <t>File Note</t>
        </is>
      </c>
      <c r="E268" s="3" t="inlineStr">
        <is>
          <t>Enrollment cap increase_S10-US10257 Dr Lester</t>
        </is>
      </c>
      <c r="F268" s="2" t="str">
        <f>HYPERLINK("https://vtmf.veevavault.com/ui/#doc_info/30963520/1/0", "VTMF-24957807")</f>
        <v>VTMF-24957807</v>
      </c>
      <c r="G268" s="3" t="inlineStr">
        <is>
          <t/>
        </is>
      </c>
      <c r="H268" s="3" t="inlineStr">
        <is>
          <t>System</t>
        </is>
      </c>
      <c r="I268" s="3" t="inlineStr">
        <is>
          <t>Debhora Garcia</t>
        </is>
      </c>
      <c r="J268" s="4" t="n">
        <v>46064.1241087963</v>
      </c>
      <c r="K268" s="5" t="n">
        <v>46063.0</v>
      </c>
      <c r="L268" s="5" t="n">
        <v>46063.0</v>
      </c>
      <c r="M268" s="3" t="inlineStr">
        <is>
          <t>Approved</t>
        </is>
      </c>
      <c r="N268" s="3" t="inlineStr">
        <is>
          <t>Country Close, Site Close, Study Close</t>
        </is>
      </c>
      <c r="O268" s="3" t="inlineStr">
        <is>
          <t>42847922MDD3003</t>
        </is>
      </c>
    </row>
    <row r="269">
      <c r="A269" s="2" t="str">
        <f>HYPERLINK("https://vtmf.veevavault.com/ui/#doc_info/30586859/1/0", "42847922MDD3003---File Note-11 Dec 2025 (v1.0)")</f>
        <v>42847922MDD3003---File Note-11 Dec 2025 (v1.0)</v>
      </c>
      <c r="B269" s="3" t="inlineStr">
        <is>
          <t>Trial Management</t>
        </is>
      </c>
      <c r="C269" s="3" t="inlineStr">
        <is>
          <t>General</t>
        </is>
      </c>
      <c r="D269" s="3" t="inlineStr">
        <is>
          <t>File Note</t>
        </is>
      </c>
      <c r="E269" s="3" t="inlineStr">
        <is>
          <t>Enrollment cap increase_S10-PL10007 Dr Perucki</t>
        </is>
      </c>
      <c r="F269" s="2" t="str">
        <f>HYPERLINK("https://vtmf.veevavault.com/ui/#doc_info/30586859/1/0", "VTMF-24644435")</f>
        <v>VTMF-24644435</v>
      </c>
      <c r="G269" s="3" t="inlineStr">
        <is>
          <t/>
        </is>
      </c>
      <c r="H269" s="3" t="inlineStr">
        <is>
          <t>System</t>
        </is>
      </c>
      <c r="I269" s="3" t="inlineStr">
        <is>
          <t>Gina Stefanelli</t>
        </is>
      </c>
      <c r="J269" s="4" t="n">
        <v>46002.727326388886</v>
      </c>
      <c r="K269" s="5" t="n">
        <v>46002.0</v>
      </c>
      <c r="L269" s="5" t="n">
        <v>46002.0</v>
      </c>
      <c r="M269" s="3" t="inlineStr">
        <is>
          <t>Approved</t>
        </is>
      </c>
      <c r="N269" s="3" t="inlineStr">
        <is>
          <t>Country Close, Site Close, Study Close</t>
        </is>
      </c>
      <c r="O269" s="3" t="inlineStr">
        <is>
          <t>42847922MDD3003</t>
        </is>
      </c>
    </row>
    <row r="270">
      <c r="A270" s="2" t="str">
        <f>HYPERLINK("https://vtmf.veevavault.com/ui/#doc_info/31870392/1/0", "42847922MDD3003---File Note-11 Jun 2026 (v1.0)")</f>
        <v>42847922MDD3003---File Note-11 Jun 2026 (v1.0)</v>
      </c>
      <c r="B270" s="3" t="inlineStr">
        <is>
          <t>Third Parties</t>
        </is>
      </c>
      <c r="C270" s="3" t="inlineStr">
        <is>
          <t>General</t>
        </is>
      </c>
      <c r="D270" s="3" t="inlineStr">
        <is>
          <t>File Note</t>
        </is>
      </c>
      <c r="E270" s="3" t="inlineStr">
        <is>
          <t>Self-Identified Beacon App Issue_NTF</t>
        </is>
      </c>
      <c r="F270" s="2" t="str">
        <f>HYPERLINK("https://vtmf.veevavault.com/ui/#doc_info/31870392/1/0", "VTMF-25728790")</f>
        <v>VTMF-25728790</v>
      </c>
      <c r="G270" s="3" t="inlineStr">
        <is>
          <t/>
        </is>
      </c>
      <c r="H270" s="3" t="inlineStr">
        <is>
          <t>System</t>
        </is>
      </c>
      <c r="I270" s="3" t="inlineStr">
        <is>
          <t>Leticia Villalba Alonso</t>
        </is>
      </c>
      <c r="J270" s="4" t="n">
        <v>46185.58290509259</v>
      </c>
      <c r="K270" s="5" t="n">
        <v>46185.0</v>
      </c>
      <c r="L270" s="5" t="n">
        <v>46184.0</v>
      </c>
      <c r="M270" s="3" t="inlineStr">
        <is>
          <t>Approved</t>
        </is>
      </c>
      <c r="N270" s="3" t="inlineStr">
        <is>
          <t>Country Close, Site Close, Study Close</t>
        </is>
      </c>
      <c r="O270" s="3" t="inlineStr">
        <is>
          <t>42847922MDD3003, 42847922MDD3014</t>
        </is>
      </c>
    </row>
    <row r="271">
      <c r="A271" s="2" t="str">
        <f>HYPERLINK("https://vtmf.veevavault.com/ui/#doc_info/31243913/1/0", "42847922MDD3003---File Note-11 Mar 2026 (v1.0)")</f>
        <v>42847922MDD3003---File Note-11 Mar 2026 (v1.0)</v>
      </c>
      <c r="B271" s="3" t="inlineStr">
        <is>
          <t>Third Parties</t>
        </is>
      </c>
      <c r="C271" s="3" t="inlineStr">
        <is>
          <t>General</t>
        </is>
      </c>
      <c r="D271" s="3" t="inlineStr">
        <is>
          <t>File Note</t>
        </is>
      </c>
      <c r="E271" s="3" t="inlineStr">
        <is>
          <t>NTF_Beacon_Training Requirement Complete_Site US10009</t>
        </is>
      </c>
      <c r="F271" s="2" t="str">
        <f>HYPERLINK("https://vtmf.veevavault.com/ui/#doc_info/31243913/1/0", "VTMF-25197942")</f>
        <v>VTMF-25197942</v>
      </c>
      <c r="G271" s="3" t="inlineStr">
        <is>
          <t/>
        </is>
      </c>
      <c r="H271" s="3" t="inlineStr">
        <is>
          <t>System</t>
        </is>
      </c>
      <c r="I271" s="3" t="inlineStr">
        <is>
          <t>Debhora Garcia</t>
        </is>
      </c>
      <c r="J271" s="4" t="n">
        <v>46101.76127314815</v>
      </c>
      <c r="K271" s="5" t="n">
        <v>46101.0</v>
      </c>
      <c r="L271" s="5" t="n">
        <v>46092.0</v>
      </c>
      <c r="M271" s="3" t="inlineStr">
        <is>
          <t>Approved</t>
        </is>
      </c>
      <c r="N271" s="3" t="inlineStr">
        <is>
          <t>Country Close, Site Close, Study Close</t>
        </is>
      </c>
      <c r="O271" s="3" t="inlineStr">
        <is>
          <t>42847922MDD3003</t>
        </is>
      </c>
    </row>
    <row r="272">
      <c r="A272" s="2" t="str">
        <f>HYPERLINK("https://vtmf.veevavault.com/ui/#doc_info/29936703/1/0", "42847922MDD3003---File Note-11 Sep 2025 (v1.0)")</f>
        <v>42847922MDD3003---File Note-11 Sep 2025 (v1.0)</v>
      </c>
      <c r="B272" s="3" t="inlineStr">
        <is>
          <t>Trial Management</t>
        </is>
      </c>
      <c r="C272" s="3" t="inlineStr">
        <is>
          <t>General</t>
        </is>
      </c>
      <c r="D272" s="3" t="inlineStr">
        <is>
          <t>File Note</t>
        </is>
      </c>
      <c r="E272" s="3" t="inlineStr">
        <is>
          <t>NTF_S10-BR10002 Dr Sandra Ruschel move from part 1 to part 2 direct entry_11Sep2025</t>
        </is>
      </c>
      <c r="F272" s="2" t="str">
        <f>HYPERLINK("https://vtmf.veevavault.com/ui/#doc_info/29936703/1/0", "VTMF-24098907")</f>
        <v>VTMF-24098907</v>
      </c>
      <c r="G272" s="3" t="inlineStr">
        <is>
          <t/>
        </is>
      </c>
      <c r="H272" s="3" t="inlineStr">
        <is>
          <t>System</t>
        </is>
      </c>
      <c r="I272" s="3" t="inlineStr">
        <is>
          <t>Debhora Garcia</t>
        </is>
      </c>
      <c r="J272" s="4" t="n">
        <v>45911.77790509259</v>
      </c>
      <c r="K272" s="5" t="n">
        <v>45911.0</v>
      </c>
      <c r="L272" s="5" t="n">
        <v>45911.0</v>
      </c>
      <c r="M272" s="3" t="inlineStr">
        <is>
          <t>Approved</t>
        </is>
      </c>
      <c r="N272" s="3" t="inlineStr">
        <is>
          <t>Country Close, Site Close, Study Close</t>
        </is>
      </c>
      <c r="O272" s="3" t="inlineStr">
        <is>
          <t>42847922MDD3003</t>
        </is>
      </c>
    </row>
    <row r="273">
      <c r="A273" s="2" t="str">
        <f>HYPERLINK("https://vtmf.veevavault.com/ui/#doc_info/30593958/1/0", "42847922MDD3003---File Note-12 Dec 2025 (v1.0)")</f>
        <v>42847922MDD3003---File Note-12 Dec 2025 (v1.0)</v>
      </c>
      <c r="B273" s="3" t="inlineStr">
        <is>
          <t>Trial Management</t>
        </is>
      </c>
      <c r="C273" s="3" t="inlineStr">
        <is>
          <t>General</t>
        </is>
      </c>
      <c r="D273" s="3" t="inlineStr">
        <is>
          <t>File Note</t>
        </is>
      </c>
      <c r="E273" s="3" t="inlineStr">
        <is>
          <t>Enrollment cap increase_S10-SE10002 Dr Bosson_</t>
        </is>
      </c>
      <c r="F273" s="2" t="str">
        <f>HYPERLINK("https://vtmf.veevavault.com/ui/#doc_info/30593958/1/0", "VTMF-24650776")</f>
        <v>VTMF-24650776</v>
      </c>
      <c r="G273" s="3" t="inlineStr">
        <is>
          <t/>
        </is>
      </c>
      <c r="H273" s="3" t="inlineStr">
        <is>
          <t>System</t>
        </is>
      </c>
      <c r="I273" s="3" t="inlineStr">
        <is>
          <t>Gina Stefanelli</t>
        </is>
      </c>
      <c r="J273" s="4" t="n">
        <v>46003.570868055554</v>
      </c>
      <c r="K273" s="5" t="n">
        <v>46003.0</v>
      </c>
      <c r="L273" s="5" t="n">
        <v>46003.0</v>
      </c>
      <c r="M273" s="3" t="inlineStr">
        <is>
          <t>Approved</t>
        </is>
      </c>
      <c r="N273" s="3" t="inlineStr">
        <is>
          <t>Country Close, Site Close, Study Close</t>
        </is>
      </c>
      <c r="O273" s="3" t="inlineStr">
        <is>
          <t>42847922MDD3003</t>
        </is>
      </c>
    </row>
    <row r="274">
      <c r="A274" s="2" t="str">
        <f>HYPERLINK("https://vtmf.veevavault.com/ui/#doc_info/30596236/1/0", "42847922MDD3003---File Note-12 Dec 2025 (v1.0)")</f>
        <v>42847922MDD3003---File Note-12 Dec 2025 (v1.0)</v>
      </c>
      <c r="B274" s="3" t="inlineStr">
        <is>
          <t>Trial Management</t>
        </is>
      </c>
      <c r="C274" s="3" t="inlineStr">
        <is>
          <t>General</t>
        </is>
      </c>
      <c r="D274" s="3" t="inlineStr">
        <is>
          <t>File Note</t>
        </is>
      </c>
      <c r="E274" s="3" t="inlineStr">
        <is>
          <t>Enrollment cap increase_S10-US10041 Dr Yuryev-Golger</t>
        </is>
      </c>
      <c r="F274" s="2" t="str">
        <f>HYPERLINK("https://vtmf.veevavault.com/ui/#doc_info/30596236/1/0", "VTMF-24652767")</f>
        <v>VTMF-24652767</v>
      </c>
      <c r="G274" s="3" t="inlineStr">
        <is>
          <t/>
        </is>
      </c>
      <c r="H274" s="3" t="inlineStr">
        <is>
          <t>System</t>
        </is>
      </c>
      <c r="I274" s="3" t="inlineStr">
        <is>
          <t>Gina Stefanelli</t>
        </is>
      </c>
      <c r="J274" s="4" t="n">
        <v>46003.770625</v>
      </c>
      <c r="K274" s="5" t="n">
        <v>46003.0</v>
      </c>
      <c r="L274" s="5" t="n">
        <v>46003.0</v>
      </c>
      <c r="M274" s="3" t="inlineStr">
        <is>
          <t>Approved</t>
        </is>
      </c>
      <c r="N274" s="3" t="inlineStr">
        <is>
          <t>Country Close, Site Close, Study Close</t>
        </is>
      </c>
      <c r="O274" s="3" t="inlineStr">
        <is>
          <t>42847922MDD3003</t>
        </is>
      </c>
    </row>
    <row r="275">
      <c r="A275" s="2" t="str">
        <f>HYPERLINK("https://vtmf.veevavault.com/ui/#doc_info/30605187/1/0", "42847922MDD3003---File Note-12 Dec 2025 (v1.0)")</f>
        <v>42847922MDD3003---File Note-12 Dec 2025 (v1.0)</v>
      </c>
      <c r="B275" s="3" t="inlineStr">
        <is>
          <t>Trial Management</t>
        </is>
      </c>
      <c r="C275" s="3" t="inlineStr">
        <is>
          <t>General</t>
        </is>
      </c>
      <c r="D275" s="3" t="inlineStr">
        <is>
          <t>File Note</t>
        </is>
      </c>
      <c r="E275" s="3" t="inlineStr">
        <is>
          <t>Enrollment cap increase_S10-AR10012 Dr Lupo</t>
        </is>
      </c>
      <c r="F275" s="2" t="str">
        <f>HYPERLINK("https://vtmf.veevavault.com/ui/#doc_info/30605187/1/0", "VTMF-24660521")</f>
        <v>VTMF-24660521</v>
      </c>
      <c r="G275" s="3" t="inlineStr">
        <is>
          <t/>
        </is>
      </c>
      <c r="H275" s="3" t="inlineStr">
        <is>
          <t>System</t>
        </is>
      </c>
      <c r="I275" s="3" t="inlineStr">
        <is>
          <t>Gina Stefanelli</t>
        </is>
      </c>
      <c r="J275" s="4" t="n">
        <v>46006.582037037035</v>
      </c>
      <c r="K275" s="5" t="n">
        <v>46006.0</v>
      </c>
      <c r="L275" s="5" t="n">
        <v>46003.0</v>
      </c>
      <c r="M275" s="3" t="inlineStr">
        <is>
          <t>Approved</t>
        </is>
      </c>
      <c r="N275" s="3" t="inlineStr">
        <is>
          <t>Country Close, Site Close, Study Close</t>
        </is>
      </c>
      <c r="O275" s="3" t="inlineStr">
        <is>
          <t>42847922MDD3003</t>
        </is>
      </c>
    </row>
    <row r="276">
      <c r="A276" s="2" t="str">
        <f>HYPERLINK("https://vtmf.veevavault.com/ui/#doc_info/29946125/1/0", "42847922MDD3003---File Note-12 Sep 2025 (v1.0)")</f>
        <v>42847922MDD3003---File Note-12 Sep 2025 (v1.0)</v>
      </c>
      <c r="B276" s="3" t="inlineStr">
        <is>
          <t>Trial Management</t>
        </is>
      </c>
      <c r="C276" s="3" t="inlineStr">
        <is>
          <t>General</t>
        </is>
      </c>
      <c r="D276" s="3" t="inlineStr">
        <is>
          <t>File Note</t>
        </is>
      </c>
      <c r="E276" s="3" t="inlineStr">
        <is>
          <t>NTF_Clario ECG Quick Guide update and retraining of study sites_12Sep2025</t>
        </is>
      </c>
      <c r="F276" s="2" t="str">
        <f>HYPERLINK("https://vtmf.veevavault.com/ui/#doc_info/29946125/1/0", "VTMF-24107267")</f>
        <v>VTMF-24107267</v>
      </c>
      <c r="G276" s="3" t="inlineStr">
        <is>
          <t/>
        </is>
      </c>
      <c r="H276" s="3" t="inlineStr">
        <is>
          <t>System</t>
        </is>
      </c>
      <c r="I276" s="3" t="inlineStr">
        <is>
          <t>Debhora Garcia</t>
        </is>
      </c>
      <c r="J276" s="4" t="n">
        <v>45913.00476851852</v>
      </c>
      <c r="K276" s="5" t="n">
        <v>45912.0</v>
      </c>
      <c r="L276" s="5" t="n">
        <v>45912.0</v>
      </c>
      <c r="M276" s="3" t="inlineStr">
        <is>
          <t>Approved</t>
        </is>
      </c>
      <c r="N276" s="3" t="inlineStr">
        <is>
          <t>Country Close, Site Close, Study Close</t>
        </is>
      </c>
      <c r="O276" s="3" t="inlineStr">
        <is>
          <t>42847922MDD3003</t>
        </is>
      </c>
    </row>
    <row r="277">
      <c r="A277" s="2" t="str">
        <f>HYPERLINK("https://vtmf.veevavault.com/ui/#doc_info/26900866/1/0", "42847922MDD3003---File Note-13 Aug 2024 (v1.0)")</f>
        <v>42847922MDD3003---File Note-13 Aug 2024 (v1.0)</v>
      </c>
      <c r="B277" s="3" t="inlineStr">
        <is>
          <t>Central Trial Documents</t>
        </is>
      </c>
      <c r="C277" s="3" t="inlineStr">
        <is>
          <t>General</t>
        </is>
      </c>
      <c r="D277" s="3" t="inlineStr">
        <is>
          <t>File Note</t>
        </is>
      </c>
      <c r="E277" s="3" t="inlineStr">
        <is>
          <t>Central team communication to EU sites_delay EU CTR submission_13Aug2024</t>
        </is>
      </c>
      <c r="F277" s="2" t="str">
        <f>HYPERLINK("https://vtmf.veevavault.com/ui/#doc_info/26900866/1/0", "VTMF-21563526")</f>
        <v>VTMF-21563526</v>
      </c>
      <c r="G277" s="3" t="inlineStr">
        <is>
          <t/>
        </is>
      </c>
      <c r="H277" s="3" t="inlineStr">
        <is>
          <t>Anthony Suarez (veeva.com)</t>
        </is>
      </c>
      <c r="I277" s="3" t="inlineStr">
        <is>
          <t>Debhora Garcia</t>
        </is>
      </c>
      <c r="J277" s="4" t="n">
        <v>45520.231261574074</v>
      </c>
      <c r="K277" s="5" t="n">
        <v>45520.0</v>
      </c>
      <c r="L277" s="5" t="n">
        <v>45517.0</v>
      </c>
      <c r="M277" s="3" t="inlineStr">
        <is>
          <t>Approved</t>
        </is>
      </c>
      <c r="N277" s="3" t="inlineStr">
        <is>
          <t>Country Close, Site Close, Study Close</t>
        </is>
      </c>
      <c r="O277" s="3" t="inlineStr">
        <is>
          <t>42847922MDD3003</t>
        </is>
      </c>
    </row>
    <row r="278">
      <c r="A278" s="2" t="str">
        <f>HYPERLINK("https://vtmf.veevavault.com/ui/#doc_info/29353428/1/0", "42847922MDD3003---File Note-13 Jun 2025 (v1.0)")</f>
        <v>42847922MDD3003---File Note-13 Jun 2025 (v1.0)</v>
      </c>
      <c r="B278" s="3" t="inlineStr">
        <is>
          <t>Trial Management</t>
        </is>
      </c>
      <c r="C278" s="3" t="inlineStr">
        <is>
          <t>General</t>
        </is>
      </c>
      <c r="D278" s="3" t="inlineStr">
        <is>
          <t>File Note</t>
        </is>
      </c>
      <c r="E278" s="3" t="inlineStr">
        <is>
          <t>Enrollment cap increase_S10-BR10002 Dr Sandra Ruschel</t>
        </is>
      </c>
      <c r="F278" s="2" t="str">
        <f>HYPERLINK("https://vtmf.veevavault.com/ui/#doc_info/29353428/1/0", "VTMF-23597007")</f>
        <v>VTMF-23597007</v>
      </c>
      <c r="G278" s="3" t="inlineStr">
        <is>
          <t/>
        </is>
      </c>
      <c r="H278" s="3" t="inlineStr">
        <is>
          <t>Anthony Suarez (veeva.com)</t>
        </is>
      </c>
      <c r="I278" s="3" t="inlineStr">
        <is>
          <t>Gina Stefanelli</t>
        </is>
      </c>
      <c r="J278" s="4" t="n">
        <v>45821.788611111115</v>
      </c>
      <c r="K278" s="5" t="n">
        <v>45821.0</v>
      </c>
      <c r="L278" s="5" t="n">
        <v>45821.0</v>
      </c>
      <c r="M278" s="3" t="inlineStr">
        <is>
          <t>Approved</t>
        </is>
      </c>
      <c r="N278" s="3" t="inlineStr">
        <is>
          <t>Country Close, Site Close, Study Close</t>
        </is>
      </c>
      <c r="O278" s="3" t="inlineStr">
        <is>
          <t>42847922MDD3003</t>
        </is>
      </c>
    </row>
    <row r="279">
      <c r="A279" s="2" t="str">
        <f>HYPERLINK("https://vtmf.veevavault.com/ui/#doc_info/31183519/1/0", "42847922MDD3003---File Note-13 Mar 2026 (v1.0)")</f>
        <v>42847922MDD3003---File Note-13 Mar 2026 (v1.0)</v>
      </c>
      <c r="B279" s="3" t="inlineStr">
        <is>
          <t>Trial Management</t>
        </is>
      </c>
      <c r="C279" s="3" t="inlineStr">
        <is>
          <t>General</t>
        </is>
      </c>
      <c r="D279" s="3" t="inlineStr">
        <is>
          <t>File Note</t>
        </is>
      </c>
      <c r="E279" s="3" t="inlineStr">
        <is>
          <t>Enrollment cap increase_S10-US10085 Dr Katic_</t>
        </is>
      </c>
      <c r="F279" s="2" t="str">
        <f>HYPERLINK("https://vtmf.veevavault.com/ui/#doc_info/31183519/1/0", "VTMF-25144282")</f>
        <v>VTMF-25144282</v>
      </c>
      <c r="G279" s="3" t="inlineStr">
        <is>
          <t/>
        </is>
      </c>
      <c r="H279" s="3" t="inlineStr">
        <is>
          <t>System</t>
        </is>
      </c>
      <c r="I279" s="3" t="inlineStr">
        <is>
          <t>Gina Stefanelli</t>
        </is>
      </c>
      <c r="J279" s="4" t="n">
        <v>46094.86363425926</v>
      </c>
      <c r="K279" s="5" t="n">
        <v>46094.0</v>
      </c>
      <c r="L279" s="5" t="n">
        <v>46094.0</v>
      </c>
      <c r="M279" s="3" t="inlineStr">
        <is>
          <t>Approved</t>
        </is>
      </c>
      <c r="N279" s="3" t="inlineStr">
        <is>
          <t>Country Close, Site Close, Study Close</t>
        </is>
      </c>
      <c r="O279" s="3" t="inlineStr">
        <is>
          <t>42847922MDD3003</t>
        </is>
      </c>
    </row>
    <row r="280">
      <c r="A280" s="2" t="str">
        <f>HYPERLINK("https://vtmf.veevavault.com/ui/#doc_info/26955105/1/0", "42847922MDD3003---File Note-14 Mar 2024 (v1.0)")</f>
        <v>42847922MDD3003---File Note-14 Mar 2024 (v1.0)</v>
      </c>
      <c r="B280" s="3" t="inlineStr">
        <is>
          <t>Regulatory</t>
        </is>
      </c>
      <c r="C280" s="3" t="inlineStr">
        <is>
          <t>General</t>
        </is>
      </c>
      <c r="D280" s="3" t="inlineStr">
        <is>
          <t>File Note</t>
        </is>
      </c>
      <c r="E280" s="3" t="inlineStr">
        <is>
          <t>TV-eFRM-15959 Documentation of Decision to File Foreign Sites to US IND; 14Mar2024</t>
        </is>
      </c>
      <c r="F280" s="2" t="str">
        <f>HYPERLINK("https://vtmf.veevavault.com/ui/#doc_info/26955105/1/0", "VTMF-21608663")</f>
        <v>VTMF-21608663</v>
      </c>
      <c r="G280" s="3" t="inlineStr">
        <is>
          <t/>
        </is>
      </c>
      <c r="H280" s="3" t="inlineStr">
        <is>
          <t>Anthony Suarez (veeva.com)</t>
        </is>
      </c>
      <c r="I280" s="3" t="inlineStr">
        <is>
          <t>Arlean Worthy</t>
        </is>
      </c>
      <c r="J280" s="4" t="n">
        <v>45530.98063657407</v>
      </c>
      <c r="K280" s="5" t="n">
        <v>45530.0</v>
      </c>
      <c r="L280" s="5" t="n">
        <v>45365.0</v>
      </c>
      <c r="M280" s="3" t="inlineStr">
        <is>
          <t>Approved</t>
        </is>
      </c>
      <c r="N280" s="3" t="inlineStr">
        <is>
          <t>Country Close, Site Close, Study Close</t>
        </is>
      </c>
      <c r="O280" s="3" t="inlineStr">
        <is>
          <t>42847922MDD3003</t>
        </is>
      </c>
    </row>
    <row r="281">
      <c r="A281" s="2" t="str">
        <f>HYPERLINK("https://vtmf.veevavault.com/ui/#doc_info/29774914/1/0", "42847922MDD3003---File Note-15 Aug 2025 (v1.0)")</f>
        <v>42847922MDD3003---File Note-15 Aug 2025 (v1.0)</v>
      </c>
      <c r="B281" s="3" t="inlineStr">
        <is>
          <t>Trial Management</t>
        </is>
      </c>
      <c r="C281" s="3" t="inlineStr">
        <is>
          <t>General</t>
        </is>
      </c>
      <c r="D281" s="3" t="inlineStr">
        <is>
          <t>File Note</t>
        </is>
      </c>
      <c r="E281" s="3" t="inlineStr">
        <is>
          <t>Enrollment cap increase_S10-US10234 Dr Murray_15Aug2025</t>
        </is>
      </c>
      <c r="F281" s="2" t="str">
        <f>HYPERLINK("https://vtmf.veevavault.com/ui/#doc_info/29774914/1/0", "VTMF-23960025")</f>
        <v>VTMF-23960025</v>
      </c>
      <c r="G281" s="3" t="inlineStr">
        <is>
          <t/>
        </is>
      </c>
      <c r="H281" s="3" t="inlineStr">
        <is>
          <t>System</t>
        </is>
      </c>
      <c r="I281" s="3" t="inlineStr">
        <is>
          <t>Debhora Garcia</t>
        </is>
      </c>
      <c r="J281" s="4" t="n">
        <v>45884.87353009259</v>
      </c>
      <c r="K281" s="5" t="n">
        <v>45884.0</v>
      </c>
      <c r="L281" s="5" t="n">
        <v>45884.0</v>
      </c>
      <c r="M281" s="3" t="inlineStr">
        <is>
          <t>Approved</t>
        </is>
      </c>
      <c r="N281" s="3" t="inlineStr">
        <is>
          <t>Country Close, Site Close, Study Close</t>
        </is>
      </c>
      <c r="O281" s="3" t="inlineStr">
        <is>
          <t>42847922MDD3003</t>
        </is>
      </c>
    </row>
    <row r="282">
      <c r="A282" s="2" t="str">
        <f>HYPERLINK("https://vtmf.veevavault.com/ui/#doc_info/30617903/1/0", "42847922MDD3003---File Note-16 Dec 2025 (v1.0)")</f>
        <v>42847922MDD3003---File Note-16 Dec 2025 (v1.0)</v>
      </c>
      <c r="B282" s="3" t="inlineStr">
        <is>
          <t>Trial Management</t>
        </is>
      </c>
      <c r="C282" s="3" t="inlineStr">
        <is>
          <t>General</t>
        </is>
      </c>
      <c r="D282" s="3" t="inlineStr">
        <is>
          <t>File Note</t>
        </is>
      </c>
      <c r="E282" s="3" t="inlineStr">
        <is>
          <t>Enrollment cap increase_S10-AR10015 Dr Noriega</t>
        </is>
      </c>
      <c r="F282" s="2" t="str">
        <f>HYPERLINK("https://vtmf.veevavault.com/ui/#doc_info/30617903/1/0", "VTMF-24670337")</f>
        <v>VTMF-24670337</v>
      </c>
      <c r="G282" s="3" t="inlineStr">
        <is>
          <t/>
        </is>
      </c>
      <c r="H282" s="3" t="inlineStr">
        <is>
          <t>System</t>
        </is>
      </c>
      <c r="I282" s="3" t="inlineStr">
        <is>
          <t>Debhora Garcia</t>
        </is>
      </c>
      <c r="J282" s="4" t="n">
        <v>46007.76357638889</v>
      </c>
      <c r="K282" s="5" t="n">
        <v>46007.0</v>
      </c>
      <c r="L282" s="5" t="n">
        <v>46007.0</v>
      </c>
      <c r="M282" s="3" t="inlineStr">
        <is>
          <t>Approved</t>
        </is>
      </c>
      <c r="N282" s="3" t="inlineStr">
        <is>
          <t>Country Close, Site Close, Study Close</t>
        </is>
      </c>
      <c r="O282" s="3" t="inlineStr">
        <is>
          <t>42847922MDD3003</t>
        </is>
      </c>
    </row>
    <row r="283">
      <c r="A283" s="2" t="str">
        <f>HYPERLINK("https://vtmf.veevavault.com/ui/#doc_info/28334072/1/0", "42847922MDD3003---File Note-17 Feb 2025 (v1.0)")</f>
        <v>42847922MDD3003---File Note-17 Feb 2025 (v1.0)</v>
      </c>
      <c r="B283" s="3" t="inlineStr">
        <is>
          <t>Trial Management</t>
        </is>
      </c>
      <c r="C283" s="3" t="inlineStr">
        <is>
          <t>General</t>
        </is>
      </c>
      <c r="D283" s="3" t="inlineStr">
        <is>
          <t>File Note</t>
        </is>
      </c>
      <c r="E283" s="3" t="inlineStr">
        <is>
          <t>NTF_Screening sources MDD3003; 17Feb2025</t>
        </is>
      </c>
      <c r="F283" s="2" t="str">
        <f>HYPERLINK("https://vtmf.veevavault.com/ui/#doc_info/28334072/1/0", "VTMF-22732111")</f>
        <v>VTMF-22732111</v>
      </c>
      <c r="G283" s="3" t="inlineStr">
        <is>
          <t/>
        </is>
      </c>
      <c r="H283" s="3" t="inlineStr">
        <is>
          <t>Anthony Suarez (veeva.com)</t>
        </is>
      </c>
      <c r="I283" s="3" t="inlineStr">
        <is>
          <t>Debhora Garcia</t>
        </is>
      </c>
      <c r="J283" s="4" t="n">
        <v>45707.883726851855</v>
      </c>
      <c r="K283" s="5" t="n">
        <v>45707.0</v>
      </c>
      <c r="L283" s="5" t="n">
        <v>45705.0</v>
      </c>
      <c r="M283" s="3" t="inlineStr">
        <is>
          <t>Approved</t>
        </is>
      </c>
      <c r="N283" s="3" t="inlineStr">
        <is>
          <t>Country Close, Site Close, Study Close</t>
        </is>
      </c>
      <c r="O283" s="3" t="inlineStr">
        <is>
          <t>42847922MDD3003</t>
        </is>
      </c>
    </row>
    <row r="284">
      <c r="A284" s="2" t="str">
        <f>HYPERLINK("https://vtmf.veevavault.com/ui/#doc_info/28118557/1/0", "42847922MDD3003---File Note-17 Jan 2025 (v1.0)")</f>
        <v>42847922MDD3003---File Note-17 Jan 2025 (v1.0)</v>
      </c>
      <c r="B284" s="3" t="inlineStr">
        <is>
          <t>Trial Management</t>
        </is>
      </c>
      <c r="C284" s="3" t="inlineStr">
        <is>
          <t>General</t>
        </is>
      </c>
      <c r="D284" s="3" t="inlineStr">
        <is>
          <t>File Note</t>
        </is>
      </c>
      <c r="E284" s="3" t="inlineStr">
        <is>
          <t>42847922MDD3003_Enrollment cap increase_S10-BR10002 Dr Sandra Ruschel_17Jan2025</t>
        </is>
      </c>
      <c r="F284" s="2" t="str">
        <f>HYPERLINK("https://vtmf.veevavault.com/ui/#doc_info/28118557/1/0", "VTMF-22551394")</f>
        <v>VTMF-22551394</v>
      </c>
      <c r="G284" s="3" t="inlineStr">
        <is>
          <t/>
        </is>
      </c>
      <c r="H284" s="3" t="inlineStr">
        <is>
          <t>Anthony Suarez (veeva.com)</t>
        </is>
      </c>
      <c r="I284" s="3" t="inlineStr">
        <is>
          <t>Gina Stefanelli</t>
        </is>
      </c>
      <c r="J284" s="4" t="n">
        <v>45678.60759259259</v>
      </c>
      <c r="K284" s="5" t="n">
        <v>45678.0</v>
      </c>
      <c r="L284" s="5" t="n">
        <v>45674.0</v>
      </c>
      <c r="M284" s="3" t="inlineStr">
        <is>
          <t>Approved</t>
        </is>
      </c>
      <c r="N284" s="3" t="inlineStr">
        <is>
          <t>Country Close, Site Close, Study Close</t>
        </is>
      </c>
      <c r="O284" s="3" t="inlineStr">
        <is>
          <t>42847922MDD3003</t>
        </is>
      </c>
    </row>
    <row r="285">
      <c r="A285" s="2" t="str">
        <f>HYPERLINK("https://vtmf.veevavault.com/ui/#doc_info/30182484/1/0", "42847922MDD3003---File Note-17 Oct 2025 (v1.0)")</f>
        <v>42847922MDD3003---File Note-17 Oct 2025 (v1.0)</v>
      </c>
      <c r="B285" s="3" t="inlineStr">
        <is>
          <t>Trial Management</t>
        </is>
      </c>
      <c r="C285" s="3" t="inlineStr">
        <is>
          <t>General</t>
        </is>
      </c>
      <c r="D285" s="3" t="inlineStr">
        <is>
          <t>File Note</t>
        </is>
      </c>
      <c r="E285" s="3" t="inlineStr">
        <is>
          <t>Enrollment cap increase_S10-BG10012 Dr Dimitrova_17Oct2025</t>
        </is>
      </c>
      <c r="F285" s="2" t="str">
        <f>HYPERLINK("https://vtmf.veevavault.com/ui/#doc_info/30182484/1/0", "VTMF-24300473")</f>
        <v>VTMF-24300473</v>
      </c>
      <c r="G285" s="3" t="inlineStr">
        <is>
          <t/>
        </is>
      </c>
      <c r="H285" s="3" t="inlineStr">
        <is>
          <t>System</t>
        </is>
      </c>
      <c r="I285" s="3" t="inlineStr">
        <is>
          <t>Gina Stefanelli</t>
        </is>
      </c>
      <c r="J285" s="4" t="n">
        <v>45947.732083333336</v>
      </c>
      <c r="K285" s="5" t="n">
        <v>45947.0</v>
      </c>
      <c r="L285" s="5" t="n">
        <v>45947.0</v>
      </c>
      <c r="M285" s="3" t="inlineStr">
        <is>
          <t>Approved</t>
        </is>
      </c>
      <c r="N285" s="3" t="inlineStr">
        <is>
          <t>Country Close, Site Close, Study Close</t>
        </is>
      </c>
      <c r="O285" s="3" t="inlineStr">
        <is>
          <t>42847922MDD3003</t>
        </is>
      </c>
    </row>
    <row r="286">
      <c r="A286" s="2" t="str">
        <f>HYPERLINK("https://vtmf.veevavault.com/ui/#doc_info/30643148/1/0", "42847922MDD3003---File Note-18 Dec 2025 (v1.0)")</f>
        <v>42847922MDD3003---File Note-18 Dec 2025 (v1.0)</v>
      </c>
      <c r="B286" s="3" t="inlineStr">
        <is>
          <t>Trial Management</t>
        </is>
      </c>
      <c r="C286" s="3" t="inlineStr">
        <is>
          <t>General</t>
        </is>
      </c>
      <c r="D286" s="3" t="inlineStr">
        <is>
          <t>File Note</t>
        </is>
      </c>
      <c r="E286" s="3" t="inlineStr">
        <is>
          <t>Enrollment cap increase_S10-ES10003 Dr Ros Cucurull</t>
        </is>
      </c>
      <c r="F286" s="2" t="str">
        <f>HYPERLINK("https://vtmf.veevavault.com/ui/#doc_info/30643148/1/0", "VTMF-24692331")</f>
        <v>VTMF-24692331</v>
      </c>
      <c r="G286" s="3" t="inlineStr">
        <is>
          <t/>
        </is>
      </c>
      <c r="H286" s="3" t="inlineStr">
        <is>
          <t>System</t>
        </is>
      </c>
      <c r="I286" s="3" t="inlineStr">
        <is>
          <t>Debhora Garcia</t>
        </is>
      </c>
      <c r="J286" s="4" t="n">
        <v>46010.04525462963</v>
      </c>
      <c r="K286" s="5" t="n">
        <v>46009.0</v>
      </c>
      <c r="L286" s="5" t="n">
        <v>46009.0</v>
      </c>
      <c r="M286" s="3" t="inlineStr">
        <is>
          <t>Approved</t>
        </is>
      </c>
      <c r="N286" s="3" t="inlineStr">
        <is>
          <t>Country Close, Site Close, Study Close</t>
        </is>
      </c>
      <c r="O286" s="3" t="inlineStr">
        <is>
          <t>42847922MDD3003</t>
        </is>
      </c>
    </row>
    <row r="287">
      <c r="A287" s="2" t="str">
        <f>HYPERLINK("https://vtmf.veevavault.com/ui/#doc_info/31206647/1/0", "42847922MDD3003---File Note-18 Mar 2026 (v1.0)")</f>
        <v>42847922MDD3003---File Note-18 Mar 2026 (v1.0)</v>
      </c>
      <c r="B287" s="3" t="inlineStr">
        <is>
          <t>Trial Management</t>
        </is>
      </c>
      <c r="C287" s="3" t="inlineStr">
        <is>
          <t>General</t>
        </is>
      </c>
      <c r="D287" s="3" t="inlineStr">
        <is>
          <t>File Note</t>
        </is>
      </c>
      <c r="E287" s="3" t="inlineStr">
        <is>
          <t>Enrollment cap increase_S10-US10256 Dr Cheekati</t>
        </is>
      </c>
      <c r="F287" s="2" t="str">
        <f>HYPERLINK("https://vtmf.veevavault.com/ui/#doc_info/31206647/1/0", "VTMF-25163153")</f>
        <v>VTMF-25163153</v>
      </c>
      <c r="G287" s="3" t="inlineStr">
        <is>
          <t/>
        </is>
      </c>
      <c r="H287" s="3" t="inlineStr">
        <is>
          <t>System</t>
        </is>
      </c>
      <c r="I287" s="3" t="inlineStr">
        <is>
          <t>Debhora Garcia</t>
        </is>
      </c>
      <c r="J287" s="4" t="n">
        <v>46099.88474537037</v>
      </c>
      <c r="K287" s="5" t="n">
        <v>46099.0</v>
      </c>
      <c r="L287" s="5" t="n">
        <v>46099.0</v>
      </c>
      <c r="M287" s="3" t="inlineStr">
        <is>
          <t>Approved</t>
        </is>
      </c>
      <c r="N287" s="3" t="inlineStr">
        <is>
          <t>Country Close, Site Close, Study Close</t>
        </is>
      </c>
      <c r="O287" s="3" t="inlineStr">
        <is>
          <t>42847922MDD3003</t>
        </is>
      </c>
    </row>
    <row r="288">
      <c r="A288" s="2" t="str">
        <f>HYPERLINK("https://vtmf.veevavault.com/ui/#doc_info/29978022/1/0", "42847922MDD3003---File Note-18 Sep 2025 (v1.0)")</f>
        <v>42847922MDD3003---File Note-18 Sep 2025 (v1.0)</v>
      </c>
      <c r="B288" s="3" t="inlineStr">
        <is>
          <t>Trial Management</t>
        </is>
      </c>
      <c r="C288" s="3" t="inlineStr">
        <is>
          <t>General</t>
        </is>
      </c>
      <c r="D288" s="3" t="inlineStr">
        <is>
          <t>File Note</t>
        </is>
      </c>
      <c r="E288" s="3" t="inlineStr">
        <is>
          <t>NTF Regarding SCID-CT Colombia translation footer error</t>
        </is>
      </c>
      <c r="F288" s="2" t="str">
        <f>HYPERLINK("https://vtmf.veevavault.com/ui/#doc_info/29978022/1/0", "VTMF-24134303")</f>
        <v>VTMF-24134303</v>
      </c>
      <c r="G288" s="3" t="inlineStr">
        <is>
          <t/>
        </is>
      </c>
      <c r="H288" s="3" t="inlineStr">
        <is>
          <t>System</t>
        </is>
      </c>
      <c r="I288" s="3" t="inlineStr">
        <is>
          <t>Gina Stefanelli</t>
        </is>
      </c>
      <c r="J288" s="4" t="n">
        <v>45918.61655092592</v>
      </c>
      <c r="K288" s="5" t="n">
        <v>45918.0</v>
      </c>
      <c r="L288" s="5" t="n">
        <v>45918.0</v>
      </c>
      <c r="M288" s="3" t="inlineStr">
        <is>
          <t>Approved</t>
        </is>
      </c>
      <c r="N288" s="3" t="inlineStr">
        <is>
          <t>Country Close, Site Close, Study Close</t>
        </is>
      </c>
      <c r="O288" s="3" t="inlineStr">
        <is>
          <t>42847922MDD3003</t>
        </is>
      </c>
    </row>
    <row r="289">
      <c r="A289" s="2" t="str">
        <f>HYPERLINK("https://vtmf.veevavault.com/ui/#doc_info/30652805/1/0", "42847922MDD3003---File Note-19 Dec 2025 (v1.0)")</f>
        <v>42847922MDD3003---File Note-19 Dec 2025 (v1.0)</v>
      </c>
      <c r="B289" s="3" t="inlineStr">
        <is>
          <t>Trial Management</t>
        </is>
      </c>
      <c r="C289" s="3" t="inlineStr">
        <is>
          <t>General</t>
        </is>
      </c>
      <c r="D289" s="3" t="inlineStr">
        <is>
          <t>File Note</t>
        </is>
      </c>
      <c r="E289" s="3" t="inlineStr">
        <is>
          <t>Enrollment cap increase_S10-PL10011 Dr Pawelczyk</t>
        </is>
      </c>
      <c r="F289" s="2" t="str">
        <f>HYPERLINK("https://vtmf.veevavault.com/ui/#doc_info/30652805/1/0", "VTMF-24699830")</f>
        <v>VTMF-24699830</v>
      </c>
      <c r="G289" s="3" t="inlineStr">
        <is>
          <t/>
        </is>
      </c>
      <c r="H289" s="3" t="inlineStr">
        <is>
          <t>System</t>
        </is>
      </c>
      <c r="I289" s="3" t="inlineStr">
        <is>
          <t>Debhora Garcia</t>
        </is>
      </c>
      <c r="J289" s="4" t="n">
        <v>46011.02447916667</v>
      </c>
      <c r="K289" s="5" t="n">
        <v>46010.0</v>
      </c>
      <c r="L289" s="5" t="n">
        <v>46010.0</v>
      </c>
      <c r="M289" s="3" t="inlineStr">
        <is>
          <t>Approved</t>
        </is>
      </c>
      <c r="N289" s="3" t="inlineStr">
        <is>
          <t>Country Close, Site Close, Study Close</t>
        </is>
      </c>
      <c r="O289" s="3" t="inlineStr">
        <is>
          <t>42847922MDD3003</t>
        </is>
      </c>
    </row>
    <row r="290">
      <c r="A290" s="2" t="str">
        <f>HYPERLINK("https://vtmf.veevavault.com/ui/#doc_info/31215382/1/0", "42847922MDD3003---File Note-19 Mar 2026 (v1.0)")</f>
        <v>42847922MDD3003---File Note-19 Mar 2026 (v1.0)</v>
      </c>
      <c r="B290" s="3" t="inlineStr">
        <is>
          <t>Trial Management</t>
        </is>
      </c>
      <c r="C290" s="3" t="inlineStr">
        <is>
          <t>General</t>
        </is>
      </c>
      <c r="D290" s="3" t="inlineStr">
        <is>
          <t>File Note</t>
        </is>
      </c>
      <c r="E290" s="3" t="inlineStr">
        <is>
          <t>Enrollment cap increase_S10-US10219 Dr Jorge Betancourt</t>
        </is>
      </c>
      <c r="F290" s="2" t="str">
        <f>HYPERLINK("https://vtmf.veevavault.com/ui/#doc_info/31215382/1/0", "VTMF-25170515")</f>
        <v>VTMF-25170515</v>
      </c>
      <c r="G290" s="3" t="inlineStr">
        <is>
          <t/>
        </is>
      </c>
      <c r="H290" s="3" t="inlineStr">
        <is>
          <t>System</t>
        </is>
      </c>
      <c r="I290" s="3" t="inlineStr">
        <is>
          <t>Gina Stefanelli</t>
        </is>
      </c>
      <c r="J290" s="4" t="n">
        <v>46100.88983796296</v>
      </c>
      <c r="K290" s="5" t="n">
        <v>46100.0</v>
      </c>
      <c r="L290" s="5" t="n">
        <v>46100.0</v>
      </c>
      <c r="M290" s="3" t="inlineStr">
        <is>
          <t>Approved</t>
        </is>
      </c>
      <c r="N290" s="3" t="inlineStr">
        <is>
          <t>Country Close, Site Close, Study Close</t>
        </is>
      </c>
      <c r="O290" s="3" t="inlineStr">
        <is>
          <t>42847922MDD3003</t>
        </is>
      </c>
    </row>
    <row r="291">
      <c r="A291" s="2" t="str">
        <f>HYPERLINK("https://vtmf.veevavault.com/ui/#doc_info/30444237/1/0", "42847922MDD3003---File Note-20 Nov 2025 (v1.0)")</f>
        <v>42847922MDD3003---File Note-20 Nov 2025 (v1.0)</v>
      </c>
      <c r="B291" s="3" t="inlineStr">
        <is>
          <t>Trial Management</t>
        </is>
      </c>
      <c r="C291" s="3" t="inlineStr">
        <is>
          <t>General</t>
        </is>
      </c>
      <c r="D291" s="3" t="inlineStr">
        <is>
          <t>File Note</t>
        </is>
      </c>
      <c r="E291" s="3" t="inlineStr">
        <is>
          <t>Enrollment cap increase_S10-US10058 Dr Kenia Castro</t>
        </is>
      </c>
      <c r="F291" s="2" t="str">
        <f>HYPERLINK("https://vtmf.veevavault.com/ui/#doc_info/30444237/1/0", "VTMF-24525173")</f>
        <v>VTMF-24525173</v>
      </c>
      <c r="G291" s="3" t="inlineStr">
        <is>
          <t/>
        </is>
      </c>
      <c r="H291" s="3" t="inlineStr">
        <is>
          <t>System</t>
        </is>
      </c>
      <c r="I291" s="3" t="inlineStr">
        <is>
          <t>Debhora Garcia</t>
        </is>
      </c>
      <c r="J291" s="4" t="n">
        <v>45982.155173611114</v>
      </c>
      <c r="K291" s="5" t="n">
        <v>45981.0</v>
      </c>
      <c r="L291" s="5" t="n">
        <v>45981.0</v>
      </c>
      <c r="M291" s="3" t="inlineStr">
        <is>
          <t>Approved</t>
        </is>
      </c>
      <c r="N291" s="3" t="inlineStr">
        <is>
          <t>Country Close, Site Close, Study Close</t>
        </is>
      </c>
      <c r="O291" s="3" t="inlineStr">
        <is>
          <t>42847922MDD3003</t>
        </is>
      </c>
    </row>
    <row r="292">
      <c r="A292" s="2" t="str">
        <f>HYPERLINK("https://vtmf.veevavault.com/ui/#doc_info/30822022/1/0", "42847922MDD3003---File Note-21 Jan 2026 (v1.0)")</f>
        <v>42847922MDD3003---File Note-21 Jan 2026 (v1.0)</v>
      </c>
      <c r="B292" s="3" t="inlineStr">
        <is>
          <t>Trial Management</t>
        </is>
      </c>
      <c r="C292" s="3" t="inlineStr">
        <is>
          <t>General</t>
        </is>
      </c>
      <c r="D292" s="3" t="inlineStr">
        <is>
          <t>File Note</t>
        </is>
      </c>
      <c r="E292" s="3" t="inlineStr">
        <is>
          <t>Enrollment cap increase_S10-US10101 Dr Maass Robinson_21Jan2026</t>
        </is>
      </c>
      <c r="F292" s="2" t="str">
        <f>HYPERLINK("https://vtmf.veevavault.com/ui/#doc_info/30822022/1/0", "VTMF-24838155")</f>
        <v>VTMF-24838155</v>
      </c>
      <c r="G292" s="3" t="inlineStr">
        <is>
          <t/>
        </is>
      </c>
      <c r="H292" s="3" t="inlineStr">
        <is>
          <t>System</t>
        </is>
      </c>
      <c r="I292" s="3" t="inlineStr">
        <is>
          <t>Gina Stefanelli</t>
        </is>
      </c>
      <c r="J292" s="4" t="n">
        <v>46043.846608796295</v>
      </c>
      <c r="K292" s="5" t="n">
        <v>46043.0</v>
      </c>
      <c r="L292" s="5" t="n">
        <v>46043.0</v>
      </c>
      <c r="M292" s="3" t="inlineStr">
        <is>
          <t>Approved</t>
        </is>
      </c>
      <c r="N292" s="3" t="inlineStr">
        <is>
          <t>Country Close, Site Close, Study Close</t>
        </is>
      </c>
      <c r="O292" s="3" t="inlineStr">
        <is>
          <t>42847922MDD3003</t>
        </is>
      </c>
    </row>
    <row r="293">
      <c r="A293" s="2" t="str">
        <f>HYPERLINK("https://vtmf.veevavault.com/ui/#doc_info/30463780/1/0", "42847922MDD3003---File Note-21 Nov 2025 (v1.0)")</f>
        <v>42847922MDD3003---File Note-21 Nov 2025 (v1.0)</v>
      </c>
      <c r="B293" s="3" t="inlineStr">
        <is>
          <t>Trial Management</t>
        </is>
      </c>
      <c r="C293" s="3" t="inlineStr">
        <is>
          <t>General</t>
        </is>
      </c>
      <c r="D293" s="3" t="inlineStr">
        <is>
          <t>File Note</t>
        </is>
      </c>
      <c r="E293" s="3" t="inlineStr">
        <is>
          <t>Enrollment cap increase_S10-US10228 Dr Wooten</t>
        </is>
      </c>
      <c r="F293" s="2" t="str">
        <f>HYPERLINK("https://vtmf.veevavault.com/ui/#doc_info/30463780/1/0", "VTMF-24542052")</f>
        <v>VTMF-24542052</v>
      </c>
      <c r="G293" s="3" t="inlineStr">
        <is>
          <t/>
        </is>
      </c>
      <c r="H293" s="3" t="inlineStr">
        <is>
          <t>System</t>
        </is>
      </c>
      <c r="I293" s="3" t="inlineStr">
        <is>
          <t>Debhora Garcia</t>
        </is>
      </c>
      <c r="J293" s="4" t="n">
        <v>45985.81471064815</v>
      </c>
      <c r="K293" s="5" t="n">
        <v>45985.0</v>
      </c>
      <c r="L293" s="5" t="n">
        <v>45982.0</v>
      </c>
      <c r="M293" s="3" t="inlineStr">
        <is>
          <t>Approved</t>
        </is>
      </c>
      <c r="N293" s="3" t="inlineStr">
        <is>
          <t>Country Close, Site Close, Study Close</t>
        </is>
      </c>
      <c r="O293" s="3" t="inlineStr">
        <is>
          <t>42847922MDD3003</t>
        </is>
      </c>
    </row>
    <row r="294">
      <c r="A294" s="2" t="str">
        <f>HYPERLINK("https://vtmf.veevavault.com/ui/#doc_info/25984908/5/0", "42847922MDD3003---File Note-22 Mar 2024 (v5.0)")</f>
        <v>42847922MDD3003---File Note-22 Mar 2024 (v5.0)</v>
      </c>
      <c r="B294" s="3" t="inlineStr">
        <is>
          <t>Third Parties</t>
        </is>
      </c>
      <c r="C294" s="3" t="inlineStr">
        <is>
          <t>General</t>
        </is>
      </c>
      <c r="D294" s="3" t="inlineStr">
        <is>
          <t>File Note</t>
        </is>
      </c>
      <c r="E294" s="3" t="inlineStr">
        <is>
          <t>MDD3003/5/7 - Cronos MS Surface Pro Tablet Specifications (Study Equipment)_22-Mar-2024</t>
        </is>
      </c>
      <c r="F294" s="2" t="str">
        <f>HYPERLINK("https://vtmf.veevavault.com/ui/#doc_info/25984908/5/0", "VTMF-20766458")</f>
        <v>VTMF-20766458</v>
      </c>
      <c r="G294" s="3" t="inlineStr">
        <is>
          <t/>
        </is>
      </c>
      <c r="H294" s="3" t="inlineStr">
        <is>
          <t>Anthony Suarez (veeva.com)</t>
        </is>
      </c>
      <c r="I294" s="3" t="inlineStr">
        <is>
          <t>Gina Stefanelli</t>
        </is>
      </c>
      <c r="J294" s="4" t="n">
        <v>45643.74023148148</v>
      </c>
      <c r="K294" s="5" t="n">
        <v>45643.0</v>
      </c>
      <c r="L294" s="5" t="n">
        <v>45373.0</v>
      </c>
      <c r="M294" s="3" t="inlineStr">
        <is>
          <t>Approved</t>
        </is>
      </c>
      <c r="N294" s="3" t="inlineStr">
        <is>
          <t>Country Close, Site Close, Study Close</t>
        </is>
      </c>
      <c r="O294" s="3" t="inlineStr">
        <is>
          <t>42847922MDD3003, 67953964MDD3005, 67953964MDD3007</t>
        </is>
      </c>
    </row>
    <row r="295">
      <c r="A295" s="2" t="str">
        <f>HYPERLINK("https://vtmf.veevavault.com/ui/#doc_info/29768525/1/0", "42847922MDD3003---File Note-22 Mar 2024 (v1.0)")</f>
        <v>42847922MDD3003---File Note-22 Mar 2024 (v1.0)</v>
      </c>
      <c r="B295" s="3" t="inlineStr">
        <is>
          <t>Third Parties</t>
        </is>
      </c>
      <c r="C295" s="3" t="inlineStr">
        <is>
          <t>General</t>
        </is>
      </c>
      <c r="D295" s="3" t="inlineStr">
        <is>
          <t>File Note</t>
        </is>
      </c>
      <c r="E295" s="3" t="inlineStr">
        <is>
          <t>42847922MDD3003: Clario Device Specifications, Value and Documentation for use By EC and IRB_22-Mar-2024</t>
        </is>
      </c>
      <c r="F295" s="2" t="str">
        <f>HYPERLINK("https://vtmf.veevavault.com/ui/#doc_info/29768525/1/0", "VTMF-23954468")</f>
        <v>VTMF-23954468</v>
      </c>
      <c r="G295" s="3" t="inlineStr">
        <is>
          <t/>
        </is>
      </c>
      <c r="H295" s="3" t="inlineStr">
        <is>
          <t>Anthony Suarez (veeva.com)</t>
        </is>
      </c>
      <c r="I295" s="3" t="inlineStr">
        <is>
          <t>Debhora Garcia</t>
        </is>
      </c>
      <c r="J295" s="4" t="n">
        <v>45884.02333333333</v>
      </c>
      <c r="K295" s="5" t="n">
        <v>45883.0</v>
      </c>
      <c r="L295" s="5" t="n">
        <v>45373.0</v>
      </c>
      <c r="M295" s="3" t="inlineStr">
        <is>
          <t>Approved</t>
        </is>
      </c>
      <c r="N295" s="3" t="inlineStr">
        <is>
          <t>Country Close, Site Close, Study Close</t>
        </is>
      </c>
      <c r="O295" s="3" t="inlineStr">
        <is>
          <t>42847922MDD3003</t>
        </is>
      </c>
    </row>
    <row r="296">
      <c r="A296" s="2" t="str">
        <f>HYPERLINK("https://vtmf.veevavault.com/ui/#doc_info/30515779/1/0", "42847922MDD3003---File Note-22 Oct 2025 (v1.0)")</f>
        <v>42847922MDD3003---File Note-22 Oct 2025 (v1.0)</v>
      </c>
      <c r="B296" s="3" t="inlineStr">
        <is>
          <t>Third Parties</t>
        </is>
      </c>
      <c r="C296" s="3" t="inlineStr">
        <is>
          <t>General</t>
        </is>
      </c>
      <c r="D296" s="3" t="inlineStr">
        <is>
          <t>File Note</t>
        </is>
      </c>
      <c r="E296" s="3" t="inlineStr">
        <is>
          <t>Beacon BioSignals Participant ID Correction_Site US10049_17Oct-19Oct25 (part 1) - signed.</t>
        </is>
      </c>
      <c r="F296" s="2" t="str">
        <f>HYPERLINK("https://vtmf.veevavault.com/ui/#doc_info/30515779/1/0", "VTMF-24586597")</f>
        <v>VTMF-24586597</v>
      </c>
      <c r="G296" s="3" t="inlineStr">
        <is>
          <t/>
        </is>
      </c>
      <c r="H296" s="3" t="inlineStr">
        <is>
          <t>Gina Stefanelli</t>
        </is>
      </c>
      <c r="I296" s="3" t="inlineStr">
        <is>
          <t>Gina Stefanelli</t>
        </is>
      </c>
      <c r="J296" s="4" t="n">
        <v>45993.79589120371</v>
      </c>
      <c r="K296" s="5" t="n">
        <v>45993.0</v>
      </c>
      <c r="L296" s="5" t="n">
        <v>45952.0</v>
      </c>
      <c r="M296" s="3" t="inlineStr">
        <is>
          <t>Approved</t>
        </is>
      </c>
      <c r="N296" s="3" t="inlineStr">
        <is>
          <t>Country Close, Site Close, Study Close</t>
        </is>
      </c>
      <c r="O296" s="3" t="inlineStr">
        <is>
          <t>42847922MDD3003</t>
        </is>
      </c>
    </row>
    <row r="297">
      <c r="A297" s="2" t="str">
        <f>HYPERLINK("https://vtmf.veevavault.com/ui/#doc_info/30715941/1/0", "42847922MDD3003---File Note-23 Dec 2025 (v1.0)")</f>
        <v>42847922MDD3003---File Note-23 Dec 2025 (v1.0)</v>
      </c>
      <c r="B297" s="3" t="inlineStr">
        <is>
          <t>Trial Management</t>
        </is>
      </c>
      <c r="C297" s="3" t="inlineStr">
        <is>
          <t>General</t>
        </is>
      </c>
      <c r="D297" s="3" t="inlineStr">
        <is>
          <t>File Note</t>
        </is>
      </c>
      <c r="E297" s="3" t="inlineStr">
        <is>
          <t>Enrollment cap increase_S10-SE10001 Dr Luts_23Dec2025</t>
        </is>
      </c>
      <c r="F297" s="2" t="str">
        <f>HYPERLINK("https://vtmf.veevavault.com/ui/#doc_info/30715941/1/0", "VTMF-24750472")</f>
        <v>VTMF-24750472</v>
      </c>
      <c r="G297" s="3" t="inlineStr">
        <is>
          <t/>
        </is>
      </c>
      <c r="H297" s="3" t="inlineStr">
        <is>
          <t>System</t>
        </is>
      </c>
      <c r="I297" s="3" t="inlineStr">
        <is>
          <t>Gina Stefanelli</t>
        </is>
      </c>
      <c r="J297" s="4" t="n">
        <v>46027.58403935185</v>
      </c>
      <c r="K297" s="5" t="n">
        <v>46027.0</v>
      </c>
      <c r="L297" s="5" t="n">
        <v>46014.0</v>
      </c>
      <c r="M297" s="3" t="inlineStr">
        <is>
          <t>Approved</t>
        </is>
      </c>
      <c r="N297" s="3" t="inlineStr">
        <is>
          <t>Country Close, Site Close, Study Close</t>
        </is>
      </c>
      <c r="O297" s="3" t="inlineStr">
        <is>
          <t>42847922MDD3003</t>
        </is>
      </c>
    </row>
    <row r="298">
      <c r="A298" s="2" t="str">
        <f>HYPERLINK("https://vtmf.veevavault.com/ui/#doc_info/31044806/1/0", "42847922MDD3003---File Note-23 Feb 2026 (v1.0)")</f>
        <v>42847922MDD3003---File Note-23 Feb 2026 (v1.0)</v>
      </c>
      <c r="B298" s="3" t="inlineStr">
        <is>
          <t>Trial Management</t>
        </is>
      </c>
      <c r="C298" s="3" t="inlineStr">
        <is>
          <t>General</t>
        </is>
      </c>
      <c r="D298" s="3" t="inlineStr">
        <is>
          <t>File Note</t>
        </is>
      </c>
      <c r="E298" s="3" t="inlineStr">
        <is>
          <t>Enrollment cap increase_S10-BG10013 Dr Palazov</t>
        </is>
      </c>
      <c r="F298" s="2" t="str">
        <f>HYPERLINK("https://vtmf.veevavault.com/ui/#doc_info/31044806/1/0", "VTMF-25026971")</f>
        <v>VTMF-25026971</v>
      </c>
      <c r="G298" s="3" t="inlineStr">
        <is>
          <t/>
        </is>
      </c>
      <c r="H298" s="3" t="inlineStr">
        <is>
          <t>System</t>
        </is>
      </c>
      <c r="I298" s="3" t="inlineStr">
        <is>
          <t>Debhora Garcia</t>
        </is>
      </c>
      <c r="J298" s="4" t="n">
        <v>46077.01373842593</v>
      </c>
      <c r="K298" s="5" t="n">
        <v>46076.0</v>
      </c>
      <c r="L298" s="5" t="n">
        <v>46076.0</v>
      </c>
      <c r="M298" s="3" t="inlineStr">
        <is>
          <t>Approved</t>
        </is>
      </c>
      <c r="N298" s="3" t="inlineStr">
        <is>
          <t>Country Close, Site Close, Study Close</t>
        </is>
      </c>
      <c r="O298" s="3" t="inlineStr">
        <is>
          <t>42847922MDD3003</t>
        </is>
      </c>
    </row>
    <row r="299">
      <c r="A299" s="2" t="str">
        <f>HYPERLINK("https://vtmf.veevavault.com/ui/#doc_info/30840535/1/0", "42847922MDD3003---File Note-23 Jan 2026 (v1.0)")</f>
        <v>42847922MDD3003---File Note-23 Jan 2026 (v1.0)</v>
      </c>
      <c r="B299" s="3" t="inlineStr">
        <is>
          <t>Trial Management</t>
        </is>
      </c>
      <c r="C299" s="3" t="inlineStr">
        <is>
          <t>General</t>
        </is>
      </c>
      <c r="D299" s="3" t="inlineStr">
        <is>
          <t>File Note</t>
        </is>
      </c>
      <c r="E299" s="3" t="inlineStr">
        <is>
          <t>Enrollment cap increase_S10-US10015 Dr Carr</t>
        </is>
      </c>
      <c r="F299" s="2" t="str">
        <f>HYPERLINK("https://vtmf.veevavault.com/ui/#doc_info/30840535/1/0", "VTMF-24853835")</f>
        <v>VTMF-24853835</v>
      </c>
      <c r="G299" s="3" t="inlineStr">
        <is>
          <t/>
        </is>
      </c>
      <c r="H299" s="3" t="inlineStr">
        <is>
          <t>System</t>
        </is>
      </c>
      <c r="I299" s="3" t="inlineStr">
        <is>
          <t>Debhora Garcia</t>
        </is>
      </c>
      <c r="J299" s="4" t="n">
        <v>46045.823483796295</v>
      </c>
      <c r="K299" s="5" t="n">
        <v>46045.0</v>
      </c>
      <c r="L299" s="5" t="n">
        <v>46045.0</v>
      </c>
      <c r="M299" s="3" t="inlineStr">
        <is>
          <t>Approved</t>
        </is>
      </c>
      <c r="N299" s="3" t="inlineStr">
        <is>
          <t>Country Close, Site Close, Study Close</t>
        </is>
      </c>
      <c r="O299" s="3" t="inlineStr">
        <is>
          <t>42847922MDD3003</t>
        </is>
      </c>
    </row>
    <row r="300">
      <c r="A300" s="2" t="str">
        <f>HYPERLINK("https://vtmf.veevavault.com/ui/#doc_info/30840541/1/0", "42847922MDD3003---File Note-23 Jan 2026 (v1.0)")</f>
        <v>42847922MDD3003---File Note-23 Jan 2026 (v1.0)</v>
      </c>
      <c r="B300" s="3" t="inlineStr">
        <is>
          <t>Trial Management</t>
        </is>
      </c>
      <c r="C300" s="3" t="inlineStr">
        <is>
          <t>General</t>
        </is>
      </c>
      <c r="D300" s="3" t="inlineStr">
        <is>
          <t>File Note</t>
        </is>
      </c>
      <c r="E300" s="3" t="inlineStr">
        <is>
          <t>Enrollment cap increase_S10-BR10010 Dr Rosa</t>
        </is>
      </c>
      <c r="F300" s="2" t="str">
        <f>HYPERLINK("https://vtmf.veevavault.com/ui/#doc_info/30840541/1/0", "VTMF-24853849")</f>
        <v>VTMF-24853849</v>
      </c>
      <c r="G300" s="3" t="inlineStr">
        <is>
          <t/>
        </is>
      </c>
      <c r="H300" s="3" t="inlineStr">
        <is>
          <t>System</t>
        </is>
      </c>
      <c r="I300" s="3" t="inlineStr">
        <is>
          <t>Debhora Garcia</t>
        </is>
      </c>
      <c r="J300" s="4" t="n">
        <v>46045.825104166666</v>
      </c>
      <c r="K300" s="5" t="n">
        <v>46045.0</v>
      </c>
      <c r="L300" s="5" t="n">
        <v>46045.0</v>
      </c>
      <c r="M300" s="3" t="inlineStr">
        <is>
          <t>Approved</t>
        </is>
      </c>
      <c r="N300" s="3" t="inlineStr">
        <is>
          <t>Country Close, Site Close, Study Close</t>
        </is>
      </c>
      <c r="O300" s="3" t="inlineStr">
        <is>
          <t>42847922MDD3003</t>
        </is>
      </c>
    </row>
    <row r="301">
      <c r="A301" s="2" t="str">
        <f>HYPERLINK("https://vtmf.veevavault.com/ui/#doc_info/30840546/1/0", "42847922MDD3003---File Note-23 Jan 2026 (v1.0)")</f>
        <v>42847922MDD3003---File Note-23 Jan 2026 (v1.0)</v>
      </c>
      <c r="B301" s="3" t="inlineStr">
        <is>
          <t>Trial Management</t>
        </is>
      </c>
      <c r="C301" s="3" t="inlineStr">
        <is>
          <t>General</t>
        </is>
      </c>
      <c r="D301" s="3" t="inlineStr">
        <is>
          <t>File Note</t>
        </is>
      </c>
      <c r="E301" s="3" t="inlineStr">
        <is>
          <t>Enrollment cap increase_S10-BR10008 Dr Lacerdo</t>
        </is>
      </c>
      <c r="F301" s="2" t="str">
        <f>HYPERLINK("https://vtmf.veevavault.com/ui/#doc_info/30840546/1/0", "VTMF-24853855")</f>
        <v>VTMF-24853855</v>
      </c>
      <c r="G301" s="3" t="inlineStr">
        <is>
          <t/>
        </is>
      </c>
      <c r="H301" s="3" t="inlineStr">
        <is>
          <t>System</t>
        </is>
      </c>
      <c r="I301" s="3" t="inlineStr">
        <is>
          <t>Debhora Garcia</t>
        </is>
      </c>
      <c r="J301" s="4" t="n">
        <v>46045.825891203705</v>
      </c>
      <c r="K301" s="5" t="n">
        <v>46045.0</v>
      </c>
      <c r="L301" s="5" t="n">
        <v>46045.0</v>
      </c>
      <c r="M301" s="3" t="inlineStr">
        <is>
          <t>Approved</t>
        </is>
      </c>
      <c r="N301" s="3" t="inlineStr">
        <is>
          <t>Country Close, Site Close, Study Close</t>
        </is>
      </c>
      <c r="O301" s="3" t="inlineStr">
        <is>
          <t>42847922MDD3003</t>
        </is>
      </c>
    </row>
    <row r="302">
      <c r="A302" s="2" t="str">
        <f>HYPERLINK("https://vtmf.veevavault.com/ui/#doc_info/31253639/1/0", "42847922MDD3003---File Note-23 Mar 2026 (v1.0)")</f>
        <v>42847922MDD3003---File Note-23 Mar 2026 (v1.0)</v>
      </c>
      <c r="B302" s="3" t="inlineStr">
        <is>
          <t>Trial Management</t>
        </is>
      </c>
      <c r="C302" s="3" t="inlineStr">
        <is>
          <t>General</t>
        </is>
      </c>
      <c r="D302" s="3" t="inlineStr">
        <is>
          <t>File Note</t>
        </is>
      </c>
      <c r="E302" s="3" t="inlineStr">
        <is>
          <t>NTF MDD3003_End of Part 1 reconsenting to Part 2</t>
        </is>
      </c>
      <c r="F302" s="2" t="str">
        <f>HYPERLINK("https://vtmf.veevavault.com/ui/#doc_info/31253639/1/0", "VTMF-25206315")</f>
        <v>VTMF-25206315</v>
      </c>
      <c r="G302" s="3" t="inlineStr">
        <is>
          <t/>
        </is>
      </c>
      <c r="H302" s="3" t="inlineStr">
        <is>
          <t>System</t>
        </is>
      </c>
      <c r="I302" s="3" t="inlineStr">
        <is>
          <t>Debhora Garcia</t>
        </is>
      </c>
      <c r="J302" s="4" t="n">
        <v>46104.688206018516</v>
      </c>
      <c r="K302" s="5" t="n">
        <v>46104.0</v>
      </c>
      <c r="L302" s="5" t="n">
        <v>46104.0</v>
      </c>
      <c r="M302" s="3" t="inlineStr">
        <is>
          <t>Approved</t>
        </is>
      </c>
      <c r="N302" s="3" t="inlineStr">
        <is>
          <t>Country Close, Site Close, Study Close</t>
        </is>
      </c>
      <c r="O302" s="3" t="inlineStr">
        <is>
          <t>42847922MDD3003</t>
        </is>
      </c>
    </row>
    <row r="303">
      <c r="A303" s="2" t="str">
        <f>HYPERLINK("https://vtmf.veevavault.com/ui/#doc_info/26380588/1/0", "42847922MDD3003---File Note-23 May 2024 (v1.0)")</f>
        <v>42847922MDD3003---File Note-23 May 2024 (v1.0)</v>
      </c>
      <c r="B303" s="3" t="inlineStr">
        <is>
          <t>Trial Management</t>
        </is>
      </c>
      <c r="C303" s="3" t="inlineStr">
        <is>
          <t>General</t>
        </is>
      </c>
      <c r="D303" s="3" t="inlineStr">
        <is>
          <t>File Note</t>
        </is>
      </c>
      <c r="E303" s="3" t="inlineStr">
        <is>
          <t>NTF_Participation status of Dr. Tamam and Dr. Cengizsiz in the related MDD studies</t>
        </is>
      </c>
      <c r="F303" s="2" t="str">
        <f>HYPERLINK("https://vtmf.veevavault.com/ui/#doc_info/26380588/1/0", "VTMF-21112225")</f>
        <v>VTMF-21112225</v>
      </c>
      <c r="G303" s="3" t="inlineStr">
        <is>
          <t/>
        </is>
      </c>
      <c r="H303" s="3" t="inlineStr">
        <is>
          <t>Anthony Suarez (veeva.com)</t>
        </is>
      </c>
      <c r="I303" s="3" t="inlineStr">
        <is>
          <t>Ezgi Ozcelik</t>
        </is>
      </c>
      <c r="J303" s="4" t="n">
        <v>45435.42197916667</v>
      </c>
      <c r="K303" s="5" t="n">
        <v>45435.0</v>
      </c>
      <c r="L303" s="5" t="n">
        <v>45435.0</v>
      </c>
      <c r="M303" s="3" t="inlineStr">
        <is>
          <t>Approved</t>
        </is>
      </c>
      <c r="N303" s="3" t="inlineStr">
        <is>
          <t>Country Close, Site Close, Study Close</t>
        </is>
      </c>
      <c r="O303" s="3" t="inlineStr">
        <is>
          <t>42847922MDD3003, 67953964MDD3005</t>
        </is>
      </c>
    </row>
    <row r="304">
      <c r="A304" s="2" t="str">
        <f>HYPERLINK("https://vtmf.veevavault.com/ui/#doc_info/30230959/1/0", "42847922MDD3003---File Note-24 Oct 2025 (v1.0)")</f>
        <v>42847922MDD3003---File Note-24 Oct 2025 (v1.0)</v>
      </c>
      <c r="B304" s="3" t="inlineStr">
        <is>
          <t>Trial Management</t>
        </is>
      </c>
      <c r="C304" s="3" t="inlineStr">
        <is>
          <t>General</t>
        </is>
      </c>
      <c r="D304" s="3" t="inlineStr">
        <is>
          <t>File Note</t>
        </is>
      </c>
      <c r="E304" s="3" t="inlineStr">
        <is>
          <t>Enrollment cap increase_S10-US10041 Dr Yuryev-Golger_24Oct2025</t>
        </is>
      </c>
      <c r="F304" s="2" t="str">
        <f>HYPERLINK("https://vtmf.veevavault.com/ui/#doc_info/30230959/1/0", "VTMF-24342763")</f>
        <v>VTMF-24342763</v>
      </c>
      <c r="G304" s="3" t="inlineStr">
        <is>
          <t/>
        </is>
      </c>
      <c r="H304" s="3" t="inlineStr">
        <is>
          <t>System</t>
        </is>
      </c>
      <c r="I304" s="3" t="inlineStr">
        <is>
          <t>Debhora Garcia</t>
        </is>
      </c>
      <c r="J304" s="4" t="n">
        <v>45955.10424768519</v>
      </c>
      <c r="K304" s="5" t="n">
        <v>45954.0</v>
      </c>
      <c r="L304" s="5" t="n">
        <v>45954.0</v>
      </c>
      <c r="M304" s="3" t="inlineStr">
        <is>
          <t>Approved</t>
        </is>
      </c>
      <c r="N304" s="3" t="inlineStr">
        <is>
          <t>Country Close, Site Close, Study Close</t>
        </is>
      </c>
      <c r="O304" s="3" t="inlineStr">
        <is>
          <t>42847922MDD3003</t>
        </is>
      </c>
    </row>
    <row r="305">
      <c r="A305" s="2" t="str">
        <f>HYPERLINK("https://vtmf.veevavault.com/ui/#doc_info/30230961/1/0", "42847922MDD3003---File Note-24 Oct 2025 (v1.0)")</f>
        <v>42847922MDD3003---File Note-24 Oct 2025 (v1.0)</v>
      </c>
      <c r="B305" s="3" t="inlineStr">
        <is>
          <t>Trial Management</t>
        </is>
      </c>
      <c r="C305" s="3" t="inlineStr">
        <is>
          <t>General</t>
        </is>
      </c>
      <c r="D305" s="3" t="inlineStr">
        <is>
          <t>File Note</t>
        </is>
      </c>
      <c r="E305" s="3" t="inlineStr">
        <is>
          <t>Enrollment cap increase_S10-US10040 Dr Daniel Rutrick_24Oct2025</t>
        </is>
      </c>
      <c r="F305" s="2" t="str">
        <f>HYPERLINK("https://vtmf.veevavault.com/ui/#doc_info/30230961/1/0", "VTMF-24342765")</f>
        <v>VTMF-24342765</v>
      </c>
      <c r="G305" s="3" t="inlineStr">
        <is>
          <t/>
        </is>
      </c>
      <c r="H305" s="3" t="inlineStr">
        <is>
          <t>System</t>
        </is>
      </c>
      <c r="I305" s="3" t="inlineStr">
        <is>
          <t>Debhora Garcia</t>
        </is>
      </c>
      <c r="J305" s="4" t="n">
        <v>45955.105671296296</v>
      </c>
      <c r="K305" s="5" t="n">
        <v>45954.0</v>
      </c>
      <c r="L305" s="5" t="n">
        <v>45954.0</v>
      </c>
      <c r="M305" s="3" t="inlineStr">
        <is>
          <t>Approved</t>
        </is>
      </c>
      <c r="N305" s="3" t="inlineStr">
        <is>
          <t>Country Close, Site Close, Study Close</t>
        </is>
      </c>
      <c r="O305" s="3" t="inlineStr">
        <is>
          <t>42847922MDD3003</t>
        </is>
      </c>
    </row>
    <row r="306">
      <c r="A306" s="2" t="str">
        <f>HYPERLINK("https://vtmf.veevavault.com/ui/#doc_info/30231046/1/0", "42847922MDD3003---File Note-24 Oct 2025 (v1.0)")</f>
        <v>42847922MDD3003---File Note-24 Oct 2025 (v1.0)</v>
      </c>
      <c r="B306" s="3" t="inlineStr">
        <is>
          <t>Trial Management</t>
        </is>
      </c>
      <c r="C306" s="3" t="inlineStr">
        <is>
          <t>General</t>
        </is>
      </c>
      <c r="D306" s="3" t="inlineStr">
        <is>
          <t>File Note</t>
        </is>
      </c>
      <c r="E306" s="3" t="inlineStr">
        <is>
          <t>Enrollment cap increase_S10-US10172 Dr Alvarez_24Oct2025</t>
        </is>
      </c>
      <c r="F306" s="2" t="str">
        <f>HYPERLINK("https://vtmf.veevavault.com/ui/#doc_info/30231046/1/0", "VTMF-24342739")</f>
        <v>VTMF-24342739</v>
      </c>
      <c r="G306" s="3" t="inlineStr">
        <is>
          <t/>
        </is>
      </c>
      <c r="H306" s="3" t="inlineStr">
        <is>
          <t>System</t>
        </is>
      </c>
      <c r="I306" s="3" t="inlineStr">
        <is>
          <t>Debhora Garcia</t>
        </is>
      </c>
      <c r="J306" s="4" t="n">
        <v>45955.095509259256</v>
      </c>
      <c r="K306" s="5" t="n">
        <v>45954.0</v>
      </c>
      <c r="L306" s="5" t="n">
        <v>45954.0</v>
      </c>
      <c r="M306" s="3" t="inlineStr">
        <is>
          <t>Approved</t>
        </is>
      </c>
      <c r="N306" s="3" t="inlineStr">
        <is>
          <t>Country Close, Site Close, Study Close</t>
        </is>
      </c>
      <c r="O306" s="3" t="inlineStr">
        <is>
          <t>42847922MDD3003</t>
        </is>
      </c>
    </row>
    <row r="307">
      <c r="A307" s="2" t="str">
        <f>HYPERLINK("https://vtmf.veevavault.com/ui/#doc_info/30231051/1/0", "42847922MDD3003---File Note-24 Oct 2025 (v1.0)")</f>
        <v>42847922MDD3003---File Note-24 Oct 2025 (v1.0)</v>
      </c>
      <c r="B307" s="3" t="inlineStr">
        <is>
          <t>Trial Management</t>
        </is>
      </c>
      <c r="C307" s="3" t="inlineStr">
        <is>
          <t>General</t>
        </is>
      </c>
      <c r="D307" s="3" t="inlineStr">
        <is>
          <t>File Note</t>
        </is>
      </c>
      <c r="E307" s="3" t="inlineStr">
        <is>
          <t>Enrollment cap increase_S10-US10083 Dr Cueva_24Oct2025</t>
        </is>
      </c>
      <c r="F307" s="2" t="str">
        <f>HYPERLINK("https://vtmf.veevavault.com/ui/#doc_info/30231051/1/0", "VTMF-24342745")</f>
        <v>VTMF-24342745</v>
      </c>
      <c r="G307" s="3" t="inlineStr">
        <is>
          <t/>
        </is>
      </c>
      <c r="H307" s="3" t="inlineStr">
        <is>
          <t>System</t>
        </is>
      </c>
      <c r="I307" s="3" t="inlineStr">
        <is>
          <t>Debhora Garcia</t>
        </is>
      </c>
      <c r="J307" s="4" t="n">
        <v>45955.09657407407</v>
      </c>
      <c r="K307" s="5" t="n">
        <v>45954.0</v>
      </c>
      <c r="L307" s="5" t="n">
        <v>45954.0</v>
      </c>
      <c r="M307" s="3" t="inlineStr">
        <is>
          <t>Approved</t>
        </is>
      </c>
      <c r="N307" s="3" t="inlineStr">
        <is>
          <t>Country Close, Site Close, Study Close</t>
        </is>
      </c>
      <c r="O307" s="3" t="inlineStr">
        <is>
          <t>42847922MDD3003</t>
        </is>
      </c>
    </row>
    <row r="308">
      <c r="A308" s="2" t="str">
        <f>HYPERLINK("https://vtmf.veevavault.com/ui/#doc_info/30231054/1/0", "42847922MDD3003---File Note-24 Oct 2025 (v1.0)")</f>
        <v>42847922MDD3003---File Note-24 Oct 2025 (v1.0)</v>
      </c>
      <c r="B308" s="3" t="inlineStr">
        <is>
          <t>Trial Management</t>
        </is>
      </c>
      <c r="C308" s="3" t="inlineStr">
        <is>
          <t>General</t>
        </is>
      </c>
      <c r="D308" s="3" t="inlineStr">
        <is>
          <t>File Note</t>
        </is>
      </c>
      <c r="E308" s="3" t="inlineStr">
        <is>
          <t>Enrollment cap increase_S10-US10064 Dr Jorge Venereo_24Oct2025</t>
        </is>
      </c>
      <c r="F308" s="2" t="str">
        <f>HYPERLINK("https://vtmf.veevavault.com/ui/#doc_info/30231054/1/0", "VTMF-24342755")</f>
        <v>VTMF-24342755</v>
      </c>
      <c r="G308" s="3" t="inlineStr">
        <is>
          <t/>
        </is>
      </c>
      <c r="H308" s="3" t="inlineStr">
        <is>
          <t>System</t>
        </is>
      </c>
      <c r="I308" s="3" t="inlineStr">
        <is>
          <t>Debhora Garcia</t>
        </is>
      </c>
      <c r="J308" s="4" t="n">
        <v>45955.10083333333</v>
      </c>
      <c r="K308" s="5" t="n">
        <v>45954.0</v>
      </c>
      <c r="L308" s="5" t="n">
        <v>45954.0</v>
      </c>
      <c r="M308" s="3" t="inlineStr">
        <is>
          <t>Approved</t>
        </is>
      </c>
      <c r="N308" s="3" t="inlineStr">
        <is>
          <t>Country Close, Site Close, Study Close</t>
        </is>
      </c>
      <c r="O308" s="3" t="inlineStr">
        <is>
          <t>42847922MDD3003</t>
        </is>
      </c>
    </row>
    <row r="309">
      <c r="A309" s="2" t="str">
        <f>HYPERLINK("https://vtmf.veevavault.com/ui/#doc_info/27135026/1/0", "42847922MDD3003---File Note-24 Sep 2024 (v1.0)")</f>
        <v>42847922MDD3003---File Note-24 Sep 2024 (v1.0)</v>
      </c>
      <c r="B309" s="3" t="inlineStr">
        <is>
          <t>Trial Management</t>
        </is>
      </c>
      <c r="C309" s="3" t="inlineStr">
        <is>
          <t>General</t>
        </is>
      </c>
      <c r="D309" s="3" t="inlineStr">
        <is>
          <t>File Note</t>
        </is>
      </c>
      <c r="E309" s="3" t="inlineStr">
        <is>
          <t>42847922MDD3003_EDC to IRT integration failure_FINAL_24Sep2024</t>
        </is>
      </c>
      <c r="F309" s="2" t="str">
        <f>HYPERLINK("https://vtmf.veevavault.com/ui/#doc_info/27135026/1/0", "VTMF-21753980")</f>
        <v>VTMF-21753980</v>
      </c>
      <c r="G309" s="3" t="inlineStr">
        <is>
          <t/>
        </is>
      </c>
      <c r="H309" s="3" t="inlineStr">
        <is>
          <t>Anthony Suarez (veeva.com)</t>
        </is>
      </c>
      <c r="I309" s="3" t="inlineStr">
        <is>
          <t>Debhora Garcia</t>
        </is>
      </c>
      <c r="J309" s="4" t="n">
        <v>45560.05850694444</v>
      </c>
      <c r="K309" s="5" t="n">
        <v>45560.0</v>
      </c>
      <c r="L309" s="5" t="n">
        <v>45559.0</v>
      </c>
      <c r="M309" s="3" t="inlineStr">
        <is>
          <t>Approved</t>
        </is>
      </c>
      <c r="N309" s="3" t="inlineStr">
        <is>
          <t>Country Close, Site Close, Study Close</t>
        </is>
      </c>
      <c r="O309" s="3" t="inlineStr">
        <is>
          <t>42847922MDD3003</t>
        </is>
      </c>
    </row>
    <row r="310">
      <c r="A310" s="2" t="str">
        <f>HYPERLINK("https://vtmf.veevavault.com/ui/#doc_info/30017931/1/0", "42847922MDD3003---File Note-24 Sep 2025 (v1.0)")</f>
        <v>42847922MDD3003---File Note-24 Sep 2025 (v1.0)</v>
      </c>
      <c r="B310" s="3" t="inlineStr">
        <is>
          <t>Data Management</t>
        </is>
      </c>
      <c r="C310" s="3" t="inlineStr">
        <is>
          <t>General</t>
        </is>
      </c>
      <c r="D310" s="3" t="inlineStr">
        <is>
          <t>File Note</t>
        </is>
      </c>
      <c r="E310" s="3" t="inlineStr">
        <is>
          <t>JEISR NC-041059: 42847922MDD3003 Note to File</t>
        </is>
      </c>
      <c r="F310" s="2" t="str">
        <f>HYPERLINK("https://vtmf.veevavault.com/ui/#doc_info/30017931/1/0", "VTMF-24168364")</f>
        <v>VTMF-24168364</v>
      </c>
      <c r="G310" s="3" t="inlineStr">
        <is>
          <t/>
        </is>
      </c>
      <c r="H310" s="3" t="inlineStr">
        <is>
          <t>System</t>
        </is>
      </c>
      <c r="I310" s="3" t="inlineStr">
        <is>
          <t>Amrita Trueblood</t>
        </is>
      </c>
      <c r="J310" s="4" t="n">
        <v>45924.833703703705</v>
      </c>
      <c r="K310" s="5" t="n">
        <v>45924.0</v>
      </c>
      <c r="L310" s="5" t="n">
        <v>45924.0</v>
      </c>
      <c r="M310" s="3" t="inlineStr">
        <is>
          <t>Approved</t>
        </is>
      </c>
      <c r="N310" s="3" t="inlineStr">
        <is>
          <t>Country Close, Site Close, Study Close</t>
        </is>
      </c>
      <c r="O310" s="3" t="inlineStr">
        <is>
          <t>42847922MDD3003</t>
        </is>
      </c>
    </row>
    <row r="311">
      <c r="A311" s="2" t="str">
        <f>HYPERLINK("https://vtmf.veevavault.com/ui/#doc_info/30475916/1/0", "42847922MDD3003---File Note-25 Nov 2025 (v1.0)")</f>
        <v>42847922MDD3003---File Note-25 Nov 2025 (v1.0)</v>
      </c>
      <c r="B311" s="3" t="inlineStr">
        <is>
          <t>Statistics</t>
        </is>
      </c>
      <c r="C311" s="3" t="inlineStr">
        <is>
          <t>General</t>
        </is>
      </c>
      <c r="D311" s="3" t="inlineStr">
        <is>
          <t>File Note</t>
        </is>
      </c>
      <c r="E311" s="3" t="inlineStr">
        <is>
          <t>IDMC Minutes NTF</t>
        </is>
      </c>
      <c r="F311" s="2" t="str">
        <f>HYPERLINK("https://vtmf.veevavault.com/ui/#doc_info/30475916/1/0", "VTMF-24552279")</f>
        <v>VTMF-24552279</v>
      </c>
      <c r="G311" s="3" t="inlineStr">
        <is>
          <t/>
        </is>
      </c>
      <c r="H311" s="3" t="inlineStr">
        <is>
          <t>System</t>
        </is>
      </c>
      <c r="I311" s="3" t="inlineStr">
        <is>
          <t>RYAN KELLY</t>
        </is>
      </c>
      <c r="J311" s="4" t="n">
        <v>45986.93680555555</v>
      </c>
      <c r="K311" s="5" t="n">
        <v>45987.0</v>
      </c>
      <c r="L311" s="5" t="n">
        <v>45986.0</v>
      </c>
      <c r="M311" s="3" t="inlineStr">
        <is>
          <t>Approved</t>
        </is>
      </c>
      <c r="N311" s="3" t="inlineStr">
        <is>
          <t>Country Close, Site Close, Study Close</t>
        </is>
      </c>
      <c r="O311" s="3" t="inlineStr">
        <is>
          <t>42847922MDD3003</t>
        </is>
      </c>
    </row>
    <row r="312">
      <c r="A312" s="2" t="str">
        <f>HYPERLINK("https://vtmf.veevavault.com/ui/#doc_info/30481568/1/0", "42847922MDD3003---File Note-25 Nov 2025 (v1.0)")</f>
        <v>42847922MDD3003---File Note-25 Nov 2025 (v1.0)</v>
      </c>
      <c r="B312" s="3" t="inlineStr">
        <is>
          <t>Trial Management</t>
        </is>
      </c>
      <c r="C312" s="3" t="inlineStr">
        <is>
          <t>General</t>
        </is>
      </c>
      <c r="D312" s="3" t="inlineStr">
        <is>
          <t>File Note</t>
        </is>
      </c>
      <c r="E312" s="3" t="inlineStr">
        <is>
          <t>Enrollment cap increase_S10-AR10014 Dr Buteler</t>
        </is>
      </c>
      <c r="F312" s="2" t="str">
        <f>HYPERLINK("https://vtmf.veevavault.com/ui/#doc_info/30481568/1/0", "VTMF-24557067")</f>
        <v>VTMF-24557067</v>
      </c>
      <c r="G312" s="3" t="inlineStr">
        <is>
          <t/>
        </is>
      </c>
      <c r="H312" s="3" t="inlineStr">
        <is>
          <t>System</t>
        </is>
      </c>
      <c r="I312" s="3" t="inlineStr">
        <is>
          <t>Debhora Garcia</t>
        </is>
      </c>
      <c r="J312" s="4" t="n">
        <v>45987.67449074074</v>
      </c>
      <c r="K312" s="5" t="n">
        <v>45987.0</v>
      </c>
      <c r="L312" s="5" t="n">
        <v>45986.0</v>
      </c>
      <c r="M312" s="3" t="inlineStr">
        <is>
          <t>Approved</t>
        </is>
      </c>
      <c r="N312" s="3" t="inlineStr">
        <is>
          <t>Country Close, Site Close, Study Close</t>
        </is>
      </c>
      <c r="O312" s="3" t="inlineStr">
        <is>
          <t>42847922MDD3003</t>
        </is>
      </c>
    </row>
    <row r="313">
      <c r="A313" s="2" t="str">
        <f>HYPERLINK("https://vtmf.veevavault.com/ui/#doc_info/30481572/1/0", "42847922MDD3003---File Note-25 Nov 2025 (v1.0)")</f>
        <v>42847922MDD3003---File Note-25 Nov 2025 (v1.0)</v>
      </c>
      <c r="B313" s="3" t="inlineStr">
        <is>
          <t>Trial Management</t>
        </is>
      </c>
      <c r="C313" s="3" t="inlineStr">
        <is>
          <t>General</t>
        </is>
      </c>
      <c r="D313" s="3" t="inlineStr">
        <is>
          <t>File Note</t>
        </is>
      </c>
      <c r="E313" s="3" t="inlineStr">
        <is>
          <t>Enrollment cap increase_S10-US10013 Dr Thase</t>
        </is>
      </c>
      <c r="F313" s="2" t="str">
        <f>HYPERLINK("https://vtmf.veevavault.com/ui/#doc_info/30481572/1/0", "VTMF-24557076")</f>
        <v>VTMF-24557076</v>
      </c>
      <c r="G313" s="3" t="inlineStr">
        <is>
          <t/>
        </is>
      </c>
      <c r="H313" s="3" t="inlineStr">
        <is>
          <t>System</t>
        </is>
      </c>
      <c r="I313" s="3" t="inlineStr">
        <is>
          <t>Debhora Garcia</t>
        </is>
      </c>
      <c r="J313" s="4" t="n">
        <v>45987.675844907404</v>
      </c>
      <c r="K313" s="5" t="n">
        <v>45987.0</v>
      </c>
      <c r="L313" s="5" t="n">
        <v>45986.0</v>
      </c>
      <c r="M313" s="3" t="inlineStr">
        <is>
          <t>Approved</t>
        </is>
      </c>
      <c r="N313" s="3" t="inlineStr">
        <is>
          <t>Country Close, Site Close, Study Close</t>
        </is>
      </c>
      <c r="O313" s="3" t="inlineStr">
        <is>
          <t>42847922MDD3003</t>
        </is>
      </c>
    </row>
    <row r="314">
      <c r="A314" s="2" t="str">
        <f>HYPERLINK("https://vtmf.veevavault.com/ui/#doc_info/26952490/1/0", "42847922MDD3003---File Note-26 Aug 2024 (v1.0)")</f>
        <v>42847922MDD3003---File Note-26 Aug 2024 (v1.0)</v>
      </c>
      <c r="B314" s="3" t="inlineStr">
        <is>
          <t>Central Trial Documents</t>
        </is>
      </c>
      <c r="C314" s="3" t="inlineStr">
        <is>
          <t>General</t>
        </is>
      </c>
      <c r="D314" s="3" t="inlineStr">
        <is>
          <t>File Note</t>
        </is>
      </c>
      <c r="E314" s="3" t="inlineStr">
        <is>
          <t>42847922MDD3003_Central team communication to EU sites_protocol amendment #2 update_final_26Aug2024</t>
        </is>
      </c>
      <c r="F314" s="2" t="str">
        <f>HYPERLINK("https://vtmf.veevavault.com/ui/#doc_info/26952490/1/0", "VTMF-21606729")</f>
        <v>VTMF-21606729</v>
      </c>
      <c r="G314" s="3" t="inlineStr">
        <is>
          <t/>
        </is>
      </c>
      <c r="H314" s="3" t="inlineStr">
        <is>
          <t>Anthony Suarez (veeva.com)</t>
        </is>
      </c>
      <c r="I314" s="3" t="inlineStr">
        <is>
          <t>Gina Stefanelli</t>
        </is>
      </c>
      <c r="J314" s="4" t="n">
        <v>45530.65574074074</v>
      </c>
      <c r="K314" s="5" t="n">
        <v>45530.0</v>
      </c>
      <c r="L314" s="5" t="n">
        <v>45530.0</v>
      </c>
      <c r="M314" s="3" t="inlineStr">
        <is>
          <t>Approved</t>
        </is>
      </c>
      <c r="N314" s="3" t="inlineStr">
        <is>
          <t>Country Close, Site Close, Study Close</t>
        </is>
      </c>
      <c r="O314" s="3" t="inlineStr">
        <is>
          <t>42847922MDD3003</t>
        </is>
      </c>
    </row>
    <row r="315">
      <c r="A315" s="2" t="str">
        <f>HYPERLINK("https://vtmf.veevavault.com/ui/#doc_info/27784700/1/0", "42847922MDD3003---File Note-26 Nov 2024 (v1.0)")</f>
        <v>42847922MDD3003---File Note-26 Nov 2024 (v1.0)</v>
      </c>
      <c r="B315" s="3" t="inlineStr">
        <is>
          <t>Trial Management</t>
        </is>
      </c>
      <c r="C315" s="3" t="inlineStr">
        <is>
          <t>General</t>
        </is>
      </c>
      <c r="D315" s="3" t="inlineStr">
        <is>
          <t>File Note</t>
        </is>
      </c>
      <c r="E315" s="3" t="inlineStr">
        <is>
          <t>NTF_PA2 implementation_26Nov2024-27Nov2024</t>
        </is>
      </c>
      <c r="F315" s="2" t="str">
        <f>HYPERLINK("https://vtmf.veevavault.com/ui/#doc_info/27784700/1/0", "VTMF-22278371")</f>
        <v>VTMF-22278371</v>
      </c>
      <c r="G315" s="3" t="inlineStr">
        <is>
          <t/>
        </is>
      </c>
      <c r="H315" s="3" t="inlineStr">
        <is>
          <t>Anthony Suarez (veeva.com)</t>
        </is>
      </c>
      <c r="I315" s="3" t="inlineStr">
        <is>
          <t>Debhora Garcia</t>
        </is>
      </c>
      <c r="J315" s="4" t="n">
        <v>45628.92517361111</v>
      </c>
      <c r="K315" s="5" t="n">
        <v>45629.0</v>
      </c>
      <c r="L315" s="5" t="n">
        <v>45622.0</v>
      </c>
      <c r="M315" s="3" t="inlineStr">
        <is>
          <t>Approved</t>
        </is>
      </c>
      <c r="N315" s="3" t="inlineStr">
        <is>
          <t>Country Close, Site Close, Study Close</t>
        </is>
      </c>
      <c r="O315" s="3" t="inlineStr">
        <is>
          <t>42847922MDD3003</t>
        </is>
      </c>
    </row>
    <row r="316">
      <c r="A316" s="2" t="str">
        <f>HYPERLINK("https://vtmf.veevavault.com/ui/#doc_info/31081157/1/0", "42847922MDD3003---File Note-27 Feb 2026 (v1.0)")</f>
        <v>42847922MDD3003---File Note-27 Feb 2026 (v1.0)</v>
      </c>
      <c r="B316" s="3" t="inlineStr">
        <is>
          <t>Trial Management</t>
        </is>
      </c>
      <c r="C316" s="3" t="inlineStr">
        <is>
          <t>General</t>
        </is>
      </c>
      <c r="D316" s="3" t="inlineStr">
        <is>
          <t>File Note</t>
        </is>
      </c>
      <c r="E316" s="3" t="inlineStr">
        <is>
          <t>Enrollment cap increase_S10-US10172 Dr Alvarez</t>
        </is>
      </c>
      <c r="F316" s="2" t="str">
        <f>HYPERLINK("https://vtmf.veevavault.com/ui/#doc_info/31081157/1/0", "VTMF-25057842")</f>
        <v>VTMF-25057842</v>
      </c>
      <c r="G316" s="3" t="inlineStr">
        <is>
          <t/>
        </is>
      </c>
      <c r="H316" s="3" t="inlineStr">
        <is>
          <t>System</t>
        </is>
      </c>
      <c r="I316" s="3" t="inlineStr">
        <is>
          <t>Gina Stefanelli</t>
        </is>
      </c>
      <c r="J316" s="4" t="n">
        <v>46080.68528935185</v>
      </c>
      <c r="K316" s="5" t="n">
        <v>46080.0</v>
      </c>
      <c r="L316" s="5" t="n">
        <v>46080.0</v>
      </c>
      <c r="M316" s="3" t="inlineStr">
        <is>
          <t>Approved</t>
        </is>
      </c>
      <c r="N316" s="3" t="inlineStr">
        <is>
          <t>Country Close, Site Close, Study Close</t>
        </is>
      </c>
      <c r="O316" s="3" t="inlineStr">
        <is>
          <t>42847922MDD3003</t>
        </is>
      </c>
    </row>
    <row r="317">
      <c r="A317" s="2" t="str">
        <f>HYPERLINK("https://vtmf.veevavault.com/ui/#doc_info/29850798/1/0", "42847922MDD3003---File Note-28 Aug 2025 (v1.0)")</f>
        <v>42847922MDD3003---File Note-28 Aug 2025 (v1.0)</v>
      </c>
      <c r="B317" s="3" t="inlineStr">
        <is>
          <t>Site Management</t>
        </is>
      </c>
      <c r="C317" s="3" t="inlineStr">
        <is>
          <t>General</t>
        </is>
      </c>
      <c r="D317" s="3" t="inlineStr">
        <is>
          <t>File Note</t>
        </is>
      </c>
      <c r="E317" s="3" t="inlineStr">
        <is>
          <t>42847922MDD3003 _ NTF Regarding PROMIS-SD error in protocol 28Aug2025</t>
        </is>
      </c>
      <c r="F317" s="2" t="str">
        <f>HYPERLINK("https://vtmf.veevavault.com/ui/#doc_info/29850798/1/0", "VTMF-24025200")</f>
        <v>VTMF-24025200</v>
      </c>
      <c r="G317" s="3" t="inlineStr">
        <is>
          <t/>
        </is>
      </c>
      <c r="H317" s="3" t="inlineStr">
        <is>
          <t>System</t>
        </is>
      </c>
      <c r="I317" s="3" t="inlineStr">
        <is>
          <t>Arlean Worthy</t>
        </is>
      </c>
      <c r="J317" s="4" t="n">
        <v>45897.86782407408</v>
      </c>
      <c r="K317" s="5" t="n">
        <v>45897.0</v>
      </c>
      <c r="L317" s="5" t="n">
        <v>45897.0</v>
      </c>
      <c r="M317" s="3" t="inlineStr">
        <is>
          <t>Approved</t>
        </is>
      </c>
      <c r="N317" s="3" t="inlineStr">
        <is>
          <t>Country Close, Site Close, Study Close</t>
        </is>
      </c>
      <c r="O317" s="3" t="inlineStr">
        <is>
          <t>42847922MDD3003</t>
        </is>
      </c>
    </row>
    <row r="318">
      <c r="A318" s="2" t="str">
        <f>HYPERLINK("https://vtmf.veevavault.com/ui/#doc_info/30268054/1/0", "42847922MDD3003---File Note-29 Oct 2025 (v1.0)")</f>
        <v>42847922MDD3003---File Note-29 Oct 2025 (v1.0)</v>
      </c>
      <c r="B318" s="3" t="inlineStr">
        <is>
          <t>Trial Management</t>
        </is>
      </c>
      <c r="C318" s="3" t="inlineStr">
        <is>
          <t>General</t>
        </is>
      </c>
      <c r="D318" s="3" t="inlineStr">
        <is>
          <t>File Note</t>
        </is>
      </c>
      <c r="E318" s="3" t="inlineStr">
        <is>
          <t>Enrollment cap increase_S10-AR10001 Dr Lamaison</t>
        </is>
      </c>
      <c r="F318" s="2" t="str">
        <f>HYPERLINK("https://vtmf.veevavault.com/ui/#doc_info/30268054/1/0", "VTMF-24372605")</f>
        <v>VTMF-24372605</v>
      </c>
      <c r="G318" s="3" t="inlineStr">
        <is>
          <t/>
        </is>
      </c>
      <c r="H318" s="3" t="inlineStr">
        <is>
          <t>System</t>
        </is>
      </c>
      <c r="I318" s="3" t="inlineStr">
        <is>
          <t>Gina Stefanelli</t>
        </is>
      </c>
      <c r="J318" s="4" t="n">
        <v>45960.58200231481</v>
      </c>
      <c r="K318" s="5" t="n">
        <v>45960.0</v>
      </c>
      <c r="L318" s="5" t="n">
        <v>45959.0</v>
      </c>
      <c r="M318" s="3" t="inlineStr">
        <is>
          <t>Approved</t>
        </is>
      </c>
      <c r="N318" s="3" t="inlineStr">
        <is>
          <t>Country Close, Site Close, Study Close</t>
        </is>
      </c>
      <c r="O318" s="3" t="inlineStr">
        <is>
          <t>42847922MDD3003</t>
        </is>
      </c>
    </row>
    <row r="319">
      <c r="A319" s="2" t="str">
        <f>HYPERLINK("https://vtmf.veevavault.com/ui/#doc_info/29017526/1/0", "42847922MDD3003---File Note-30 Apr 2025 (v1.0)")</f>
        <v>42847922MDD3003---File Note-30 Apr 2025 (v1.0)</v>
      </c>
      <c r="B319" s="3" t="inlineStr">
        <is>
          <t>Trial Management</t>
        </is>
      </c>
      <c r="C319" s="3" t="inlineStr">
        <is>
          <t>General</t>
        </is>
      </c>
      <c r="D319" s="3" t="inlineStr">
        <is>
          <t>File Note</t>
        </is>
      </c>
      <c r="E319" s="3" t="inlineStr">
        <is>
          <t>42847922MDD3003 C-SSRS Imperial clarification memo 30-Apr-25</t>
        </is>
      </c>
      <c r="F319" s="2" t="str">
        <f>HYPERLINK("https://vtmf.veevavault.com/ui/#doc_info/29017526/1/0", "VTMF-23312925")</f>
        <v>VTMF-23312925</v>
      </c>
      <c r="G319" s="3" t="inlineStr">
        <is>
          <t/>
        </is>
      </c>
      <c r="H319" s="3" t="inlineStr">
        <is>
          <t>Anthony Suarez (veeva.com)</t>
        </is>
      </c>
      <c r="I319" s="3" t="inlineStr">
        <is>
          <t>Debhora Garcia</t>
        </is>
      </c>
      <c r="J319" s="4" t="n">
        <v>45778.1124537037</v>
      </c>
      <c r="K319" s="5" t="n">
        <v>45777.0</v>
      </c>
      <c r="L319" s="5" t="n">
        <v>45777.0</v>
      </c>
      <c r="M319" s="3" t="inlineStr">
        <is>
          <t>Approved</t>
        </is>
      </c>
      <c r="N319" s="3" t="inlineStr">
        <is>
          <t>Country Close, Site Close, Study Close</t>
        </is>
      </c>
      <c r="O319" s="3" t="inlineStr">
        <is>
          <t>42847922MDD3003</t>
        </is>
      </c>
    </row>
    <row r="320">
      <c r="A320" s="2" t="str">
        <f>HYPERLINK("https://vtmf.veevavault.com/ui/#doc_info/30068416/1/0", "42847922MDD3003---File Note-30 Sep 2025 (v1.0)")</f>
        <v>42847922MDD3003---File Note-30 Sep 2025 (v1.0)</v>
      </c>
      <c r="B320" s="3" t="inlineStr">
        <is>
          <t>Central Trial Documents</t>
        </is>
      </c>
      <c r="C320" s="3" t="inlineStr">
        <is>
          <t>General</t>
        </is>
      </c>
      <c r="D320" s="3" t="inlineStr">
        <is>
          <t>File Note</t>
        </is>
      </c>
      <c r="E320" s="3" t="inlineStr">
        <is>
          <t>NtF template_Discrepancy in rating results_30Sept25</t>
        </is>
      </c>
      <c r="F320" s="2" t="str">
        <f>HYPERLINK("https://vtmf.veevavault.com/ui/#doc_info/30068416/1/0", "VTMF-24202342")</f>
        <v>VTMF-24202342</v>
      </c>
      <c r="G320" s="3" t="inlineStr">
        <is>
          <t/>
        </is>
      </c>
      <c r="H320" s="3" t="inlineStr">
        <is>
          <t>System</t>
        </is>
      </c>
      <c r="I320" s="3" t="inlineStr">
        <is>
          <t>Gina Stefanelli</t>
        </is>
      </c>
      <c r="J320" s="4" t="n">
        <v>45930.829189814816</v>
      </c>
      <c r="K320" s="5" t="n">
        <v>45930.0</v>
      </c>
      <c r="L320" s="5" t="n">
        <v>45930.0</v>
      </c>
      <c r="M320" s="3" t="inlineStr">
        <is>
          <t>Approved</t>
        </is>
      </c>
      <c r="N320" s="3" t="inlineStr">
        <is>
          <t>Country Close, Site Close, Study Close</t>
        </is>
      </c>
      <c r="O320" s="3" t="inlineStr">
        <is>
          <t>42847922MDD3003</t>
        </is>
      </c>
    </row>
    <row r="321">
      <c r="A321" s="2" t="str">
        <f>HYPERLINK("https://vtmf.veevavault.com/ui/#doc_info/30077683/1/0", "42847922MDD3003---File Note-30 Sep 2025 (v1.0)")</f>
        <v>42847922MDD3003---File Note-30 Sep 2025 (v1.0)</v>
      </c>
      <c r="B321" s="3" t="inlineStr">
        <is>
          <t>Third Parties</t>
        </is>
      </c>
      <c r="C321" s="3" t="inlineStr">
        <is>
          <t>General</t>
        </is>
      </c>
      <c r="D321" s="3" t="inlineStr">
        <is>
          <t>File Note</t>
        </is>
      </c>
      <c r="E321" s="3" t="inlineStr">
        <is>
          <t>Beacon Bio_NTF_Participant ID Correction_Site US10234_signed_08Aug25</t>
        </is>
      </c>
      <c r="F321" s="2" t="str">
        <f>HYPERLINK("https://vtmf.veevavault.com/ui/#doc_info/30077683/1/0", "VTMF-24210091")</f>
        <v>VTMF-24210091</v>
      </c>
      <c r="G321" s="3" t="inlineStr">
        <is>
          <t/>
        </is>
      </c>
      <c r="H321" s="3" t="inlineStr">
        <is>
          <t>Gina Stefanelli</t>
        </is>
      </c>
      <c r="I321" s="3" t="inlineStr">
        <is>
          <t>Debhora Garcia</t>
        </is>
      </c>
      <c r="J321" s="4" t="n">
        <v>45931.882152777776</v>
      </c>
      <c r="K321" s="5" t="n">
        <v>45931.0</v>
      </c>
      <c r="L321" s="5" t="n">
        <v>45930.0</v>
      </c>
      <c r="M321" s="3" t="inlineStr">
        <is>
          <t>Approved</t>
        </is>
      </c>
      <c r="N321" s="3" t="inlineStr">
        <is>
          <t>Country Close, Site Close, Study Close</t>
        </is>
      </c>
      <c r="O321" s="3" t="inlineStr">
        <is>
          <t>42847922MDD3003</t>
        </is>
      </c>
    </row>
    <row r="322">
      <c r="A322" s="2" t="str">
        <f>HYPERLINK("https://vtmf.veevavault.com/ui/#doc_info/27261937/1/0", "42847922MDD3003---Filenote-15 Oct 2024 (v1.0)")</f>
        <v>42847922MDD3003---Filenote-15 Oct 2024 (v1.0)</v>
      </c>
      <c r="B322" s="3" t="inlineStr">
        <is>
          <t>Third Parties</t>
        </is>
      </c>
      <c r="C322" s="3" t="inlineStr">
        <is>
          <t>General</t>
        </is>
      </c>
      <c r="D322" s="3" t="inlineStr">
        <is>
          <t>File Note</t>
        </is>
      </c>
      <c r="E322" s="3" t="inlineStr">
        <is>
          <t>42847922MDD3003_Teckro_CAPA-80 R03[75]</t>
        </is>
      </c>
      <c r="F322" s="2" t="str">
        <f>HYPERLINK("https://vtmf.veevavault.com/ui/#doc_info/27261937/1/0", "VTMF-21863352")</f>
        <v>VTMF-21863352</v>
      </c>
      <c r="G322" s="3" t="inlineStr">
        <is>
          <t/>
        </is>
      </c>
      <c r="H322" s="3" t="inlineStr">
        <is>
          <t>System</t>
        </is>
      </c>
      <c r="I322" s="3" t="inlineStr">
        <is>
          <t>Astrid Lenaerts</t>
        </is>
      </c>
      <c r="J322" s="4" t="n">
        <v>45581.04771990741</v>
      </c>
      <c r="K322" s="5" t="n">
        <v>45581.0</v>
      </c>
      <c r="L322" s="5" t="n">
        <v>45580.0</v>
      </c>
      <c r="M322" s="3" t="inlineStr">
        <is>
          <t>Approved</t>
        </is>
      </c>
      <c r="N322" s="3" t="inlineStr">
        <is>
          <t>Country Close, Site Close, Study Close</t>
        </is>
      </c>
      <c r="O322" s="3" t="inlineStr">
        <is>
          <t>42847922MDD3003</t>
        </is>
      </c>
    </row>
    <row r="323">
      <c r="A323" s="2" t="str">
        <f>HYPERLINK("https://vtmf.veevavault.com/ui/#doc_info/26642566/1/0", "42847922MDD3003---Handover Document/Transition Checklist-03 Jul 2024 (v1.0)")</f>
        <v>42847922MDD3003---Handover Document/Transition Checklist-03 Jul 2024 (v1.0)</v>
      </c>
      <c r="B323" s="3" t="inlineStr">
        <is>
          <t>Trial Management</t>
        </is>
      </c>
      <c r="C323" s="3" t="inlineStr">
        <is>
          <t>Trial Team</t>
        </is>
      </c>
      <c r="D323" s="3" t="inlineStr">
        <is>
          <t>Handover Document/Transition Checklist</t>
        </is>
      </c>
      <c r="E323" s="3" t="inlineStr">
        <is>
          <t>Handover Form_Central Monitoring Manager_Mace to Aguilar</t>
        </is>
      </c>
      <c r="F323" s="2" t="str">
        <f>HYPERLINK("https://vtmf.veevavault.com/ui/#doc_info/26642566/1/0", "VTMF-21342589")</f>
        <v>VTMF-21342589</v>
      </c>
      <c r="G323" s="3" t="inlineStr">
        <is>
          <t/>
        </is>
      </c>
      <c r="H323" s="3" t="inlineStr">
        <is>
          <t>Anthony Suarez (veeva.com)</t>
        </is>
      </c>
      <c r="I323" s="3" t="inlineStr">
        <is>
          <t>Nikki Mace</t>
        </is>
      </c>
      <c r="J323" s="4" t="n">
        <v>45476.6303587963</v>
      </c>
      <c r="K323" s="5" t="n">
        <v>45476.0</v>
      </c>
      <c r="L323" s="5" t="n">
        <v>45476.0</v>
      </c>
      <c r="M323" s="3" t="inlineStr">
        <is>
          <t>Approved</t>
        </is>
      </c>
      <c r="N323" s="3" t="inlineStr">
        <is>
          <t>Not associated to a milestone</t>
        </is>
      </c>
      <c r="O323" s="3" t="inlineStr">
        <is>
          <t>42847922MDD3003</t>
        </is>
      </c>
    </row>
    <row r="324">
      <c r="A324" s="2" t="str">
        <f>HYPERLINK("https://vtmf.veevavault.com/ui/#doc_info/31004429/1/0", "42847922MDD3003---Handover Document/Transition Checklist-04 Feb 2026 (v1.0)")</f>
        <v>42847922MDD3003---Handover Document/Transition Checklist-04 Feb 2026 (v1.0)</v>
      </c>
      <c r="B324" s="3" t="inlineStr">
        <is>
          <t>Trial Management</t>
        </is>
      </c>
      <c r="C324" s="3" t="inlineStr">
        <is>
          <t>Trial Team</t>
        </is>
      </c>
      <c r="D324" s="3" t="inlineStr">
        <is>
          <t>Handover Document/Transition Checklist</t>
        </is>
      </c>
      <c r="E324" s="3" t="inlineStr">
        <is>
          <t>HO _TDM_KRuzinska to Anna Margalska</t>
        </is>
      </c>
      <c r="F324" s="2" t="str">
        <f>HYPERLINK("https://vtmf.veevavault.com/ui/#doc_info/31004429/1/0", "VTMF-24992248")</f>
        <v>VTMF-24992248</v>
      </c>
      <c r="G324" s="3" t="inlineStr">
        <is>
          <t/>
        </is>
      </c>
      <c r="H324" s="3" t="inlineStr">
        <is>
          <t>System</t>
        </is>
      </c>
      <c r="I324" s="3" t="inlineStr">
        <is>
          <t>Gina Stefanelli</t>
        </is>
      </c>
      <c r="J324" s="4" t="n">
        <v>46070.64232638889</v>
      </c>
      <c r="K324" s="5" t="n">
        <v>46071.0</v>
      </c>
      <c r="L324" s="5" t="n">
        <v>46057.0</v>
      </c>
      <c r="M324" s="3" t="inlineStr">
        <is>
          <t>Approved</t>
        </is>
      </c>
      <c r="N324" s="3" t="inlineStr">
        <is>
          <t>Not associated to a milestone</t>
        </is>
      </c>
      <c r="O324" s="3" t="inlineStr">
        <is>
          <t>42847922MDD3003</t>
        </is>
      </c>
    </row>
    <row r="325">
      <c r="A325" s="2" t="str">
        <f>HYPERLINK("https://vtmf.veevavault.com/ui/#doc_info/29703945/1/0", "42847922MDD3003---Handover Document/Transition Checklist-10 Jul 2025 (v1.0)")</f>
        <v>42847922MDD3003---Handover Document/Transition Checklist-10 Jul 2025 (v1.0)</v>
      </c>
      <c r="B325" s="3" t="inlineStr">
        <is>
          <t>Trial Management</t>
        </is>
      </c>
      <c r="C325" s="3" t="inlineStr">
        <is>
          <t>Trial Team</t>
        </is>
      </c>
      <c r="D325" s="3" t="inlineStr">
        <is>
          <t>Handover Document/Transition Checklist</t>
        </is>
      </c>
      <c r="E325" s="3" t="inlineStr">
        <is>
          <t>Handover TDM_AWorthy to JoVerhaert</t>
        </is>
      </c>
      <c r="F325" s="2" t="str">
        <f>HYPERLINK("https://vtmf.veevavault.com/ui/#doc_info/29703945/1/0", "VTMF-23899388")</f>
        <v>VTMF-23899388</v>
      </c>
      <c r="G325" s="3" t="inlineStr">
        <is>
          <t/>
        </is>
      </c>
      <c r="H325" s="3" t="inlineStr">
        <is>
          <t>System</t>
        </is>
      </c>
      <c r="I325" s="3" t="inlineStr">
        <is>
          <t>Arlean Worthy</t>
        </is>
      </c>
      <c r="J325" s="4" t="n">
        <v>45874.657476851855</v>
      </c>
      <c r="K325" s="5" t="n">
        <v>45874.0</v>
      </c>
      <c r="L325" s="5" t="n">
        <v>45848.0</v>
      </c>
      <c r="M325" s="3" t="inlineStr">
        <is>
          <t>Approved</t>
        </is>
      </c>
      <c r="N325" s="3" t="inlineStr">
        <is>
          <t>Not associated to a milestone</t>
        </is>
      </c>
      <c r="O325" s="3" t="inlineStr">
        <is>
          <t>42847922MDD3003</t>
        </is>
      </c>
    </row>
    <row r="326">
      <c r="A326" s="2" t="str">
        <f>HYPERLINK("https://vtmf.veevavault.com/ui/#doc_info/29430804/2/0", "42847922MDD3003---Handover Document/Transition Checklist-10 Jun 2025 (v2.0)")</f>
        <v>42847922MDD3003---Handover Document/Transition Checklist-10 Jun 2025 (v2.0)</v>
      </c>
      <c r="B326" s="3" t="inlineStr">
        <is>
          <t>Trial Management</t>
        </is>
      </c>
      <c r="C326" s="3" t="inlineStr">
        <is>
          <t>Trial Team</t>
        </is>
      </c>
      <c r="D326" s="3" t="inlineStr">
        <is>
          <t>Handover Document/Transition Checklist</t>
        </is>
      </c>
      <c r="E326" s="3" t="inlineStr">
        <is>
          <t>MDD3003_ HO _TDM_KRuzinska to JoVerhaert_</t>
        </is>
      </c>
      <c r="F326" s="2" t="str">
        <f>HYPERLINK("https://vtmf.veevavault.com/ui/#doc_info/29430804/2/0", "VTMF-23666075")</f>
        <v>VTMF-23666075</v>
      </c>
      <c r="G326" s="3" t="inlineStr">
        <is>
          <t/>
        </is>
      </c>
      <c r="H326" s="3" t="inlineStr">
        <is>
          <t>System</t>
        </is>
      </c>
      <c r="I326" s="3" t="inlineStr">
        <is>
          <t>Gina Stefanelli</t>
        </is>
      </c>
      <c r="J326" s="4" t="n">
        <v>45832.803981481484</v>
      </c>
      <c r="K326" s="5" t="n">
        <v>45833.0</v>
      </c>
      <c r="L326" s="5" t="n">
        <v>45818.0</v>
      </c>
      <c r="M326" s="3" t="inlineStr">
        <is>
          <t>Approved</t>
        </is>
      </c>
      <c r="N326" s="3" t="inlineStr">
        <is>
          <t>Not associated to a milestone</t>
        </is>
      </c>
      <c r="O326" s="3" t="inlineStr">
        <is>
          <t>42847922MDD3003</t>
        </is>
      </c>
    </row>
    <row r="327">
      <c r="A327" s="2" t="str">
        <f>HYPERLINK("https://vtmf.veevavault.com/ui/#doc_info/29349828/1/0", "42847922MDD3003---Handover Document/Transition Checklist-13 Jun 2025 (v1.0)")</f>
        <v>42847922MDD3003---Handover Document/Transition Checklist-13 Jun 2025 (v1.0)</v>
      </c>
      <c r="B327" s="3" t="inlineStr">
        <is>
          <t>Trial Management</t>
        </is>
      </c>
      <c r="C327" s="3" t="inlineStr">
        <is>
          <t>Trial Team</t>
        </is>
      </c>
      <c r="D327" s="3" t="inlineStr">
        <is>
          <t>Handover Document/Transition Checklist</t>
        </is>
      </c>
      <c r="E327" s="3" t="inlineStr">
        <is>
          <t>Handover ECG vendor A.Worthy to K.Ruzinska_13Jun25</t>
        </is>
      </c>
      <c r="F327" s="2" t="str">
        <f>HYPERLINK("https://vtmf.veevavault.com/ui/#doc_info/29349828/1/0", "VTMF-23594063")</f>
        <v>VTMF-23594063</v>
      </c>
      <c r="G327" s="3" t="inlineStr">
        <is>
          <t/>
        </is>
      </c>
      <c r="H327" s="3" t="inlineStr">
        <is>
          <t>System</t>
        </is>
      </c>
      <c r="I327" s="3" t="inlineStr">
        <is>
          <t>Kristina Ruzinska</t>
        </is>
      </c>
      <c r="J327" s="4" t="n">
        <v>45821.443923611114</v>
      </c>
      <c r="K327" s="5" t="n">
        <v>45824.0</v>
      </c>
      <c r="L327" s="5" t="n">
        <v>45821.0</v>
      </c>
      <c r="M327" s="3" t="inlineStr">
        <is>
          <t>Approved</t>
        </is>
      </c>
      <c r="N327" s="3" t="inlineStr">
        <is>
          <t>Not associated to a milestone</t>
        </is>
      </c>
      <c r="O327" s="3" t="inlineStr">
        <is>
          <t>42847922MDD3003</t>
        </is>
      </c>
    </row>
    <row r="328">
      <c r="A328" s="2" t="str">
        <f>HYPERLINK("https://vtmf.veevavault.com/ui/#doc_info/31180769/1/0", "42847922MDD3003---Handover Document/Transition Checklist-13 Mar 2026 (v1.0)")</f>
        <v>42847922MDD3003---Handover Document/Transition Checklist-13 Mar 2026 (v1.0)</v>
      </c>
      <c r="B328" s="3" t="inlineStr">
        <is>
          <t>Trial Management</t>
        </is>
      </c>
      <c r="C328" s="3" t="inlineStr">
        <is>
          <t>Trial Team</t>
        </is>
      </c>
      <c r="D328" s="3" t="inlineStr">
        <is>
          <t>Handover Document/Transition Checklist</t>
        </is>
      </c>
      <c r="E328" s="3" t="inlineStr">
        <is>
          <t>TDM_KRuzinska to Amelie Fauveau</t>
        </is>
      </c>
      <c r="F328" s="2" t="str">
        <f>HYPERLINK("https://vtmf.veevavault.com/ui/#doc_info/31180769/1/0", "VTMF-25142075")</f>
        <v>VTMF-25142075</v>
      </c>
      <c r="G328" s="3" t="inlineStr">
        <is>
          <t/>
        </is>
      </c>
      <c r="H328" s="3" t="inlineStr">
        <is>
          <t>System</t>
        </is>
      </c>
      <c r="I328" s="3" t="inlineStr">
        <is>
          <t>Gina Stefanelli</t>
        </is>
      </c>
      <c r="J328" s="4" t="n">
        <v>46094.582395833335</v>
      </c>
      <c r="K328" s="5" t="n">
        <v>46094.0</v>
      </c>
      <c r="L328" s="5" t="n">
        <v>46094.0</v>
      </c>
      <c r="M328" s="3" t="inlineStr">
        <is>
          <t>Approved</t>
        </is>
      </c>
      <c r="N328" s="3" t="inlineStr">
        <is>
          <t>Not associated to a milestone</t>
        </is>
      </c>
      <c r="O328" s="3" t="inlineStr">
        <is>
          <t>42847922MDD3003</t>
        </is>
      </c>
    </row>
    <row r="329">
      <c r="A329" s="2" t="str">
        <f>HYPERLINK("https://vtmf.veevavault.com/ui/#doc_info/25348571/1/0", "42847922MDD3003---Handover Document/Transition Checklist-14 Dec 2023 (v1.0)")</f>
        <v>42847922MDD3003---Handover Document/Transition Checklist-14 Dec 2023 (v1.0)</v>
      </c>
      <c r="B329" s="3" t="inlineStr">
        <is>
          <t>Trial Management</t>
        </is>
      </c>
      <c r="C329" s="3" t="inlineStr">
        <is>
          <t>Trial Team</t>
        </is>
      </c>
      <c r="D329" s="3" t="inlineStr">
        <is>
          <t>Handover Document/Transition Checklist</t>
        </is>
      </c>
      <c r="E329" s="3" t="inlineStr">
        <is>
          <t>42847922MDD3003_DHOM Transition Checklist_Frattura to Bachman_14Dec2023</t>
        </is>
      </c>
      <c r="F329" s="2" t="str">
        <f>HYPERLINK("https://vtmf.veevavault.com/ui/#doc_info/25348571/1/0", "VTMF-20207911")</f>
        <v>VTMF-20207911</v>
      </c>
      <c r="G329" s="3" t="inlineStr">
        <is>
          <t/>
        </is>
      </c>
      <c r="H329" s="3" t="inlineStr">
        <is>
          <t>Anthony Suarez (veeva.com)</t>
        </is>
      </c>
      <c r="I329" s="3" t="inlineStr">
        <is>
          <t>Kerry Frattura</t>
        </is>
      </c>
      <c r="J329" s="4" t="n">
        <v>45274.92521990741</v>
      </c>
      <c r="K329" s="5" t="n">
        <v>45275.0</v>
      </c>
      <c r="L329" s="5" t="n">
        <v>45274.0</v>
      </c>
      <c r="M329" s="3" t="inlineStr">
        <is>
          <t>Approved</t>
        </is>
      </c>
      <c r="N329" s="3" t="inlineStr">
        <is>
          <t>Not associated to a milestone</t>
        </is>
      </c>
      <c r="O329" s="3" t="inlineStr">
        <is>
          <t>42847922MDD3003</t>
        </is>
      </c>
    </row>
    <row r="330">
      <c r="A330" s="2" t="str">
        <f>HYPERLINK("https://vtmf.veevavault.com/ui/#doc_info/29118776/1/0", "42847922MDD3003---Handover Document/Transition Checklist-14 May 2025 (v1.0)")</f>
        <v>42847922MDD3003---Handover Document/Transition Checklist-14 May 2025 (v1.0)</v>
      </c>
      <c r="B330" s="3" t="inlineStr">
        <is>
          <t>Trial Management</t>
        </is>
      </c>
      <c r="C330" s="3" t="inlineStr">
        <is>
          <t>Trial Team</t>
        </is>
      </c>
      <c r="D330" s="3" t="inlineStr">
        <is>
          <t>Handover Document/Transition Checklist</t>
        </is>
      </c>
      <c r="E330" s="3" t="inlineStr">
        <is>
          <t>Study Handover_Stephanie Bachman to Charles Hayes</t>
        </is>
      </c>
      <c r="F330" s="2" t="str">
        <f>HYPERLINK("https://vtmf.veevavault.com/ui/#doc_info/29118776/1/0", "VTMF-23399574")</f>
        <v>VTMF-23399574</v>
      </c>
      <c r="G330" s="3" t="inlineStr">
        <is>
          <t/>
        </is>
      </c>
      <c r="H330" s="3" t="inlineStr">
        <is>
          <t>Anthony Suarez (veeva.com)</t>
        </is>
      </c>
      <c r="I330" s="3" t="inlineStr">
        <is>
          <t>Stephanie Bachman</t>
        </is>
      </c>
      <c r="J330" s="4" t="n">
        <v>45791.83731481482</v>
      </c>
      <c r="K330" s="5" t="n">
        <v>45793.0</v>
      </c>
      <c r="L330" s="5" t="n">
        <v>45791.0</v>
      </c>
      <c r="M330" s="3" t="inlineStr">
        <is>
          <t>Approved</t>
        </is>
      </c>
      <c r="N330" s="3" t="inlineStr">
        <is>
          <t>Not associated to a milestone</t>
        </is>
      </c>
      <c r="O330" s="3" t="inlineStr">
        <is>
          <t>42847922MDD3003</t>
        </is>
      </c>
    </row>
    <row r="331">
      <c r="A331" s="2" t="str">
        <f>HYPERLINK("https://vtmf.veevavault.com/ui/#doc_info/30165888/1/0", "42847922MDD3003---Handover Document/Transition Checklist-15 Oct 2025 (v1.0)")</f>
        <v>42847922MDD3003---Handover Document/Transition Checklist-15 Oct 2025 (v1.0)</v>
      </c>
      <c r="B331" s="3" t="inlineStr">
        <is>
          <t>Trial Management</t>
        </is>
      </c>
      <c r="C331" s="3" t="inlineStr">
        <is>
          <t>Trial Team</t>
        </is>
      </c>
      <c r="D331" s="3" t="inlineStr">
        <is>
          <t>Handover Document/Transition Checklist</t>
        </is>
      </c>
      <c r="E331" s="3" t="inlineStr">
        <is>
          <t>Study Handover Form_TDM_Worthy To Ruzinska</t>
        </is>
      </c>
      <c r="F331" s="2" t="str">
        <f>HYPERLINK("https://vtmf.veevavault.com/ui/#doc_info/30165888/1/0", "VTMF-24286372")</f>
        <v>VTMF-24286372</v>
      </c>
      <c r="G331" s="3" t="inlineStr">
        <is>
          <t/>
        </is>
      </c>
      <c r="H331" s="3" t="inlineStr">
        <is>
          <t>System</t>
        </is>
      </c>
      <c r="I331" s="3" t="inlineStr">
        <is>
          <t>Arlean Worthy</t>
        </is>
      </c>
      <c r="J331" s="4" t="n">
        <v>45945.9718287037</v>
      </c>
      <c r="K331" s="5" t="n">
        <v>45951.0</v>
      </c>
      <c r="L331" s="5" t="n">
        <v>45945.0</v>
      </c>
      <c r="M331" s="3" t="inlineStr">
        <is>
          <t>Approved</t>
        </is>
      </c>
      <c r="N331" s="3" t="inlineStr">
        <is>
          <t>Not associated to a milestone</t>
        </is>
      </c>
      <c r="O331" s="3" t="inlineStr">
        <is>
          <t>42847922MDD3003</t>
        </is>
      </c>
    </row>
    <row r="332">
      <c r="A332" s="2" t="str">
        <f>HYPERLINK("https://vtmf.veevavault.com/ui/#doc_info/27684777/1/0", "42847922MDD3003---Handover Document/Transition Checklist-22 Nov 2024 (v1.0)")</f>
        <v>42847922MDD3003---Handover Document/Transition Checklist-22 Nov 2024 (v1.0)</v>
      </c>
      <c r="B332" s="3" t="inlineStr">
        <is>
          <t>Trial Management</t>
        </is>
      </c>
      <c r="C332" s="3" t="inlineStr">
        <is>
          <t>Trial Team</t>
        </is>
      </c>
      <c r="D332" s="3" t="inlineStr">
        <is>
          <t>Handover Document/Transition Checklist</t>
        </is>
      </c>
      <c r="E332" s="3" t="inlineStr">
        <is>
          <t>Handover Document_ Central Monitoring Manager_Aguilar to Lawrence</t>
        </is>
      </c>
      <c r="F332" s="2" t="str">
        <f>HYPERLINK("https://vtmf.veevavault.com/ui/#doc_info/27684777/1/0", "VTMF-22219830")</f>
        <v>VTMF-22219830</v>
      </c>
      <c r="G332" s="3" t="inlineStr">
        <is>
          <t/>
        </is>
      </c>
      <c r="H332" s="3" t="inlineStr">
        <is>
          <t>Anthony Suarez (veeva.com)</t>
        </is>
      </c>
      <c r="I332" s="3" t="inlineStr">
        <is>
          <t>Sara Aguilar</t>
        </is>
      </c>
      <c r="J332" s="4" t="n">
        <v>45617.80997685185</v>
      </c>
      <c r="K332" s="5" t="n">
        <v>45618.0</v>
      </c>
      <c r="L332" s="5" t="n">
        <v>45618.0</v>
      </c>
      <c r="M332" s="3" t="inlineStr">
        <is>
          <t>Approved</t>
        </is>
      </c>
      <c r="N332" s="3" t="inlineStr">
        <is>
          <t>Not associated to a milestone</t>
        </is>
      </c>
      <c r="O332" s="3" t="inlineStr">
        <is>
          <t>42847922MDD3003</t>
        </is>
      </c>
    </row>
    <row r="333">
      <c r="A333" s="2" t="str">
        <f>HYPERLINK("https://vtmf.veevavault.com/ui/#doc_info/30242161/2/0", "42847922MDD3003---Handover Document/Transition Checklist-27 Oct 2025 (v2.0)")</f>
        <v>42847922MDD3003---Handover Document/Transition Checklist-27 Oct 2025 (v2.0)</v>
      </c>
      <c r="B333" s="3" t="inlineStr">
        <is>
          <t>Trial Management</t>
        </is>
      </c>
      <c r="C333" s="3" t="inlineStr">
        <is>
          <t>Trial Team</t>
        </is>
      </c>
      <c r="D333" s="3" t="inlineStr">
        <is>
          <t>Handover Document/Transition Checklist</t>
        </is>
      </c>
      <c r="E333" s="3" t="inlineStr">
        <is>
          <t>MDD3003_ HO _TDM_AWorthy to MChowdury</t>
        </is>
      </c>
      <c r="F333" s="2" t="str">
        <f>HYPERLINK("https://vtmf.veevavault.com/ui/#doc_info/30242161/2/0", "VTMF-24350908")</f>
        <v>VTMF-24350908</v>
      </c>
      <c r="G333" s="3" t="inlineStr">
        <is>
          <t/>
        </is>
      </c>
      <c r="H333" s="3" t="inlineStr">
        <is>
          <t>System</t>
        </is>
      </c>
      <c r="I333" s="3" t="inlineStr">
        <is>
          <t>Arlean Worthy</t>
        </is>
      </c>
      <c r="J333" s="4" t="n">
        <v>45973.67511574074</v>
      </c>
      <c r="K333" s="5" t="n">
        <v>45974.0</v>
      </c>
      <c r="L333" s="5" t="n">
        <v>45957.0</v>
      </c>
      <c r="M333" s="3" t="inlineStr">
        <is>
          <t>Approved</t>
        </is>
      </c>
      <c r="N333" s="3" t="inlineStr">
        <is>
          <t>Not associated to a milestone</t>
        </is>
      </c>
      <c r="O333" s="3" t="inlineStr">
        <is>
          <t>42847922MDD3003</t>
        </is>
      </c>
    </row>
    <row r="334">
      <c r="A334" s="2" t="str">
        <f>HYPERLINK("https://vtmf.veevavault.com/ui/#doc_info/26237314/1/0", "42847922MDD3003---Handover Document/Transition Checklist-30 Apr 2024 (v1.0)")</f>
        <v>42847922MDD3003---Handover Document/Transition Checklist-30 Apr 2024 (v1.0)</v>
      </c>
      <c r="B334" s="3" t="inlineStr">
        <is>
          <t>Trial Management</t>
        </is>
      </c>
      <c r="C334" s="3" t="inlineStr">
        <is>
          <t>Trial Team</t>
        </is>
      </c>
      <c r="D334" s="3" t="inlineStr">
        <is>
          <t>Handover Document/Transition Checklist</t>
        </is>
      </c>
      <c r="E334" s="3" t="inlineStr">
        <is>
          <t>42847922MDD3003 - GCTA Handover Munguia to Stefanelli_30-Apr-2024</t>
        </is>
      </c>
      <c r="F334" s="2" t="str">
        <f>HYPERLINK("https://vtmf.veevavault.com/ui/#doc_info/26237314/1/0", "VTMF-20986854")</f>
        <v>VTMF-20986854</v>
      </c>
      <c r="G334" s="3" t="inlineStr">
        <is>
          <t/>
        </is>
      </c>
      <c r="H334" s="3" t="inlineStr">
        <is>
          <t>System</t>
        </is>
      </c>
      <c r="I334" s="3" t="inlineStr">
        <is>
          <t>Arturo Munguia</t>
        </is>
      </c>
      <c r="J334" s="4" t="n">
        <v>45412.84663194444</v>
      </c>
      <c r="K334" s="5" t="n">
        <v>45413.0</v>
      </c>
      <c r="L334" s="5" t="n">
        <v>45412.0</v>
      </c>
      <c r="M334" s="3" t="inlineStr">
        <is>
          <t>Approved</t>
        </is>
      </c>
      <c r="N334" s="3" t="inlineStr">
        <is>
          <t>Not associated to a milestone</t>
        </is>
      </c>
      <c r="O334" s="3" t="inlineStr">
        <is>
          <t>42847922MDD3003</t>
        </is>
      </c>
    </row>
    <row r="335">
      <c r="A335" s="2" t="str">
        <f>HYPERLINK("https://vtmf.veevavault.com/ui/#doc_info/30268145/1/0", "42847922MDD3003---Handover Document/Transition Checklist-30 Oct 2025 (v1.0)")</f>
        <v>42847922MDD3003---Handover Document/Transition Checklist-30 Oct 2025 (v1.0)</v>
      </c>
      <c r="B335" s="3" t="inlineStr">
        <is>
          <t>Trial Management</t>
        </is>
      </c>
      <c r="C335" s="3" t="inlineStr">
        <is>
          <t>Trial Team</t>
        </is>
      </c>
      <c r="D335" s="3" t="inlineStr">
        <is>
          <t>Handover Document/Transition Checklist</t>
        </is>
      </c>
      <c r="E335" s="3" t="inlineStr">
        <is>
          <t>Handover TDM  K.Ruzinska to J.Verhaert</t>
        </is>
      </c>
      <c r="F335" s="2" t="str">
        <f>HYPERLINK("https://vtmf.veevavault.com/ui/#doc_info/30268145/1/0", "VTMF-24372786")</f>
        <v>VTMF-24372786</v>
      </c>
      <c r="G335" s="3" t="inlineStr">
        <is>
          <t/>
        </is>
      </c>
      <c r="H335" s="3" t="inlineStr">
        <is>
          <t>System</t>
        </is>
      </c>
      <c r="I335" s="3" t="inlineStr">
        <is>
          <t>Kristina Ruzinska</t>
        </is>
      </c>
      <c r="J335" s="4" t="n">
        <v>45960.59408564815</v>
      </c>
      <c r="K335" s="5" t="n">
        <v>45973.0</v>
      </c>
      <c r="L335" s="5" t="n">
        <v>45960.0</v>
      </c>
      <c r="M335" s="3" t="inlineStr">
        <is>
          <t>Approved</t>
        </is>
      </c>
      <c r="N335" s="3" t="inlineStr">
        <is>
          <t>Not associated to a milestone</t>
        </is>
      </c>
      <c r="O335" s="3" t="inlineStr">
        <is>
          <t>42847922MDD3003</t>
        </is>
      </c>
    </row>
    <row r="336">
      <c r="A336" s="2" t="str">
        <f>HYPERLINK("https://vtmf.veevavault.com/ui/#doc_info/29047430/1/0", "42847922MDD3003---IDS Trial Oversight and Quality Control Documents-09 Apr 2025 (v1.0)")</f>
        <v>42847922MDD3003---IDS Trial Oversight and Quality Control Documents-09 Apr 2025 (v1.0)</v>
      </c>
      <c r="B336" s="3" t="inlineStr">
        <is>
          <t>Data Management</t>
        </is>
      </c>
      <c r="C336" s="3" t="inlineStr">
        <is>
          <t>Database</t>
        </is>
      </c>
      <c r="D336" s="3" t="inlineStr">
        <is>
          <t>Trial Oversight and Quality Control Documents</t>
        </is>
      </c>
      <c r="E336" s="3" t="inlineStr">
        <is>
          <t>2338_42847922MDD3003_PPC2_DRM Transformation Validation Report</t>
        </is>
      </c>
      <c r="F336" s="2" t="str">
        <f>HYPERLINK("https://vtmf.veevavault.com/ui/#doc_info/29047430/1/0", "VTMF-23339275")</f>
        <v>VTMF-23339275</v>
      </c>
      <c r="G336" s="3" t="inlineStr">
        <is>
          <t/>
        </is>
      </c>
      <c r="H336" s="3" t="inlineStr">
        <is>
          <t>Anthony Suarez (veeva.com)</t>
        </is>
      </c>
      <c r="I336" s="3" t="inlineStr">
        <is>
          <t>Sagarika Koppera</t>
        </is>
      </c>
      <c r="J336" s="4" t="n">
        <v>45783.6030787037</v>
      </c>
      <c r="K336" s="5" t="n">
        <v>45783.0</v>
      </c>
      <c r="L336" s="5" t="n">
        <v>45756.0</v>
      </c>
      <c r="M336" s="3" t="inlineStr">
        <is>
          <t>Approved</t>
        </is>
      </c>
      <c r="N336" s="3" t="inlineStr">
        <is>
          <t>Study Close</t>
        </is>
      </c>
      <c r="O336" s="3" t="inlineStr">
        <is>
          <t>42847922MDD3003</t>
        </is>
      </c>
    </row>
    <row r="337">
      <c r="A337" s="2" t="str">
        <f>HYPERLINK("https://vtmf.veevavault.com/ui/#doc_info/25786389/1/0", "42847922MDD3003---Insurance (v1.0)")</f>
        <v>42847922MDD3003---Insurance (v1.0)</v>
      </c>
      <c r="B337" s="3" t="inlineStr">
        <is>
          <t>Central Trial Documents</t>
        </is>
      </c>
      <c r="C337" s="3" t="inlineStr">
        <is>
          <t>Trial Documents</t>
        </is>
      </c>
      <c r="D337" s="3" t="inlineStr">
        <is>
          <t>Insurance</t>
        </is>
      </c>
      <c r="E337" s="3" t="inlineStr">
        <is>
          <t>42847922MDD3003---New Trial Assessment for Insurance no expiration date_completed 23Feb2024</t>
        </is>
      </c>
      <c r="F337" s="2" t="str">
        <f>HYPERLINK("https://vtmf.veevavault.com/ui/#doc_info/25786389/1/0", "VTMF-20590943")</f>
        <v>VTMF-20590943</v>
      </c>
      <c r="G337" s="3" t="inlineStr">
        <is>
          <t/>
        </is>
      </c>
      <c r="H337" s="3" t="inlineStr">
        <is>
          <t>Anthony Suarez (veeva.com)</t>
        </is>
      </c>
      <c r="I337" s="3" t="inlineStr">
        <is>
          <t>PATRICIA CAHALEY</t>
        </is>
      </c>
      <c r="J337" s="4" t="n">
        <v>45347.62563657408</v>
      </c>
      <c r="K337" s="5" t="n">
        <v>45347.0</v>
      </c>
      <c r="L337" s="5" t="n">
        <v>45345.0</v>
      </c>
      <c r="M337" s="3" t="inlineStr">
        <is>
          <t>Approved</t>
        </is>
      </c>
      <c r="N337" s="3" t="inlineStr">
        <is>
          <t>Available for Distribution, CLIX Filing, Study Start</t>
        </is>
      </c>
      <c r="O337" s="3" t="inlineStr">
        <is>
          <t>42847922MDD3003</t>
        </is>
      </c>
    </row>
    <row r="338">
      <c r="A338" s="2" t="str">
        <f>HYPERLINK("https://vtmf.veevavault.com/ui/#doc_info/26452351/1/0", "42847922MDD3003---Insurance (v1.0)")</f>
        <v>42847922MDD3003---Insurance (v1.0)</v>
      </c>
      <c r="B338" s="3" t="inlineStr">
        <is>
          <t>Central Trial Documents</t>
        </is>
      </c>
      <c r="C338" s="3" t="inlineStr">
        <is>
          <t>Trial Documents</t>
        </is>
      </c>
      <c r="D338" s="3" t="inlineStr">
        <is>
          <t>Insurance</t>
        </is>
      </c>
      <c r="E338" s="3" t="inlineStr">
        <is>
          <t>42847922MDD3003---Updated Trial Assessment for Insurance no expiration date_completed 04Jun2024</t>
        </is>
      </c>
      <c r="F338" s="2" t="str">
        <f>HYPERLINK("https://vtmf.veevavault.com/ui/#doc_info/26452351/1/0", "VTMF-21175450")</f>
        <v>VTMF-21175450</v>
      </c>
      <c r="G338" s="3" t="inlineStr">
        <is>
          <t/>
        </is>
      </c>
      <c r="H338" s="3" t="inlineStr">
        <is>
          <t>Anthony Suarez (veeva.com)</t>
        </is>
      </c>
      <c r="I338" s="3" t="inlineStr">
        <is>
          <t>PATRICIA CAHALEY</t>
        </is>
      </c>
      <c r="J338" s="4" t="n">
        <v>45447.60396990741</v>
      </c>
      <c r="K338" s="5" t="n">
        <v>45447.0</v>
      </c>
      <c r="L338" s="5" t="n">
        <v>45447.0</v>
      </c>
      <c r="M338" s="3" t="inlineStr">
        <is>
          <t>Approved</t>
        </is>
      </c>
      <c r="N338" s="3" t="inlineStr">
        <is>
          <t>Available for Distribution, CLIX Filing, Study Start</t>
        </is>
      </c>
      <c r="O338" s="3" t="inlineStr">
        <is>
          <t>42847922MDD3003</t>
        </is>
      </c>
    </row>
    <row r="339">
      <c r="A339" s="2" t="str">
        <f>HYPERLINK("https://vtmf.veevavault.com/ui/#doc_info/27120819/1/0", "42847922MDD3003---Insurance (v1.0)")</f>
        <v>42847922MDD3003---Insurance (v1.0)</v>
      </c>
      <c r="B339" s="3" t="inlineStr">
        <is>
          <t>Central Trial Documents</t>
        </is>
      </c>
      <c r="C339" s="3" t="inlineStr">
        <is>
          <t>Trial Documents</t>
        </is>
      </c>
      <c r="D339" s="3" t="inlineStr">
        <is>
          <t>Insurance</t>
        </is>
      </c>
      <c r="E339" s="3" t="inlineStr">
        <is>
          <t>42847922MDD3003---Updated Trial Assessment for Insurance no expiration date_completed 20SEP2024</t>
        </is>
      </c>
      <c r="F339" s="2" t="str">
        <f>HYPERLINK("https://vtmf.veevavault.com/ui/#doc_info/27120819/1/0", "VTMF-21741943")</f>
        <v>VTMF-21741943</v>
      </c>
      <c r="G339" s="3" t="inlineStr">
        <is>
          <t/>
        </is>
      </c>
      <c r="H339" s="3" t="inlineStr">
        <is>
          <t>Anthony Suarez (veeva.com)</t>
        </is>
      </c>
      <c r="I339" s="3" t="inlineStr">
        <is>
          <t>PATRICIA CAHALEY</t>
        </is>
      </c>
      <c r="J339" s="4" t="n">
        <v>45557.63611111111</v>
      </c>
      <c r="K339" s="5" t="n">
        <v>45557.0</v>
      </c>
      <c r="L339" s="5" t="n">
        <v>45555.0</v>
      </c>
      <c r="M339" s="3" t="inlineStr">
        <is>
          <t>Approved</t>
        </is>
      </c>
      <c r="N339" s="3" t="inlineStr">
        <is>
          <t>Available for Distribution, CLIX Filing, Study Start</t>
        </is>
      </c>
      <c r="O339" s="3" t="inlineStr">
        <is>
          <t>42847922MDD3003</t>
        </is>
      </c>
    </row>
    <row r="340">
      <c r="A340" s="2" t="str">
        <f>HYPERLINK("https://vtmf.veevavault.com/ui/#doc_info/28342677/1/0", "42847922MDD3003---Insurance (v1.0)")</f>
        <v>42847922MDD3003---Insurance (v1.0)</v>
      </c>
      <c r="B340" s="3" t="inlineStr">
        <is>
          <t>Central Trial Documents</t>
        </is>
      </c>
      <c r="C340" s="3" t="inlineStr">
        <is>
          <t>Trial Documents</t>
        </is>
      </c>
      <c r="D340" s="3" t="inlineStr">
        <is>
          <t>Insurance</t>
        </is>
      </c>
      <c r="E340" s="3" t="inlineStr">
        <is>
          <t>42847922MDD3003---Updated Trial Assessment for Insurance AM#2_EU-1_no expiration date_completed 20Feb2025</t>
        </is>
      </c>
      <c r="F340" s="2" t="str">
        <f>HYPERLINK("https://vtmf.veevavault.com/ui/#doc_info/28342677/1/0", "VTMF-22739669")</f>
        <v>VTMF-22739669</v>
      </c>
      <c r="G340" s="3" t="inlineStr">
        <is>
          <t/>
        </is>
      </c>
      <c r="H340" s="3" t="inlineStr">
        <is>
          <t>Anthony Suarez (veeva.com)</t>
        </is>
      </c>
      <c r="I340" s="3" t="inlineStr">
        <is>
          <t>PATRICIA CAHALEY</t>
        </is>
      </c>
      <c r="J340" s="4" t="n">
        <v>45708.921793981484</v>
      </c>
      <c r="K340" s="5" t="n">
        <v>45708.0</v>
      </c>
      <c r="L340" s="5" t="n">
        <v>45708.0</v>
      </c>
      <c r="M340" s="3" t="inlineStr">
        <is>
          <t>Approved</t>
        </is>
      </c>
      <c r="N340" s="3" t="inlineStr">
        <is>
          <t>Available for Distribution, CLIX Filing, Study Start</t>
        </is>
      </c>
      <c r="O340" s="3" t="inlineStr">
        <is>
          <t>42847922MDD3003</t>
        </is>
      </c>
    </row>
    <row r="341">
      <c r="A341" s="2" t="str">
        <f>HYPERLINK("https://vtmf.veevavault.com/ui/#doc_info/26739754/3/0", "42847922MDD3003---Integrated Review Plan-28 May 2026 (v3.0)")</f>
        <v>42847922MDD3003---Integrated Review Plan-28 May 2026 (v3.0)</v>
      </c>
      <c r="B341" s="3" t="inlineStr">
        <is>
          <t>Data Management</t>
        </is>
      </c>
      <c r="C341" s="3" t="inlineStr">
        <is>
          <t>Data Management Oversight</t>
        </is>
      </c>
      <c r="D341" s="3" t="inlineStr">
        <is>
          <t>Integrated Review Plan</t>
        </is>
      </c>
      <c r="E341" s="3" t="inlineStr">
        <is>
          <t>Integrated Review Plan (IRP)_ V3.0</t>
        </is>
      </c>
      <c r="F341" s="2" t="str">
        <f>HYPERLINK("https://vtmf.veevavault.com/ui/#doc_info/26739754/3/0", "VTMF-21427144")</f>
        <v>VTMF-21427144</v>
      </c>
      <c r="G341" s="3" t="inlineStr">
        <is>
          <t/>
        </is>
      </c>
      <c r="H341" s="3" t="inlineStr">
        <is>
          <t>System</t>
        </is>
      </c>
      <c r="I341" s="3" t="inlineStr">
        <is>
          <t>Ilona Panis</t>
        </is>
      </c>
      <c r="J341" s="4" t="n">
        <v>46170.62957175926</v>
      </c>
      <c r="K341" s="5" t="n">
        <v>46170.0</v>
      </c>
      <c r="L341" s="5" t="n">
        <v>46170.0</v>
      </c>
      <c r="M341" s="3" t="inlineStr">
        <is>
          <t>Approved</t>
        </is>
      </c>
      <c r="N341" s="3" t="inlineStr">
        <is>
          <t>Study Start</t>
        </is>
      </c>
      <c r="O341" s="3" t="inlineStr">
        <is>
          <t>42847922MDD3003</t>
        </is>
      </c>
    </row>
    <row r="342">
      <c r="A342" s="2" t="str">
        <f>HYPERLINK("https://vtmf.veevavault.com/ui/#doc_info/25004247/1/0", "42847922MDD3003---Investigational Material Packaging Agreement (v1.0)")</f>
        <v>42847922MDD3003---Investigational Material Packaging Agreement (v1.0)</v>
      </c>
      <c r="B342" s="3" t="inlineStr">
        <is>
          <t>Regulatory</t>
        </is>
      </c>
      <c r="C342" s="3" t="inlineStr">
        <is>
          <t>Trial Approval</t>
        </is>
      </c>
      <c r="D342" s="3" t="inlineStr">
        <is>
          <t>Investigational Material Packaging Agreement (IMPA)</t>
        </is>
      </c>
      <c r="E342" s="3" t="inlineStr">
        <is>
          <t>V#1</t>
        </is>
      </c>
      <c r="F342" s="2" t="str">
        <f>HYPERLINK("https://vtmf.veevavault.com/ui/#doc_info/25004247/1/0", "VTMF-19907600")</f>
        <v>VTMF-19907600</v>
      </c>
      <c r="G342" s="3" t="inlineStr">
        <is>
          <t/>
        </is>
      </c>
      <c r="H342" s="3" t="inlineStr">
        <is>
          <t>Anthony Suarez (veeva.com)</t>
        </is>
      </c>
      <c r="I342" s="3" t="inlineStr">
        <is>
          <t>Kim Van Peer</t>
        </is>
      </c>
      <c r="J342" s="4" t="n">
        <v>45218.48327546296</v>
      </c>
      <c r="K342" s="5" t="n">
        <v>45218.0</v>
      </c>
      <c r="L342" s="5" t="n">
        <v>45217.0</v>
      </c>
      <c r="M342" s="3" t="inlineStr">
        <is>
          <t>Approved</t>
        </is>
      </c>
      <c r="N342" s="3" t="inlineStr">
        <is>
          <t>Study Start</t>
        </is>
      </c>
      <c r="O342" s="3" t="inlineStr">
        <is>
          <t>42847922MDD3003</t>
        </is>
      </c>
    </row>
    <row r="343">
      <c r="A343" s="2" t="str">
        <f>HYPERLINK("https://vtmf.veevavault.com/ui/#doc_info/25072154/1/0", "42847922MDD3003---Investigational Material Packaging Agreement (v1.0)")</f>
        <v>42847922MDD3003---Investigational Material Packaging Agreement (v1.0)</v>
      </c>
      <c r="B343" s="3" t="inlineStr">
        <is>
          <t>Regulatory</t>
        </is>
      </c>
      <c r="C343" s="3" t="inlineStr">
        <is>
          <t>Trial Approval</t>
        </is>
      </c>
      <c r="D343" s="3" t="inlineStr">
        <is>
          <t>Investigational Material Packaging Agreement (IMPA)</t>
        </is>
      </c>
      <c r="E343" s="3" t="inlineStr">
        <is>
          <t>V#1_MEL</t>
        </is>
      </c>
      <c r="F343" s="2" t="str">
        <f>HYPERLINK("https://vtmf.veevavault.com/ui/#doc_info/25072154/1/0", "VTMF-19966884")</f>
        <v>VTMF-19966884</v>
      </c>
      <c r="G343" s="3" t="inlineStr">
        <is>
          <t/>
        </is>
      </c>
      <c r="H343" s="3" t="inlineStr">
        <is>
          <t>Anthony Suarez (veeva.com)</t>
        </is>
      </c>
      <c r="I343" s="3" t="inlineStr">
        <is>
          <t>Justin Kuliszewski</t>
        </is>
      </c>
      <c r="J343" s="4" t="n">
        <v>45229.6875</v>
      </c>
      <c r="K343" s="5" t="n">
        <v>45229.0</v>
      </c>
      <c r="L343" s="5" t="n">
        <v>45229.0</v>
      </c>
      <c r="M343" s="3" t="inlineStr">
        <is>
          <t>Approved</t>
        </is>
      </c>
      <c r="N343" s="3" t="inlineStr">
        <is>
          <t>Study Start</t>
        </is>
      </c>
      <c r="O343" s="3" t="inlineStr">
        <is>
          <t>42847922MDD3003</t>
        </is>
      </c>
    </row>
    <row r="344">
      <c r="A344" s="2" t="str">
        <f>HYPERLINK("https://vtmf.veevavault.com/ui/#doc_info/25097761/1/0", "42847922MDD3003---Investigational Material Packaging Agreement (v1.0)")</f>
        <v>42847922MDD3003---Investigational Material Packaging Agreement (v1.0)</v>
      </c>
      <c r="B344" s="3" t="inlineStr">
        <is>
          <t>Regulatory</t>
        </is>
      </c>
      <c r="C344" s="3" t="inlineStr">
        <is>
          <t>Trial Approval</t>
        </is>
      </c>
      <c r="D344" s="3" t="inlineStr">
        <is>
          <t>Investigational Material Packaging Agreement (IMPA)</t>
        </is>
      </c>
      <c r="E344" s="3" t="inlineStr">
        <is>
          <t>V#2</t>
        </is>
      </c>
      <c r="F344" s="2" t="str">
        <f>HYPERLINK("https://vtmf.veevavault.com/ui/#doc_info/25097761/1/0", "VTMF-19989146")</f>
        <v>VTMF-19989146</v>
      </c>
      <c r="G344" s="3" t="inlineStr">
        <is>
          <t/>
        </is>
      </c>
      <c r="H344" s="3" t="inlineStr">
        <is>
          <t>Anthony Suarez (veeva.com)</t>
        </is>
      </c>
      <c r="I344" s="3" t="inlineStr">
        <is>
          <t>Justin Kuliszewski</t>
        </is>
      </c>
      <c r="J344" s="4" t="n">
        <v>45232.599328703705</v>
      </c>
      <c r="K344" s="5" t="n">
        <v>45232.0</v>
      </c>
      <c r="L344" s="5" t="n">
        <v>45230.0</v>
      </c>
      <c r="M344" s="3" t="inlineStr">
        <is>
          <t>Approved</t>
        </is>
      </c>
      <c r="N344" s="3" t="inlineStr">
        <is>
          <t>Study Start</t>
        </is>
      </c>
      <c r="O344" s="3" t="inlineStr">
        <is>
          <t>42847922MDD3003</t>
        </is>
      </c>
    </row>
    <row r="345">
      <c r="A345" s="2" t="str">
        <f>HYPERLINK("https://vtmf.veevavault.com/ui/#doc_info/25112951/1/0", "42847922MDD3003---Investigational Material Packaging Agreement (v1.0)")</f>
        <v>42847922MDD3003---Investigational Material Packaging Agreement (v1.0)</v>
      </c>
      <c r="B345" s="3" t="inlineStr">
        <is>
          <t>Regulatory</t>
        </is>
      </c>
      <c r="C345" s="3" t="inlineStr">
        <is>
          <t>Trial Approval</t>
        </is>
      </c>
      <c r="D345" s="3" t="inlineStr">
        <is>
          <t>Investigational Material Packaging Agreement (IMPA)</t>
        </is>
      </c>
      <c r="E345" s="3" t="inlineStr">
        <is>
          <t>V#2_MEL</t>
        </is>
      </c>
      <c r="F345" s="2" t="str">
        <f>HYPERLINK("https://vtmf.veevavault.com/ui/#doc_info/25112951/1/0", "VTMF-20002126")</f>
        <v>VTMF-20002126</v>
      </c>
      <c r="G345" s="3" t="inlineStr">
        <is>
          <t/>
        </is>
      </c>
      <c r="H345" s="3" t="inlineStr">
        <is>
          <t>Anthony Suarez (veeva.com)</t>
        </is>
      </c>
      <c r="I345" s="3" t="inlineStr">
        <is>
          <t>Justin Kuliszewski</t>
        </is>
      </c>
      <c r="J345" s="4" t="n">
        <v>45236.6355787037</v>
      </c>
      <c r="K345" s="5" t="n">
        <v>45236.0</v>
      </c>
      <c r="L345" s="5" t="n">
        <v>45236.0</v>
      </c>
      <c r="M345" s="3" t="inlineStr">
        <is>
          <t>Approved</t>
        </is>
      </c>
      <c r="N345" s="3" t="inlineStr">
        <is>
          <t>Study Start</t>
        </is>
      </c>
      <c r="O345" s="3" t="inlineStr">
        <is>
          <t>42847922MDD3003</t>
        </is>
      </c>
    </row>
    <row r="346">
      <c r="A346" s="2" t="str">
        <f>HYPERLINK("https://vtmf.veevavault.com/ui/#doc_info/25960155/1/0", "42847922MDD3003---Investigational Material Packaging Agreement (v1.0)")</f>
        <v>42847922MDD3003---Investigational Material Packaging Agreement (v1.0)</v>
      </c>
      <c r="B346" s="3" t="inlineStr">
        <is>
          <t>Regulatory</t>
        </is>
      </c>
      <c r="C346" s="3" t="inlineStr">
        <is>
          <t>Trial Approval</t>
        </is>
      </c>
      <c r="D346" s="3" t="inlineStr">
        <is>
          <t>Investigational Material Packaging Agreement (IMPA)</t>
        </is>
      </c>
      <c r="E346" s="3" t="inlineStr">
        <is>
          <t>V#3</t>
        </is>
      </c>
      <c r="F346" s="2" t="str">
        <f>HYPERLINK("https://vtmf.veevavault.com/ui/#doc_info/25960155/1/0", "VTMF-20744600")</f>
        <v>VTMF-20744600</v>
      </c>
      <c r="G346" s="3" t="inlineStr">
        <is>
          <t/>
        </is>
      </c>
      <c r="H346" s="3" t="inlineStr">
        <is>
          <t>Anthony Suarez (veeva.com)</t>
        </is>
      </c>
      <c r="I346" s="3" t="inlineStr">
        <is>
          <t>Kim Van Peer</t>
        </is>
      </c>
      <c r="J346" s="4" t="n">
        <v>45371.35508101852</v>
      </c>
      <c r="K346" s="5" t="n">
        <v>45371.0</v>
      </c>
      <c r="L346" s="5" t="n">
        <v>45370.0</v>
      </c>
      <c r="M346" s="3" t="inlineStr">
        <is>
          <t>Approved</t>
        </is>
      </c>
      <c r="N346" s="3" t="inlineStr">
        <is>
          <t>Study Start</t>
        </is>
      </c>
      <c r="O346" s="3" t="inlineStr">
        <is>
          <t>42847922MDD3003</t>
        </is>
      </c>
    </row>
    <row r="347">
      <c r="A347" s="2" t="str">
        <f>HYPERLINK("https://vtmf.veevavault.com/ui/#doc_info/28631740/1/0", "42847922MDD3003---Investigational Material Packaging Agreement (v1.0)")</f>
        <v>42847922MDD3003---Investigational Material Packaging Agreement (v1.0)</v>
      </c>
      <c r="B347" s="3" t="inlineStr">
        <is>
          <t>Regulatory</t>
        </is>
      </c>
      <c r="C347" s="3" t="inlineStr">
        <is>
          <t>Trial Approval</t>
        </is>
      </c>
      <c r="D347" s="3" t="inlineStr">
        <is>
          <t>Investigational Material Packaging Agreement (IMPA)</t>
        </is>
      </c>
      <c r="E347" s="3" t="inlineStr">
        <is>
          <t>V#4</t>
        </is>
      </c>
      <c r="F347" s="2" t="str">
        <f>HYPERLINK("https://vtmf.veevavault.com/ui/#doc_info/28631740/1/0", "VTMF-22998028")</f>
        <v>VTMF-22998028</v>
      </c>
      <c r="G347" s="3" t="inlineStr">
        <is>
          <t/>
        </is>
      </c>
      <c r="H347" s="3" t="inlineStr">
        <is>
          <t>Anthony Suarez (veeva.com)</t>
        </is>
      </c>
      <c r="I347" s="3" t="inlineStr">
        <is>
          <t>Maja Matyszewska</t>
        </is>
      </c>
      <c r="J347" s="4" t="n">
        <v>45726.30849537037</v>
      </c>
      <c r="K347" s="5" t="n">
        <v>45726.0</v>
      </c>
      <c r="L347" s="5" t="n">
        <v>45723.0</v>
      </c>
      <c r="M347" s="3" t="inlineStr">
        <is>
          <t>Approved</t>
        </is>
      </c>
      <c r="N347" s="3" t="inlineStr">
        <is>
          <t>Study Start</t>
        </is>
      </c>
      <c r="O347" s="3" t="inlineStr">
        <is>
          <t>42847922MDD3003</t>
        </is>
      </c>
    </row>
    <row r="348">
      <c r="A348" s="2" t="str">
        <f>HYPERLINK("https://vtmf.veevavault.com/ui/#doc_info/31101568/1/0", "42847922MDD3003---Investigational Material Packaging Agreement (v1.0)")</f>
        <v>42847922MDD3003---Investigational Material Packaging Agreement (v1.0)</v>
      </c>
      <c r="B348" s="3" t="inlineStr">
        <is>
          <t>Regulatory</t>
        </is>
      </c>
      <c r="C348" s="3" t="inlineStr">
        <is>
          <t>Trial Approval</t>
        </is>
      </c>
      <c r="D348" s="3" t="inlineStr">
        <is>
          <t>Investigational Material Packaging Agreement (IMPA)</t>
        </is>
      </c>
      <c r="E348" s="3" t="inlineStr">
        <is>
          <t>V#5</t>
        </is>
      </c>
      <c r="F348" s="2" t="str">
        <f>HYPERLINK("https://vtmf.veevavault.com/ui/#doc_info/31101568/1/0", "VTMF-25075121")</f>
        <v>VTMF-25075121</v>
      </c>
      <c r="G348" s="3" t="inlineStr">
        <is>
          <t/>
        </is>
      </c>
      <c r="H348" s="3" t="inlineStr">
        <is>
          <t>Anthony Suarez (veeva.com)</t>
        </is>
      </c>
      <c r="I348" s="3" t="inlineStr">
        <is>
          <t>Kyara Vanderhoven</t>
        </is>
      </c>
      <c r="J348" s="4" t="n">
        <v>46084.40837962963</v>
      </c>
      <c r="K348" s="5" t="n">
        <v>46084.0</v>
      </c>
      <c r="L348" s="5" t="n">
        <v>46080.0</v>
      </c>
      <c r="M348" s="3" t="inlineStr">
        <is>
          <t>Approved</t>
        </is>
      </c>
      <c r="N348" s="3" t="inlineStr">
        <is>
          <t>Study Start</t>
        </is>
      </c>
      <c r="O348" s="3" t="inlineStr">
        <is>
          <t>42847922MDD3003</t>
        </is>
      </c>
    </row>
    <row r="349">
      <c r="A349" s="2" t="str">
        <f>HYPERLINK("https://vtmf.veevavault.com/ui/#doc_info/31489296/1/0", "42847922MDD3003---Investigational Material Packaging Agreement (v1.0)")</f>
        <v>42847922MDD3003---Investigational Material Packaging Agreement (v1.0)</v>
      </c>
      <c r="B349" s="3" t="inlineStr">
        <is>
          <t>Regulatory</t>
        </is>
      </c>
      <c r="C349" s="3" t="inlineStr">
        <is>
          <t>Trial Approval</t>
        </is>
      </c>
      <c r="D349" s="3" t="inlineStr">
        <is>
          <t>Investigational Material Packaging Agreement (IMPA)</t>
        </is>
      </c>
      <c r="E349" s="3" t="inlineStr">
        <is>
          <t>V#6</t>
        </is>
      </c>
      <c r="F349" s="2" t="str">
        <f>HYPERLINK("https://vtmf.veevavault.com/ui/#doc_info/31489296/1/0", "VTMF-25410114")</f>
        <v>VTMF-25410114</v>
      </c>
      <c r="G349" s="3" t="inlineStr">
        <is>
          <t/>
        </is>
      </c>
      <c r="H349" s="3" t="inlineStr">
        <is>
          <t>System</t>
        </is>
      </c>
      <c r="I349" s="3" t="inlineStr">
        <is>
          <t>Kyara Vanderhoven</t>
        </is>
      </c>
      <c r="J349" s="4" t="n">
        <v>46132.53872685185</v>
      </c>
      <c r="K349" s="5" t="n">
        <v>46132.0</v>
      </c>
      <c r="L349" s="5" t="n">
        <v>46125.0</v>
      </c>
      <c r="M349" s="3" t="inlineStr">
        <is>
          <t>Approved</t>
        </is>
      </c>
      <c r="N349" s="3" t="inlineStr">
        <is>
          <t>Study Start</t>
        </is>
      </c>
      <c r="O349" s="3" t="inlineStr">
        <is>
          <t>42847922MDD3003</t>
        </is>
      </c>
    </row>
    <row r="350">
      <c r="A350" s="2" t="str">
        <f>HYPERLINK("https://vtmf.veevavault.com/ui/#doc_info/28094516/1/0", "42847922MDD3003---Investigator Newsletter-10 Jan 2025- (v1.0)")</f>
        <v>42847922MDD3003---Investigator Newsletter-10 Jan 2025- (v1.0)</v>
      </c>
      <c r="B350" s="3" t="inlineStr">
        <is>
          <t>Trial Management</t>
        </is>
      </c>
      <c r="C350" s="3" t="inlineStr">
        <is>
          <t>Trial Oversight</t>
        </is>
      </c>
      <c r="D350" s="3" t="inlineStr">
        <is>
          <t>Investigator Newsletter</t>
        </is>
      </c>
      <c r="E350" s="3" t="inlineStr">
        <is>
          <t>42847922MDD3003 OARS-7_ Useful Information Related to MGH-CTNI Screen Failure Reasons.</t>
        </is>
      </c>
      <c r="F350" s="2" t="str">
        <f>HYPERLINK("https://vtmf.veevavault.com/ui/#doc_info/28094516/1/0", "VTMF-22530701")</f>
        <v>VTMF-22530701</v>
      </c>
      <c r="G350" s="3" t="inlineStr">
        <is>
          <t/>
        </is>
      </c>
      <c r="H350" s="3" t="inlineStr">
        <is>
          <t>Anthony Suarez (veeva.com)</t>
        </is>
      </c>
      <c r="I350" s="3" t="inlineStr">
        <is>
          <t>Gina Stefanelli</t>
        </is>
      </c>
      <c r="J350" s="4" t="n">
        <v>45673.73606481482</v>
      </c>
      <c r="K350" s="5" t="n">
        <v>45673.0</v>
      </c>
      <c r="L350" s="5" t="n">
        <v>45667.0</v>
      </c>
      <c r="M350" s="3" t="inlineStr">
        <is>
          <t>Approved</t>
        </is>
      </c>
      <c r="N350" s="3" t="inlineStr">
        <is>
          <t>Not associated to a milestone</t>
        </is>
      </c>
      <c r="O350" s="3" t="inlineStr">
        <is>
          <t>42847922MDD3003</t>
        </is>
      </c>
    </row>
    <row r="351">
      <c r="A351" s="2" t="str">
        <f>HYPERLINK("https://vtmf.veevavault.com/ui/#doc_info/30595597/1/0", "42847922MDD3003---Investigator Newsletter-12 Dec 2025- (v1.0)")</f>
        <v>42847922MDD3003---Investigator Newsletter-12 Dec 2025- (v1.0)</v>
      </c>
      <c r="B351" s="3" t="inlineStr">
        <is>
          <t>Trial Management</t>
        </is>
      </c>
      <c r="C351" s="3" t="inlineStr">
        <is>
          <t>Trial Oversight</t>
        </is>
      </c>
      <c r="D351" s="3" t="inlineStr">
        <is>
          <t>Investigator Newsletter</t>
        </is>
      </c>
      <c r="E351" s="3" t="inlineStr">
        <is>
          <t>42847922MDD3003 _ Investigator Newsletter, 6th edition</t>
        </is>
      </c>
      <c r="F351" s="2" t="str">
        <f>HYPERLINK("https://vtmf.veevavault.com/ui/#doc_info/30595597/1/0", "VTMF-24652284")</f>
        <v>VTMF-24652284</v>
      </c>
      <c r="G351" s="3" t="inlineStr">
        <is>
          <t/>
        </is>
      </c>
      <c r="H351" s="3" t="inlineStr">
        <is>
          <t>System</t>
        </is>
      </c>
      <c r="I351" s="3" t="inlineStr">
        <is>
          <t>Arlean Worthy</t>
        </is>
      </c>
      <c r="J351" s="4" t="n">
        <v>46003.71042824074</v>
      </c>
      <c r="K351" s="5" t="n">
        <v>46003.0</v>
      </c>
      <c r="L351" s="5" t="n">
        <v>46003.0</v>
      </c>
      <c r="M351" s="3" t="inlineStr">
        <is>
          <t>Approved</t>
        </is>
      </c>
      <c r="N351" s="3" t="inlineStr">
        <is>
          <t>Not associated to a milestone</t>
        </is>
      </c>
      <c r="O351" s="3" t="inlineStr">
        <is>
          <t>42847922MDD3003</t>
        </is>
      </c>
    </row>
    <row r="352">
      <c r="A352" s="2" t="str">
        <f>HYPERLINK("https://vtmf.veevavault.com/ui/#doc_info/31182430/1/0", "42847922MDD3003---Investigator Newsletter-12 Mar 2026- (v1.0)")</f>
        <v>42847922MDD3003---Investigator Newsletter-12 Mar 2026- (v1.0)</v>
      </c>
      <c r="B352" s="3" t="inlineStr">
        <is>
          <t>Trial Management</t>
        </is>
      </c>
      <c r="C352" s="3" t="inlineStr">
        <is>
          <t>Trial Oversight</t>
        </is>
      </c>
      <c r="D352" s="3" t="inlineStr">
        <is>
          <t>Investigator Newsletter</t>
        </is>
      </c>
      <c r="E352" s="3" t="inlineStr">
        <is>
          <t>Investigator Newsletter Edition 7</t>
        </is>
      </c>
      <c r="F352" s="2" t="str">
        <f>HYPERLINK("https://vtmf.veevavault.com/ui/#doc_info/31182430/1/0", "VTMF-25143428")</f>
        <v>VTMF-25143428</v>
      </c>
      <c r="G352" s="3" t="inlineStr">
        <is>
          <t/>
        </is>
      </c>
      <c r="H352" s="3" t="inlineStr">
        <is>
          <t>System</t>
        </is>
      </c>
      <c r="I352" s="3" t="inlineStr">
        <is>
          <t>Kristina Ruzinska</t>
        </is>
      </c>
      <c r="J352" s="4" t="n">
        <v>46094.743472222224</v>
      </c>
      <c r="K352" s="5" t="n">
        <v>46094.0</v>
      </c>
      <c r="L352" s="5" t="n">
        <v>46093.0</v>
      </c>
      <c r="M352" s="3" t="inlineStr">
        <is>
          <t>Approved</t>
        </is>
      </c>
      <c r="N352" s="3" t="inlineStr">
        <is>
          <t>Not associated to a milestone</t>
        </is>
      </c>
      <c r="O352" s="3" t="inlineStr">
        <is>
          <t>42847922MDD3003</t>
        </is>
      </c>
    </row>
    <row r="353">
      <c r="A353" s="2" t="str">
        <f>HYPERLINK("https://vtmf.veevavault.com/ui/#doc_info/27914568/1/0", "42847922MDD3003---Investigator Newsletter-13 Dec 2024- (v1.0)")</f>
        <v>42847922MDD3003---Investigator Newsletter-13 Dec 2024- (v1.0)</v>
      </c>
      <c r="B353" s="3" t="inlineStr">
        <is>
          <t>Trial Management</t>
        </is>
      </c>
      <c r="C353" s="3" t="inlineStr">
        <is>
          <t>Trial Oversight</t>
        </is>
      </c>
      <c r="D353" s="3" t="inlineStr">
        <is>
          <t>Investigator Newsletter</t>
        </is>
      </c>
      <c r="E353" s="3" t="inlineStr">
        <is>
          <t>42847922MDD3003_Newsletter_version 2_final_13December 2024.</t>
        </is>
      </c>
      <c r="F353" s="2" t="str">
        <f>HYPERLINK("https://vtmf.veevavault.com/ui/#doc_info/27914568/1/0", "VTMF-22380998")</f>
        <v>VTMF-22380998</v>
      </c>
      <c r="G353" s="3" t="inlineStr">
        <is>
          <t/>
        </is>
      </c>
      <c r="H353" s="3" t="inlineStr">
        <is>
          <t>Anthony Suarez (veeva.com)</t>
        </is>
      </c>
      <c r="I353" s="3" t="inlineStr">
        <is>
          <t>Gina Stefanelli</t>
        </is>
      </c>
      <c r="J353" s="4" t="n">
        <v>45642.62212962963</v>
      </c>
      <c r="K353" s="5" t="n">
        <v>45642.0</v>
      </c>
      <c r="L353" s="5" t="n">
        <v>45639.0</v>
      </c>
      <c r="M353" s="3" t="inlineStr">
        <is>
          <t>Approved</t>
        </is>
      </c>
      <c r="N353" s="3" t="inlineStr">
        <is>
          <t>Not associated to a milestone</t>
        </is>
      </c>
      <c r="O353" s="3" t="inlineStr">
        <is>
          <t>42847922MDD3003</t>
        </is>
      </c>
    </row>
    <row r="354">
      <c r="A354" s="2" t="str">
        <f>HYPERLINK("https://vtmf.veevavault.com/ui/#doc_info/28091812/1/0", "42847922MDD3003---Investigator Newsletter-15 Jan 2025- (v1.0)")</f>
        <v>42847922MDD3003---Investigator Newsletter-15 Jan 2025- (v1.0)</v>
      </c>
      <c r="B354" s="3" t="inlineStr">
        <is>
          <t>Trial Management</t>
        </is>
      </c>
      <c r="C354" s="3" t="inlineStr">
        <is>
          <t>Trial Oversight</t>
        </is>
      </c>
      <c r="D354" s="3" t="inlineStr">
        <is>
          <t>Investigator Newsletter</t>
        </is>
      </c>
      <c r="E354" s="3" t="inlineStr">
        <is>
          <t>42847922MDD3003_US Email Blast 15Jan2025 Final</t>
        </is>
      </c>
      <c r="F354" s="2" t="str">
        <f>HYPERLINK("https://vtmf.veevavault.com/ui/#doc_info/28091812/1/0", "VTMF-22528950")</f>
        <v>VTMF-22528950</v>
      </c>
      <c r="G354" s="3" t="inlineStr">
        <is>
          <t/>
        </is>
      </c>
      <c r="H354" s="3" t="inlineStr">
        <is>
          <t>Anthony Suarez (veeva.com)</t>
        </is>
      </c>
      <c r="I354" s="3" t="inlineStr">
        <is>
          <t>Gina Stefanelli</t>
        </is>
      </c>
      <c r="J354" s="4" t="n">
        <v>45673.60821759259</v>
      </c>
      <c r="K354" s="5" t="n">
        <v>45673.0</v>
      </c>
      <c r="L354" s="5" t="n">
        <v>45672.0</v>
      </c>
      <c r="M354" s="3" t="inlineStr">
        <is>
          <t>Approved</t>
        </is>
      </c>
      <c r="N354" s="3" t="inlineStr">
        <is>
          <t>Not associated to a milestone</t>
        </is>
      </c>
      <c r="O354" s="3" t="inlineStr">
        <is>
          <t>42847922MDD3003</t>
        </is>
      </c>
    </row>
    <row r="355">
      <c r="A355" s="2" t="str">
        <f>HYPERLINK("https://vtmf.veevavault.com/ui/#doc_info/27327410/1/0", "42847922MDD3003---Investigator Newsletter-24 Oct 2024- (v1.0)")</f>
        <v>42847922MDD3003---Investigator Newsletter-24 Oct 2024- (v1.0)</v>
      </c>
      <c r="B355" s="3" t="inlineStr">
        <is>
          <t>Trial Management</t>
        </is>
      </c>
      <c r="C355" s="3" t="inlineStr">
        <is>
          <t>Trial Oversight</t>
        </is>
      </c>
      <c r="D355" s="3" t="inlineStr">
        <is>
          <t>Investigator Newsletter</t>
        </is>
      </c>
      <c r="E355" s="3" t="inlineStr">
        <is>
          <t>42847922MDD3003_Investigator Newsletter_Edition 1_24Oct24</t>
        </is>
      </c>
      <c r="F355" s="2" t="str">
        <f>HYPERLINK("https://vtmf.veevavault.com/ui/#doc_info/27327410/1/0", "VTMF-21920094")</f>
        <v>VTMF-21920094</v>
      </c>
      <c r="G355" s="3" t="inlineStr">
        <is>
          <t/>
        </is>
      </c>
      <c r="H355" s="3" t="inlineStr">
        <is>
          <t>Anthony Suarez (veeva.com)</t>
        </is>
      </c>
      <c r="I355" s="3" t="inlineStr">
        <is>
          <t>Kristina Ruzinska</t>
        </is>
      </c>
      <c r="J355" s="4" t="n">
        <v>45589.55681712963</v>
      </c>
      <c r="K355" s="5" t="n">
        <v>45589.0</v>
      </c>
      <c r="L355" s="5" t="n">
        <v>45589.0</v>
      </c>
      <c r="M355" s="3" t="inlineStr">
        <is>
          <t>Approved</t>
        </is>
      </c>
      <c r="N355" s="3" t="inlineStr">
        <is>
          <t>Not associated to a milestone</t>
        </is>
      </c>
      <c r="O355" s="3" t="inlineStr">
        <is>
          <t>42847922MDD3003</t>
        </is>
      </c>
    </row>
    <row r="356">
      <c r="A356" s="2" t="str">
        <f>HYPERLINK("https://vtmf.veevavault.com/ui/#doc_info/29438951/1/0", "42847922MDD3003---Investigator Newsletter-25 Jun 2025- (v1.0)")</f>
        <v>42847922MDD3003---Investigator Newsletter-25 Jun 2025- (v1.0)</v>
      </c>
      <c r="B356" s="3" t="inlineStr">
        <is>
          <t>Trial Management</t>
        </is>
      </c>
      <c r="C356" s="3" t="inlineStr">
        <is>
          <t>Trial Oversight</t>
        </is>
      </c>
      <c r="D356" s="3" t="inlineStr">
        <is>
          <t>Investigator Newsletter</t>
        </is>
      </c>
      <c r="E356" s="3" t="inlineStr">
        <is>
          <t>Investigator Newsletter Edition 4</t>
        </is>
      </c>
      <c r="F356" s="2" t="str">
        <f>HYPERLINK("https://vtmf.veevavault.com/ui/#doc_info/29438951/1/0", "VTMF-23673167")</f>
        <v>VTMF-23673167</v>
      </c>
      <c r="G356" s="3" t="inlineStr">
        <is>
          <t/>
        </is>
      </c>
      <c r="H356" s="3" t="inlineStr">
        <is>
          <t>System</t>
        </is>
      </c>
      <c r="I356" s="3" t="inlineStr">
        <is>
          <t>Kristina Ruzinska</t>
        </is>
      </c>
      <c r="J356" s="4" t="n">
        <v>45833.66143518518</v>
      </c>
      <c r="K356" s="5" t="n">
        <v>45833.0</v>
      </c>
      <c r="L356" s="5" t="n">
        <v>45833.0</v>
      </c>
      <c r="M356" s="3" t="inlineStr">
        <is>
          <t>Approved</t>
        </is>
      </c>
      <c r="N356" s="3" t="inlineStr">
        <is>
          <t>Not associated to a milestone</t>
        </is>
      </c>
      <c r="O356" s="3" t="inlineStr">
        <is>
          <t>42847922MDD3003</t>
        </is>
      </c>
    </row>
    <row r="357">
      <c r="A357" s="2" t="str">
        <f>HYPERLINK("https://vtmf.veevavault.com/ui/#doc_info/28750686/1/0", "42847922MDD3003---Investigator Newsletter-27 Mar 2025- (v1.0)")</f>
        <v>42847922MDD3003---Investigator Newsletter-27 Mar 2025- (v1.0)</v>
      </c>
      <c r="B357" s="3" t="inlineStr">
        <is>
          <t>Trial Management</t>
        </is>
      </c>
      <c r="C357" s="3" t="inlineStr">
        <is>
          <t>Trial Oversight</t>
        </is>
      </c>
      <c r="D357" s="3" t="inlineStr">
        <is>
          <t>Investigator Newsletter</t>
        </is>
      </c>
      <c r="E357" s="3" t="inlineStr">
        <is>
          <t>42847922MDD3003 Newsletter_version 3_final_27March2025</t>
        </is>
      </c>
      <c r="F357" s="2" t="str">
        <f>HYPERLINK("https://vtmf.veevavault.com/ui/#doc_info/28750686/1/0", "VTMF-23098617")</f>
        <v>VTMF-23098617</v>
      </c>
      <c r="G357" s="3" t="inlineStr">
        <is>
          <t/>
        </is>
      </c>
      <c r="H357" s="3" t="inlineStr">
        <is>
          <t>Anthony Suarez (veeva.com)</t>
        </is>
      </c>
      <c r="I357" s="3" t="inlineStr">
        <is>
          <t>Arlean Worthy</t>
        </is>
      </c>
      <c r="J357" s="4" t="n">
        <v>45743.028912037036</v>
      </c>
      <c r="K357" s="5" t="n">
        <v>45742.0</v>
      </c>
      <c r="L357" s="5" t="n">
        <v>45743.0</v>
      </c>
      <c r="M357" s="3" t="inlineStr">
        <is>
          <t>Approved</t>
        </is>
      </c>
      <c r="N357" s="3" t="inlineStr">
        <is>
          <t>Not associated to a milestone</t>
        </is>
      </c>
      <c r="O357" s="3" t="inlineStr">
        <is>
          <t>42847922MDD3003</t>
        </is>
      </c>
    </row>
    <row r="358">
      <c r="A358" s="2" t="str">
        <f>HYPERLINK("https://vtmf.veevavault.com/ui/#doc_info/30076769/1/0", "42847922MDD3003---Investigator Newsletter-30 Sep 2025- (v1.0)")</f>
        <v>42847922MDD3003---Investigator Newsletter-30 Sep 2025- (v1.0)</v>
      </c>
      <c r="B358" s="3" t="inlineStr">
        <is>
          <t>Trial Management</t>
        </is>
      </c>
      <c r="C358" s="3" t="inlineStr">
        <is>
          <t>Trial Oversight</t>
        </is>
      </c>
      <c r="D358" s="3" t="inlineStr">
        <is>
          <t>Investigator Newsletter</t>
        </is>
      </c>
      <c r="E358" s="3" t="inlineStr">
        <is>
          <t>42847922MDD3003 _ Investigator Newsletter 5th edition</t>
        </is>
      </c>
      <c r="F358" s="2" t="str">
        <f>HYPERLINK("https://vtmf.veevavault.com/ui/#doc_info/30076769/1/0", "VTMF-24209474")</f>
        <v>VTMF-24209474</v>
      </c>
      <c r="G358" s="3" t="inlineStr">
        <is>
          <t/>
        </is>
      </c>
      <c r="H358" s="3" t="inlineStr">
        <is>
          <t>System</t>
        </is>
      </c>
      <c r="I358" s="3" t="inlineStr">
        <is>
          <t>Arlean Worthy</t>
        </is>
      </c>
      <c r="J358" s="4" t="n">
        <v>45931.76149305556</v>
      </c>
      <c r="K358" s="5" t="n">
        <v>45931.0</v>
      </c>
      <c r="L358" s="5" t="n">
        <v>45930.0</v>
      </c>
      <c r="M358" s="3" t="inlineStr">
        <is>
          <t>Approved</t>
        </is>
      </c>
      <c r="N358" s="3" t="inlineStr">
        <is>
          <t>Not associated to a milestone</t>
        </is>
      </c>
      <c r="O358" s="3" t="inlineStr">
        <is>
          <t>42847922MDD3003</t>
        </is>
      </c>
    </row>
    <row r="359">
      <c r="A359" s="2" t="str">
        <f>HYPERLINK("https://vtmf.veevavault.com/ui/#doc_info/26955123/1/0", "42847922MDD3003---Investigator Regulatory Agreement-12 Aug 2024 (v1.0)")</f>
        <v>42847922MDD3003---Investigator Regulatory Agreement-12 Aug 2024 (v1.0)</v>
      </c>
      <c r="B359" s="3" t="inlineStr">
        <is>
          <t>Site Management</t>
        </is>
      </c>
      <c r="C359" s="3" t="inlineStr">
        <is>
          <t>Site Set-up Documentation</t>
        </is>
      </c>
      <c r="D359" s="3" t="inlineStr">
        <is>
          <t>Investigator Regulatory Agreement</t>
        </is>
      </c>
      <c r="E359" s="3" t="inlineStr">
        <is>
          <t>42847922MDD3003_Investigator-commitment letter to be signed by OUS sites; 12Aug2024</t>
        </is>
      </c>
      <c r="F359" s="2" t="str">
        <f>HYPERLINK("https://vtmf.veevavault.com/ui/#doc_info/26955123/1/0", "VTMF-21608685")</f>
        <v>VTMF-21608685</v>
      </c>
      <c r="G359" s="3" t="inlineStr">
        <is>
          <t/>
        </is>
      </c>
      <c r="H359" s="3" t="inlineStr">
        <is>
          <t>Anthony Suarez (veeva.com)</t>
        </is>
      </c>
      <c r="I359" s="3" t="inlineStr">
        <is>
          <t>Arlean Worthy</t>
        </is>
      </c>
      <c r="J359" s="4" t="n">
        <v>45530.996041666665</v>
      </c>
      <c r="K359" s="5" t="n">
        <v>45530.0</v>
      </c>
      <c r="L359" s="5" t="n">
        <v>45516.0</v>
      </c>
      <c r="M359" s="3" t="inlineStr">
        <is>
          <t>Approved</t>
        </is>
      </c>
      <c r="N359" s="3" t="inlineStr">
        <is>
          <t>Available for Distribution, Site Start</t>
        </is>
      </c>
      <c r="O359" s="3" t="inlineStr">
        <is>
          <t>42847922MDD3003</t>
        </is>
      </c>
    </row>
    <row r="360">
      <c r="A360" s="2" t="str">
        <f>HYPERLINK("https://vtmf.veevavault.com/ui/#doc_info/28945193/1/0", "42847922MDD3003---Investigators Meeting Material-03 Apr 2025- (v1.0)")</f>
        <v>42847922MDD3003---Investigators Meeting Material-03 Apr 2025- (v1.0)</v>
      </c>
      <c r="B360" s="3" t="inlineStr">
        <is>
          <t>Trial Management</t>
        </is>
      </c>
      <c r="C360" s="3" t="inlineStr">
        <is>
          <t>Meetings</t>
        </is>
      </c>
      <c r="D360" s="3" t="inlineStr">
        <is>
          <t>Investigators Meeting Material</t>
        </is>
      </c>
      <c r="E360" s="3" t="inlineStr">
        <is>
          <t>42847922MDD3003 Critical Aspects of the Protocol _Refresher Training_ Attendance Report 3 April 2025 final.pptx</t>
        </is>
      </c>
      <c r="F360" s="2" t="str">
        <f>HYPERLINK("https://vtmf.veevavault.com/ui/#doc_info/28945193/1/0", "VTMF-23260393")</f>
        <v>VTMF-23260393</v>
      </c>
      <c r="G360" s="3" t="inlineStr">
        <is>
          <t/>
        </is>
      </c>
      <c r="H360" s="3" t="inlineStr">
        <is>
          <t>Anthony Suarez (veeva.com)</t>
        </is>
      </c>
      <c r="I360" s="3" t="inlineStr">
        <is>
          <t>Arlean Worthy</t>
        </is>
      </c>
      <c r="J360" s="4" t="n">
        <v>45770.15740740741</v>
      </c>
      <c r="K360" s="5" t="n">
        <v>45769.0</v>
      </c>
      <c r="L360" s="5" t="n">
        <v>45750.0</v>
      </c>
      <c r="M360" s="3" t="inlineStr">
        <is>
          <t>Approved</t>
        </is>
      </c>
      <c r="N360" s="3" t="inlineStr">
        <is>
          <t>Available for Distribution, Study Start</t>
        </is>
      </c>
      <c r="O360" s="3" t="inlineStr">
        <is>
          <t>42847922MDD3003</t>
        </is>
      </c>
    </row>
    <row r="361">
      <c r="A361" s="2" t="str">
        <f>HYPERLINK("https://vtmf.veevavault.com/ui/#doc_info/28960366/1/0", "42847922MDD3003---Investigators Meeting Material-03 Apr 2025- (v1.0)")</f>
        <v>42847922MDD3003---Investigators Meeting Material-03 Apr 2025- (v1.0)</v>
      </c>
      <c r="B361" s="3" t="inlineStr">
        <is>
          <t>Trial Management</t>
        </is>
      </c>
      <c r="C361" s="3" t="inlineStr">
        <is>
          <t>Meetings</t>
        </is>
      </c>
      <c r="D361" s="3" t="inlineStr">
        <is>
          <t>Investigators Meeting Material</t>
        </is>
      </c>
      <c r="E361" s="3" t="inlineStr">
        <is>
          <t>42847922MDD3003 Critical Aspects of the Protocol _Refresher Training 3 April 2025 final.pptx</t>
        </is>
      </c>
      <c r="F361" s="2" t="str">
        <f>HYPERLINK("https://vtmf.veevavault.com/ui/#doc_info/28960366/1/0", "VTMF-23273310")</f>
        <v>VTMF-23273310</v>
      </c>
      <c r="G361" s="3" t="inlineStr">
        <is>
          <t/>
        </is>
      </c>
      <c r="H361" s="3" t="inlineStr">
        <is>
          <t>Anthony Suarez (veeva.com)</t>
        </is>
      </c>
      <c r="I361" s="3" t="inlineStr">
        <is>
          <t>Arlean Worthy</t>
        </is>
      </c>
      <c r="J361" s="4" t="n">
        <v>45771.64778935185</v>
      </c>
      <c r="K361" s="5" t="n">
        <v>45771.0</v>
      </c>
      <c r="L361" s="5" t="n">
        <v>45750.0</v>
      </c>
      <c r="M361" s="3" t="inlineStr">
        <is>
          <t>Approved</t>
        </is>
      </c>
      <c r="N361" s="3" t="inlineStr">
        <is>
          <t>Available for Distribution, Study Start</t>
        </is>
      </c>
      <c r="O361" s="3" t="inlineStr">
        <is>
          <t>42847922MDD3003</t>
        </is>
      </c>
    </row>
    <row r="362">
      <c r="A362" s="2" t="str">
        <f>HYPERLINK("https://vtmf.veevavault.com/ui/#doc_info/27468131/1/0", "42847922MDD3003---Investigators Meeting Material-05 Nov 2024- (v1.0)")</f>
        <v>42847922MDD3003---Investigators Meeting Material-05 Nov 2024- (v1.0)</v>
      </c>
      <c r="B362" s="3" t="inlineStr">
        <is>
          <t>Trial Management</t>
        </is>
      </c>
      <c r="C362" s="3" t="inlineStr">
        <is>
          <t>Meetings</t>
        </is>
      </c>
      <c r="D362" s="3" t="inlineStr">
        <is>
          <t>Investigators Meeting Material</t>
        </is>
      </c>
      <c r="E362" s="3" t="inlineStr">
        <is>
          <t>42847922MDD3003 protocol training for Turkey VIM 05Nov24</t>
        </is>
      </c>
      <c r="F362" s="2" t="str">
        <f>HYPERLINK("https://vtmf.veevavault.com/ui/#doc_info/27468131/1/0", "VTMF-22029684")</f>
        <v>VTMF-22029684</v>
      </c>
      <c r="G362" s="3" t="inlineStr">
        <is>
          <t/>
        </is>
      </c>
      <c r="H362" s="3" t="inlineStr">
        <is>
          <t>Anthony Suarez (veeva.com)</t>
        </is>
      </c>
      <c r="I362" s="3" t="inlineStr">
        <is>
          <t>Gina Stefanelli</t>
        </is>
      </c>
      <c r="J362" s="4" t="n">
        <v>45608.59630787037</v>
      </c>
      <c r="K362" s="5" t="n">
        <v>45608.0</v>
      </c>
      <c r="L362" s="5" t="n">
        <v>45601.0</v>
      </c>
      <c r="M362" s="3" t="inlineStr">
        <is>
          <t>Approved</t>
        </is>
      </c>
      <c r="N362" s="3" t="inlineStr">
        <is>
          <t>Available for Distribution, Study Start</t>
        </is>
      </c>
      <c r="O362" s="3" t="inlineStr">
        <is>
          <t>42847922MDD3003</t>
        </is>
      </c>
    </row>
    <row r="363">
      <c r="A363" s="2" t="str">
        <f>HYPERLINK("https://vtmf.veevavault.com/ui/#doc_info/28839631/1/0", "42847922MDD3003---Investigators Meeting Material-09 Apr 2025- (v1.0)")</f>
        <v>42847922MDD3003---Investigators Meeting Material-09 Apr 2025- (v1.0)</v>
      </c>
      <c r="B363" s="3" t="inlineStr">
        <is>
          <t>Trial Management</t>
        </is>
      </c>
      <c r="C363" s="3" t="inlineStr">
        <is>
          <t>Meetings</t>
        </is>
      </c>
      <c r="D363" s="3" t="inlineStr">
        <is>
          <t>Investigators Meeting Material</t>
        </is>
      </c>
      <c r="E363" s="3" t="inlineStr">
        <is>
          <t>42847922MDD3003_IM LATAM_Recruitment and Retention Workshop_FINAL</t>
        </is>
      </c>
      <c r="F363" s="2" t="str">
        <f>HYPERLINK("https://vtmf.veevavault.com/ui/#doc_info/28839631/1/0", "VTMF-23172523")</f>
        <v>VTMF-23172523</v>
      </c>
      <c r="G363" s="3" t="inlineStr">
        <is>
          <t/>
        </is>
      </c>
      <c r="H363" s="3" t="inlineStr">
        <is>
          <t>System</t>
        </is>
      </c>
      <c r="I363" s="3" t="inlineStr">
        <is>
          <t>Astrid Lenaerts</t>
        </is>
      </c>
      <c r="J363" s="4" t="n">
        <v>45756.37652777778</v>
      </c>
      <c r="K363" s="5" t="n">
        <v>45756.0</v>
      </c>
      <c r="L363" s="5" t="n">
        <v>45756.0</v>
      </c>
      <c r="M363" s="3" t="inlineStr">
        <is>
          <t>Approved</t>
        </is>
      </c>
      <c r="N363" s="3" t="inlineStr">
        <is>
          <t>Available for Distribution, Study Start</t>
        </is>
      </c>
      <c r="O363" s="3" t="inlineStr">
        <is>
          <t>42847922MDD3003</t>
        </is>
      </c>
    </row>
    <row r="364">
      <c r="A364" s="2" t="str">
        <f>HYPERLINK("https://vtmf.veevavault.com/ui/#doc_info/28839635/1/0", "42847922MDD3003---Investigators Meeting Material-09 Apr 2025- (v1.0)")</f>
        <v>42847922MDD3003---Investigators Meeting Material-09 Apr 2025- (v1.0)</v>
      </c>
      <c r="B364" s="3" t="inlineStr">
        <is>
          <t>Trial Management</t>
        </is>
      </c>
      <c r="C364" s="3" t="inlineStr">
        <is>
          <t>Meetings</t>
        </is>
      </c>
      <c r="D364" s="3" t="inlineStr">
        <is>
          <t>Investigators Meeting Material</t>
        </is>
      </c>
      <c r="E364" s="3" t="inlineStr">
        <is>
          <t>42847922MDD3003_IM LATAM_Recruitment Vendors_FINAL</t>
        </is>
      </c>
      <c r="F364" s="2" t="str">
        <f>HYPERLINK("https://vtmf.veevavault.com/ui/#doc_info/28839635/1/0", "VTMF-23172532")</f>
        <v>VTMF-23172532</v>
      </c>
      <c r="G364" s="3" t="inlineStr">
        <is>
          <t/>
        </is>
      </c>
      <c r="H364" s="3" t="inlineStr">
        <is>
          <t>System</t>
        </is>
      </c>
      <c r="I364" s="3" t="inlineStr">
        <is>
          <t>Astrid Lenaerts</t>
        </is>
      </c>
      <c r="J364" s="4" t="n">
        <v>45756.377384259256</v>
      </c>
      <c r="K364" s="5" t="n">
        <v>45756.0</v>
      </c>
      <c r="L364" s="5" t="n">
        <v>45756.0</v>
      </c>
      <c r="M364" s="3" t="inlineStr">
        <is>
          <t>Approved</t>
        </is>
      </c>
      <c r="N364" s="3" t="inlineStr">
        <is>
          <t>Available for Distribution, Study Start</t>
        </is>
      </c>
      <c r="O364" s="3" t="inlineStr">
        <is>
          <t>42847922MDD3003</t>
        </is>
      </c>
    </row>
    <row r="365">
      <c r="A365" s="2" t="str">
        <f>HYPERLINK("https://vtmf.veevavault.com/ui/#doc_info/28861837/1/0", "42847922MDD3003---Investigators Meeting Material-11 Apr 2025- (v1.0)")</f>
        <v>42847922MDD3003---Investigators Meeting Material-11 Apr 2025- (v1.0)</v>
      </c>
      <c r="B365" s="3" t="inlineStr">
        <is>
          <t>Trial Management</t>
        </is>
      </c>
      <c r="C365" s="3" t="inlineStr">
        <is>
          <t>Meetings</t>
        </is>
      </c>
      <c r="D365" s="3" t="inlineStr">
        <is>
          <t>Investigators Meeting Material</t>
        </is>
      </c>
      <c r="E365" s="3" t="inlineStr">
        <is>
          <t>Beacon DREEM Polysomnography IM Overview Video ; 11APR2025</t>
        </is>
      </c>
      <c r="F365" s="2" t="str">
        <f>HYPERLINK("https://vtmf.veevavault.com/ui/#doc_info/28861837/1/0", "VTMF-23191229")</f>
        <v>VTMF-23191229</v>
      </c>
      <c r="G365" s="3" t="inlineStr">
        <is>
          <t/>
        </is>
      </c>
      <c r="H365" s="3" t="inlineStr">
        <is>
          <t>Anthony Suarez (veeva.com)</t>
        </is>
      </c>
      <c r="I365" s="3" t="inlineStr">
        <is>
          <t>Charles Hayes</t>
        </is>
      </c>
      <c r="J365" s="4" t="n">
        <v>45758.67594907407</v>
      </c>
      <c r="K365" s="5" t="n">
        <v>45758.0</v>
      </c>
      <c r="L365" s="5" t="n">
        <v>45758.0</v>
      </c>
      <c r="M365" s="3" t="inlineStr">
        <is>
          <t>Approved</t>
        </is>
      </c>
      <c r="N365" s="3" t="inlineStr">
        <is>
          <t>Available for Distribution, Study Start</t>
        </is>
      </c>
      <c r="O365" s="3" t="inlineStr">
        <is>
          <t>42847922MDD3003</t>
        </is>
      </c>
    </row>
    <row r="366">
      <c r="A366" s="2" t="str">
        <f>HYPERLINK("https://vtmf.veevavault.com/ui/#doc_info/27243380/1/0", "42847922MDD3003---Investigators Meeting Material-11 Oct 2024- (v1.0)")</f>
        <v>42847922MDD3003---Investigators Meeting Material-11 Oct 2024- (v1.0)</v>
      </c>
      <c r="B366" s="3" t="inlineStr">
        <is>
          <t>Trial Management</t>
        </is>
      </c>
      <c r="C366" s="3" t="inlineStr">
        <is>
          <t>Meetings</t>
        </is>
      </c>
      <c r="D366" s="3" t="inlineStr">
        <is>
          <t>Investigators Meeting Material</t>
        </is>
      </c>
      <c r="E366" s="3" t="inlineStr">
        <is>
          <t>67953964MDD3005_67953964MDD3007_2847922MDD3003 _Investigator Meeting Slide Deck - PSE Recruitment and Retention Workshop</t>
        </is>
      </c>
      <c r="F366" s="2" t="str">
        <f>HYPERLINK("https://vtmf.veevavault.com/ui/#doc_info/27243380/1/0", "VTMF-21848058")</f>
        <v>VTMF-21848058</v>
      </c>
      <c r="G366" s="3" t="inlineStr">
        <is>
          <t/>
        </is>
      </c>
      <c r="H366" s="3" t="inlineStr">
        <is>
          <t>Anthony Suarez (veeva.com)</t>
        </is>
      </c>
      <c r="I366" s="3" t="inlineStr">
        <is>
          <t>Katelyn Long</t>
        </is>
      </c>
      <c r="J366" s="4" t="n">
        <v>45576.8603125</v>
      </c>
      <c r="K366" s="5" t="n">
        <v>45588.0</v>
      </c>
      <c r="L366" s="5" t="n">
        <v>45576.0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42847922MDD3003, 67953964MDD3005, 67953964MDD3007</t>
        </is>
      </c>
    </row>
    <row r="367">
      <c r="A367" s="2" t="str">
        <f>HYPERLINK("https://vtmf.veevavault.com/ui/#doc_info/28996957/1/0", "42847922MDD3003---Investigators Meeting Material-15 Apr 2025- (v1.0)")</f>
        <v>42847922MDD3003---Investigators Meeting Material-15 Apr 2025- (v1.0)</v>
      </c>
      <c r="B367" s="3" t="inlineStr">
        <is>
          <t>Trial Management</t>
        </is>
      </c>
      <c r="C367" s="3" t="inlineStr">
        <is>
          <t>Meetings</t>
        </is>
      </c>
      <c r="D367" s="3" t="inlineStr">
        <is>
          <t>Investigators Meeting Material</t>
        </is>
      </c>
      <c r="E367" s="3" t="inlineStr">
        <is>
          <t>42847922MDD3003 Monitors Meeting LATAM vFINAL as presented 15Apr2025 Day 1</t>
        </is>
      </c>
      <c r="F367" s="2" t="str">
        <f>HYPERLINK("https://vtmf.veevavault.com/ui/#doc_info/28996957/1/0", "VTMF-23295232")</f>
        <v>VTMF-23295232</v>
      </c>
      <c r="G367" s="3" t="inlineStr">
        <is>
          <t/>
        </is>
      </c>
      <c r="H367" s="3" t="inlineStr">
        <is>
          <t>Anthony Suarez (veeva.com)</t>
        </is>
      </c>
      <c r="I367" s="3" t="inlineStr">
        <is>
          <t>Arlean Worthy</t>
        </is>
      </c>
      <c r="J367" s="4" t="n">
        <v>45776.18712962963</v>
      </c>
      <c r="K367" s="5" t="n">
        <v>45775.0</v>
      </c>
      <c r="L367" s="5" t="n">
        <v>45762.0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42847922MDD3003</t>
        </is>
      </c>
    </row>
    <row r="368">
      <c r="A368" s="2" t="str">
        <f>HYPERLINK("https://vtmf.veevavault.com/ui/#doc_info/28996964/1/0", "42847922MDD3003---Investigators Meeting Material-15 Apr 2025- (v1.0)")</f>
        <v>42847922MDD3003---Investigators Meeting Material-15 Apr 2025- (v1.0)</v>
      </c>
      <c r="B368" s="3" t="inlineStr">
        <is>
          <t>Trial Management</t>
        </is>
      </c>
      <c r="C368" s="3" t="inlineStr">
        <is>
          <t>Meetings</t>
        </is>
      </c>
      <c r="D368" s="3" t="inlineStr">
        <is>
          <t>Investigators Meeting Material</t>
        </is>
      </c>
      <c r="E368" s="3" t="inlineStr">
        <is>
          <t>42847922MDD3003 Protocol Training LATAM IM vFINAL as presented 15Apr2025.pptx Day 1</t>
        </is>
      </c>
      <c r="F368" s="2" t="str">
        <f>HYPERLINK("https://vtmf.veevavault.com/ui/#doc_info/28996964/1/0", "VTMF-23295250")</f>
        <v>VTMF-23295250</v>
      </c>
      <c r="G368" s="3" t="inlineStr">
        <is>
          <t/>
        </is>
      </c>
      <c r="H368" s="3" t="inlineStr">
        <is>
          <t>Anthony Suarez (veeva.com)</t>
        </is>
      </c>
      <c r="I368" s="3" t="inlineStr">
        <is>
          <t>Arlean Worthy</t>
        </is>
      </c>
      <c r="J368" s="4" t="n">
        <v>45776.193460648145</v>
      </c>
      <c r="K368" s="5" t="n">
        <v>45775.0</v>
      </c>
      <c r="L368" s="5" t="n">
        <v>45762.0</v>
      </c>
      <c r="M368" s="3" t="inlineStr">
        <is>
          <t>Approved</t>
        </is>
      </c>
      <c r="N368" s="3" t="inlineStr">
        <is>
          <t>Available for Distribution, Study Start</t>
        </is>
      </c>
      <c r="O368" s="3" t="inlineStr">
        <is>
          <t>42847922MDD3003</t>
        </is>
      </c>
    </row>
    <row r="369">
      <c r="A369" s="2" t="str">
        <f>HYPERLINK("https://vtmf.veevavault.com/ui/#doc_info/28996973/1/0", "42847922MDD3003---Investigators Meeting Material-16 Apr 2025- (v1.0)")</f>
        <v>42847922MDD3003---Investigators Meeting Material-16 Apr 2025- (v1.0)</v>
      </c>
      <c r="B369" s="3" t="inlineStr">
        <is>
          <t>Trial Management</t>
        </is>
      </c>
      <c r="C369" s="3" t="inlineStr">
        <is>
          <t>Meetings</t>
        </is>
      </c>
      <c r="D369" s="3" t="inlineStr">
        <is>
          <t>Investigators Meeting Material</t>
        </is>
      </c>
      <c r="E369" s="3" t="inlineStr">
        <is>
          <t>42847922MDD3003 Main Session Presentation_Latin America IM vFINAL As presented 16Apr2025.pptx Day 2</t>
        </is>
      </c>
      <c r="F369" s="2" t="str">
        <f>HYPERLINK("https://vtmf.veevavault.com/ui/#doc_info/28996973/1/0", "VTMF-23295270")</f>
        <v>VTMF-23295270</v>
      </c>
      <c r="G369" s="3" t="inlineStr">
        <is>
          <t/>
        </is>
      </c>
      <c r="H369" s="3" t="inlineStr">
        <is>
          <t>Anthony Suarez (veeva.com)</t>
        </is>
      </c>
      <c r="I369" s="3" t="inlineStr">
        <is>
          <t>Arlean Worthy</t>
        </is>
      </c>
      <c r="J369" s="4" t="n">
        <v>45776.19799768519</v>
      </c>
      <c r="K369" s="5" t="n">
        <v>45775.0</v>
      </c>
      <c r="L369" s="5" t="n">
        <v>45763.0</v>
      </c>
      <c r="M369" s="3" t="inlineStr">
        <is>
          <t>Approved</t>
        </is>
      </c>
      <c r="N369" s="3" t="inlineStr">
        <is>
          <t>Available for Distribution, Study Start</t>
        </is>
      </c>
      <c r="O369" s="3" t="inlineStr">
        <is>
          <t>42847922MDD3003</t>
        </is>
      </c>
    </row>
    <row r="370">
      <c r="A370" s="2" t="str">
        <f>HYPERLINK("https://vtmf.veevavault.com/ui/#doc_info/29061862/1/0", "42847922MDD3003---Investigators Meeting Material-16 Apr 2025- (v1.0)")</f>
        <v>42847922MDD3003---Investigators Meeting Material-16 Apr 2025- (v1.0)</v>
      </c>
      <c r="B370" s="3" t="inlineStr">
        <is>
          <t>Trial Management</t>
        </is>
      </c>
      <c r="C370" s="3" t="inlineStr">
        <is>
          <t>Meetings</t>
        </is>
      </c>
      <c r="D370" s="3" t="inlineStr">
        <is>
          <t>Investigators Meeting Material</t>
        </is>
      </c>
      <c r="E370" s="3" t="inlineStr">
        <is>
          <t>Post-Meeting Attendee Survey Results_Johnson &amp; Johnson Mood Program F2F LATAM Investigator Meeting 42847922MDD3003 (OARS 7)_16April 2025</t>
        </is>
      </c>
      <c r="F370" s="2" t="str">
        <f>HYPERLINK("https://vtmf.veevavault.com/ui/#doc_info/29061862/1/0", "VTMF-23351575")</f>
        <v>VTMF-23351575</v>
      </c>
      <c r="G370" s="3" t="inlineStr">
        <is>
          <t/>
        </is>
      </c>
      <c r="H370" s="3" t="inlineStr">
        <is>
          <t>Anthony Suarez (veeva.com)</t>
        </is>
      </c>
      <c r="I370" s="3" t="inlineStr">
        <is>
          <t>Debhora Garcia</t>
        </is>
      </c>
      <c r="J370" s="4" t="n">
        <v>45784.832141203704</v>
      </c>
      <c r="K370" s="5" t="n">
        <v>45784.0</v>
      </c>
      <c r="L370" s="5" t="n">
        <v>45763.0</v>
      </c>
      <c r="M370" s="3" t="inlineStr">
        <is>
          <t>Approved</t>
        </is>
      </c>
      <c r="N370" s="3" t="inlineStr">
        <is>
          <t>Available for Distribution, Study Start</t>
        </is>
      </c>
      <c r="O370" s="3" t="inlineStr">
        <is>
          <t>42847922MDD3003</t>
        </is>
      </c>
    </row>
    <row r="371">
      <c r="A371" s="2" t="str">
        <f>HYPERLINK("https://vtmf.veevavault.com/ui/#doc_info/27388801/1/0", "42847922MDD3003---Investigators Meeting Material-16 Oct 2024- (v1.0)")</f>
        <v>42847922MDD3003---Investigators Meeting Material-16 Oct 2024- (v1.0)</v>
      </c>
      <c r="B371" s="3" t="inlineStr">
        <is>
          <t>Trial Management</t>
        </is>
      </c>
      <c r="C371" s="3" t="inlineStr">
        <is>
          <t>Meetings</t>
        </is>
      </c>
      <c r="D371" s="3" t="inlineStr">
        <is>
          <t>Investigators Meeting Material</t>
        </is>
      </c>
      <c r="E371" s="3" t="inlineStr">
        <is>
          <t>MDD3003_MDD3005_MDD3007_SM meeting slides - FINAL</t>
        </is>
      </c>
      <c r="F371" s="2" t="str">
        <f>HYPERLINK("https://vtmf.veevavault.com/ui/#doc_info/27388801/1/0", "VTMF-21967291")</f>
        <v>VTMF-21967291</v>
      </c>
      <c r="G371" s="3" t="inlineStr">
        <is>
          <t/>
        </is>
      </c>
      <c r="H371" s="3" t="inlineStr">
        <is>
          <t>Anthony Suarez (veeva.com)</t>
        </is>
      </c>
      <c r="I371" s="3" t="inlineStr">
        <is>
          <t>Gina Stefanelli</t>
        </is>
      </c>
      <c r="J371" s="4" t="n">
        <v>45597.78325231482</v>
      </c>
      <c r="K371" s="5" t="n">
        <v>45597.0</v>
      </c>
      <c r="L371" s="5" t="n">
        <v>45581.0</v>
      </c>
      <c r="M371" s="3" t="inlineStr">
        <is>
          <t>Approved</t>
        </is>
      </c>
      <c r="N371" s="3" t="inlineStr">
        <is>
          <t>Available for Distribution, Study Start</t>
        </is>
      </c>
      <c r="O371" s="3" t="inlineStr">
        <is>
          <t>42847922MDD3003, 67953964MDD3005, 67953964MDD3007</t>
        </is>
      </c>
    </row>
    <row r="372">
      <c r="A372" s="2" t="str">
        <f>HYPERLINK("https://vtmf.veevavault.com/ui/#doc_info/27388395/1/0", "42847922MDD3003---Investigators Meeting Material-17 Oct 2024- (v1.0)")</f>
        <v>42847922MDD3003---Investigators Meeting Material-17 Oct 2024- (v1.0)</v>
      </c>
      <c r="B372" s="3" t="inlineStr">
        <is>
          <t>Trial Management</t>
        </is>
      </c>
      <c r="C372" s="3" t="inlineStr">
        <is>
          <t>Meetings</t>
        </is>
      </c>
      <c r="D372" s="3" t="inlineStr">
        <is>
          <t>Investigators Meeting Material</t>
        </is>
      </c>
      <c r="E372" s="3" t="inlineStr">
        <is>
          <t>42847922MDD3003 compound protocol training Oct 2024 - FINAL</t>
        </is>
      </c>
      <c r="F372" s="2" t="str">
        <f>HYPERLINK("https://vtmf.veevavault.com/ui/#doc_info/27388395/1/0", "VTMF-21967079")</f>
        <v>VTMF-21967079</v>
      </c>
      <c r="G372" s="3" t="inlineStr">
        <is>
          <t/>
        </is>
      </c>
      <c r="H372" s="3" t="inlineStr">
        <is>
          <t>Anthony Suarez (veeva.com)</t>
        </is>
      </c>
      <c r="I372" s="3" t="inlineStr">
        <is>
          <t>Gina Stefanelli</t>
        </is>
      </c>
      <c r="J372" s="4" t="n">
        <v>45597.737488425926</v>
      </c>
      <c r="K372" s="5" t="n">
        <v>45597.0</v>
      </c>
      <c r="L372" s="5" t="n">
        <v>45582.0</v>
      </c>
      <c r="M372" s="3" t="inlineStr">
        <is>
          <t>Approved</t>
        </is>
      </c>
      <c r="N372" s="3" t="inlineStr">
        <is>
          <t>Available for Distribution, Study Start</t>
        </is>
      </c>
      <c r="O372" s="3" t="inlineStr">
        <is>
          <t>42847922MDD3003</t>
        </is>
      </c>
    </row>
    <row r="373">
      <c r="A373" s="2" t="str">
        <f>HYPERLINK("https://vtmf.veevavault.com/ui/#doc_info/27388593/1/0", "42847922MDD3003---Investigators Meeting Material-17 Oct 2024- (v1.0)")</f>
        <v>42847922MDD3003---Investigators Meeting Material-17 Oct 2024-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Investigators Meeting Material</t>
        </is>
      </c>
      <c r="E373" s="3" t="inlineStr">
        <is>
          <t>MGH CTNI_FLYNN_17OCT2024_Investigator Meeting - FINAL.</t>
        </is>
      </c>
      <c r="F373" s="2" t="str">
        <f>HYPERLINK("https://vtmf.veevavault.com/ui/#doc_info/27388593/1/0", "VTMF-21967217")</f>
        <v>VTMF-21967217</v>
      </c>
      <c r="G373" s="3" t="inlineStr">
        <is>
          <t/>
        </is>
      </c>
      <c r="H373" s="3" t="inlineStr">
        <is>
          <t>Anthony Suarez (veeva.com)</t>
        </is>
      </c>
      <c r="I373" s="3" t="inlineStr">
        <is>
          <t>Gina Stefanelli</t>
        </is>
      </c>
      <c r="J373" s="4" t="n">
        <v>45597.764710648145</v>
      </c>
      <c r="K373" s="5" t="n">
        <v>45597.0</v>
      </c>
      <c r="L373" s="5" t="n">
        <v>45582.0</v>
      </c>
      <c r="M373" s="3" t="inlineStr">
        <is>
          <t>Approved</t>
        </is>
      </c>
      <c r="N373" s="3" t="inlineStr">
        <is>
          <t>Available for Distribution, Study Start</t>
        </is>
      </c>
      <c r="O373" s="3" t="inlineStr">
        <is>
          <t>42847922MDD3003, 67953964MDD3005, 67953964MDD3007</t>
        </is>
      </c>
    </row>
    <row r="374">
      <c r="A374" s="2" t="str">
        <f>HYPERLINK("https://vtmf.veevavault.com/ui/#doc_info/27388628/1/0", "42847922MDD3003---Investigators Meeting Material-17 Oct 2024- (v1.0)")</f>
        <v>42847922MDD3003---Investigators Meeting Material-17 Oct 2024-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Investigators Meeting Material</t>
        </is>
      </c>
      <c r="E374" s="3" t="inlineStr">
        <is>
          <t>Case studies protocol new added - FINAL.</t>
        </is>
      </c>
      <c r="F374" s="2" t="str">
        <f>HYPERLINK("https://vtmf.veevavault.com/ui/#doc_info/27388628/1/0", "VTMF-21967144")</f>
        <v>VTMF-21967144</v>
      </c>
      <c r="G374" s="3" t="inlineStr">
        <is>
          <t/>
        </is>
      </c>
      <c r="H374" s="3" t="inlineStr">
        <is>
          <t>Anthony Suarez (veeva.com)</t>
        </is>
      </c>
      <c r="I374" s="3" t="inlineStr">
        <is>
          <t>Gina Stefanelli</t>
        </is>
      </c>
      <c r="J374" s="4" t="n">
        <v>45597.74555555556</v>
      </c>
      <c r="K374" s="5" t="n">
        <v>45597.0</v>
      </c>
      <c r="L374" s="5" t="n">
        <v>45582.0</v>
      </c>
      <c r="M374" s="3" t="inlineStr">
        <is>
          <t>Approved</t>
        </is>
      </c>
      <c r="N374" s="3" t="inlineStr">
        <is>
          <t>Available for Distribution, Study Start</t>
        </is>
      </c>
      <c r="O374" s="3" t="inlineStr">
        <is>
          <t>42847922MDD3003, 67953964MDD3005, 67953964MDD3007</t>
        </is>
      </c>
    </row>
    <row r="375">
      <c r="A375" s="2" t="str">
        <f>HYPERLINK("https://vtmf.veevavault.com/ui/#doc_info/27388640/1/0", "42847922MDD3003---Investigators Meeting Material-17 Oct 2024- (v1.0)")</f>
        <v>42847922MDD3003---Investigators Meeting Material-17 Oct 2024- (v1.0)</v>
      </c>
      <c r="B375" s="3" t="inlineStr">
        <is>
          <t>Trial Management</t>
        </is>
      </c>
      <c r="C375" s="3" t="inlineStr">
        <is>
          <t>Meetings</t>
        </is>
      </c>
      <c r="D375" s="3" t="inlineStr">
        <is>
          <t>Investigators Meeting Material</t>
        </is>
      </c>
      <c r="E375" s="3" t="inlineStr">
        <is>
          <t>42847922MDD3003_Trial Specific Topics - FINAL</t>
        </is>
      </c>
      <c r="F375" s="2" t="str">
        <f>HYPERLINK("https://vtmf.veevavault.com/ui/#doc_info/27388640/1/0", "VTMF-21967172")</f>
        <v>VTMF-21967172</v>
      </c>
      <c r="G375" s="3" t="inlineStr">
        <is>
          <t/>
        </is>
      </c>
      <c r="H375" s="3" t="inlineStr">
        <is>
          <t>Anthony Suarez (veeva.com)</t>
        </is>
      </c>
      <c r="I375" s="3" t="inlineStr">
        <is>
          <t>Gina Stefanelli</t>
        </is>
      </c>
      <c r="J375" s="4" t="n">
        <v>45597.753020833334</v>
      </c>
      <c r="K375" s="5" t="n">
        <v>45597.0</v>
      </c>
      <c r="L375" s="5" t="n">
        <v>45582.0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42847922MDD3003</t>
        </is>
      </c>
    </row>
    <row r="376">
      <c r="A376" s="2" t="str">
        <f>HYPERLINK("https://vtmf.veevavault.com/ui/#doc_info/27388643/1/0", "42847922MDD3003---Investigators Meeting Material-17 Oct 2024- (v1.0)")</f>
        <v>42847922MDD3003---Investigators Meeting Material-17 Oct 2024- (v1.0)</v>
      </c>
      <c r="B376" s="3" t="inlineStr">
        <is>
          <t>Trial Management</t>
        </is>
      </c>
      <c r="C376" s="3" t="inlineStr">
        <is>
          <t>Meetings</t>
        </is>
      </c>
      <c r="D376" s="3" t="inlineStr">
        <is>
          <t>Investigators Meeting Material</t>
        </is>
      </c>
      <c r="E376" s="3" t="inlineStr">
        <is>
          <t>Selto MDD3003_Cronos CIRP Presentation - FINAL</t>
        </is>
      </c>
      <c r="F376" s="2" t="str">
        <f>HYPERLINK("https://vtmf.veevavault.com/ui/#doc_info/27388643/1/0", "VTMF-21967176")</f>
        <v>VTMF-21967176</v>
      </c>
      <c r="G376" s="3" t="inlineStr">
        <is>
          <t/>
        </is>
      </c>
      <c r="H376" s="3" t="inlineStr">
        <is>
          <t>Anthony Suarez (veeva.com)</t>
        </is>
      </c>
      <c r="I376" s="3" t="inlineStr">
        <is>
          <t>Gina Stefanelli</t>
        </is>
      </c>
      <c r="J376" s="4" t="n">
        <v>45597.75405092593</v>
      </c>
      <c r="K376" s="5" t="n">
        <v>45597.0</v>
      </c>
      <c r="L376" s="5" t="n">
        <v>45582.0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42847922MDD3003</t>
        </is>
      </c>
    </row>
    <row r="377">
      <c r="A377" s="2" t="str">
        <f>HYPERLINK("https://vtmf.veevavault.com/ui/#doc_info/27388658/1/0", "42847922MDD3003---Investigators Meeting Material-17 Oct 2024- (v1.0)")</f>
        <v>42847922MDD3003---Investigators Meeting Material-17 Oct 2024- (v1.0)</v>
      </c>
      <c r="B377" s="3" t="inlineStr">
        <is>
          <t>Trial Management</t>
        </is>
      </c>
      <c r="C377" s="3" t="inlineStr">
        <is>
          <t>Meetings</t>
        </is>
      </c>
      <c r="D377" s="3" t="inlineStr">
        <is>
          <t>Investigators Meeting Material</t>
        </is>
      </c>
      <c r="E377" s="3" t="inlineStr">
        <is>
          <t>MDD3003_3005_3007 IM Recruitment and Retention Vendor Overview - FINAL</t>
        </is>
      </c>
      <c r="F377" s="2" t="str">
        <f>HYPERLINK("https://vtmf.veevavault.com/ui/#doc_info/27388658/1/0", "VTMF-21967202")</f>
        <v>VTMF-21967202</v>
      </c>
      <c r="G377" s="3" t="inlineStr">
        <is>
          <t/>
        </is>
      </c>
      <c r="H377" s="3" t="inlineStr">
        <is>
          <t>Anthony Suarez (veeva.com)</t>
        </is>
      </c>
      <c r="I377" s="3" t="inlineStr">
        <is>
          <t>Gina Stefanelli</t>
        </is>
      </c>
      <c r="J377" s="4" t="n">
        <v>45597.75959490741</v>
      </c>
      <c r="K377" s="5" t="n">
        <v>45597.0</v>
      </c>
      <c r="L377" s="5" t="n">
        <v>45582.0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42847922MDD3003, 67953964MDD3005, 67953964MDD3007</t>
        </is>
      </c>
    </row>
    <row r="378">
      <c r="A378" s="2" t="str">
        <f>HYPERLINK("https://vtmf.veevavault.com/ui/#doc_info/27388661/1/0", "42847922MDD3003---Investigators Meeting Material-17 Oct 2024- (v1.0)")</f>
        <v>42847922MDD3003---Investigators Meeting Material-17 Oct 2024- (v1.0)</v>
      </c>
      <c r="B378" s="3" t="inlineStr">
        <is>
          <t>Trial Management</t>
        </is>
      </c>
      <c r="C378" s="3" t="inlineStr">
        <is>
          <t>Meetings</t>
        </is>
      </c>
      <c r="D378" s="3" t="inlineStr">
        <is>
          <t>Investigators Meeting Material</t>
        </is>
      </c>
      <c r="E378" s="3" t="inlineStr">
        <is>
          <t>MDD3003_3005_3007 IM Recruitment and Retention Workshop - FINAL</t>
        </is>
      </c>
      <c r="F378" s="2" t="str">
        <f>HYPERLINK("https://vtmf.veevavault.com/ui/#doc_info/27388661/1/0", "VTMF-21967208")</f>
        <v>VTMF-21967208</v>
      </c>
      <c r="G378" s="3" t="inlineStr">
        <is>
          <t/>
        </is>
      </c>
      <c r="H378" s="3" t="inlineStr">
        <is>
          <t>Anthony Suarez (veeva.com)</t>
        </is>
      </c>
      <c r="I378" s="3" t="inlineStr">
        <is>
          <t>Gina Stefanelli</t>
        </is>
      </c>
      <c r="J378" s="4" t="n">
        <v>45597.761875</v>
      </c>
      <c r="K378" s="5" t="n">
        <v>45597.0</v>
      </c>
      <c r="L378" s="5" t="n">
        <v>45582.0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42847922MDD3003, 67953964MDD3005, 67953964MDD3007</t>
        </is>
      </c>
    </row>
    <row r="379">
      <c r="A379" s="2" t="str">
        <f>HYPERLINK("https://vtmf.veevavault.com/ui/#doc_info/27388665/1/0", "42847922MDD3003---Investigators Meeting Material-17 Oct 2024- (v1.0)")</f>
        <v>42847922MDD3003---Investigators Meeting Material-17 Oct 2024- (v1.0)</v>
      </c>
      <c r="B379" s="3" t="inlineStr">
        <is>
          <t>Trial Management</t>
        </is>
      </c>
      <c r="C379" s="3" t="inlineStr">
        <is>
          <t>Meetings</t>
        </is>
      </c>
      <c r="D379" s="3" t="inlineStr">
        <is>
          <t>Investigators Meeting Material</t>
        </is>
      </c>
      <c r="E379" s="3" t="inlineStr">
        <is>
          <t>MDD3003_3005_3007_CRONOS IQVIA CRA Training - FINAL.</t>
        </is>
      </c>
      <c r="F379" s="2" t="str">
        <f>HYPERLINK("https://vtmf.veevavault.com/ui/#doc_info/27388665/1/0", "VTMF-21967214")</f>
        <v>VTMF-21967214</v>
      </c>
      <c r="G379" s="3" t="inlineStr">
        <is>
          <t/>
        </is>
      </c>
      <c r="H379" s="3" t="inlineStr">
        <is>
          <t>Anthony Suarez (veeva.com)</t>
        </is>
      </c>
      <c r="I379" s="3" t="inlineStr">
        <is>
          <t>Gina Stefanelli</t>
        </is>
      </c>
      <c r="J379" s="4" t="n">
        <v>45597.76358796296</v>
      </c>
      <c r="K379" s="5" t="n">
        <v>45597.0</v>
      </c>
      <c r="L379" s="5" t="n">
        <v>45582.0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42847922MDD3003, 67953964MDD3005, 67953964MDD3007</t>
        </is>
      </c>
    </row>
    <row r="380">
      <c r="A380" s="2" t="str">
        <f>HYPERLINK("https://vtmf.veevavault.com/ui/#doc_info/27388817/1/0", "42847922MDD3003---Investigators Meeting Material-17 Oct 2024- (v1.0)")</f>
        <v>42847922MDD3003---Investigators Meeting Material-17 Oct 2024- (v1.0)</v>
      </c>
      <c r="B380" s="3" t="inlineStr">
        <is>
          <t>Trial Management</t>
        </is>
      </c>
      <c r="C380" s="3" t="inlineStr">
        <is>
          <t>Meetings</t>
        </is>
      </c>
      <c r="D380" s="3" t="inlineStr">
        <is>
          <t>Investigators Meeting Material</t>
        </is>
      </c>
      <c r="E380" s="3" t="inlineStr">
        <is>
          <t>MDD3003_3005_3007 IM Denver Recruitment and Retention Workshop Lessons Learned</t>
        </is>
      </c>
      <c r="F380" s="2" t="str">
        <f>HYPERLINK("https://vtmf.veevavault.com/ui/#doc_info/27388817/1/0", "VTMF-21967326")</f>
        <v>VTMF-21967326</v>
      </c>
      <c r="G380" s="3" t="inlineStr">
        <is>
          <t/>
        </is>
      </c>
      <c r="H380" s="3" t="inlineStr">
        <is>
          <t>Anthony Suarez (veeva.com)</t>
        </is>
      </c>
      <c r="I380" s="3" t="inlineStr">
        <is>
          <t>Gina Stefanelli</t>
        </is>
      </c>
      <c r="J380" s="4" t="n">
        <v>45597.789143518516</v>
      </c>
      <c r="K380" s="5" t="n">
        <v>45597.0</v>
      </c>
      <c r="L380" s="5" t="n">
        <v>45582.0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42847922MDD3003, 67953964MDD3005, 67953964MDD3007</t>
        </is>
      </c>
    </row>
    <row r="381">
      <c r="A381" s="2" t="str">
        <f>HYPERLINK("https://vtmf.veevavault.com/ui/#doc_info/27139810/1/0", "42847922MDD3003---Investigators Meeting Material-17 Sep 2024- (v1.0)")</f>
        <v>42847922MDD3003---Investigators Meeting Material-17 Sep 2024- (v1.0)</v>
      </c>
      <c r="B381" s="3" t="inlineStr">
        <is>
          <t>Trial Management</t>
        </is>
      </c>
      <c r="C381" s="3" t="inlineStr">
        <is>
          <t>Meetings</t>
        </is>
      </c>
      <c r="D381" s="3" t="inlineStr">
        <is>
          <t>Investigators Meeting Material</t>
        </is>
      </c>
      <c r="E381" s="3" t="inlineStr">
        <is>
          <t>42847922MDD3003 Protocol Training _Sept Virtual IM 17Sept24</t>
        </is>
      </c>
      <c r="F381" s="2" t="str">
        <f>HYPERLINK("https://vtmf.veevavault.com/ui/#doc_info/27139810/1/0", "VTMF-21758009")</f>
        <v>VTMF-21758009</v>
      </c>
      <c r="G381" s="3" t="inlineStr">
        <is>
          <t/>
        </is>
      </c>
      <c r="H381" s="3" t="inlineStr">
        <is>
          <t>Anthony Suarez (veeva.com)</t>
        </is>
      </c>
      <c r="I381" s="3" t="inlineStr">
        <is>
          <t>Gina Stefanelli</t>
        </is>
      </c>
      <c r="J381" s="4" t="n">
        <v>45560.64795138889</v>
      </c>
      <c r="K381" s="5" t="n">
        <v>45560.0</v>
      </c>
      <c r="L381" s="5" t="n">
        <v>45552.0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42847922MDD3003</t>
        </is>
      </c>
    </row>
    <row r="382">
      <c r="A382" s="2" t="str">
        <f>HYPERLINK("https://vtmf.veevavault.com/ui/#doc_info/29379163/1/0", "42847922MDD3003---Investigators Meeting Material-21 May 2025- (v1.0)")</f>
        <v>42847922MDD3003---Investigators Meeting Material-21 May 2025- (v1.0)</v>
      </c>
      <c r="B382" s="3" t="inlineStr">
        <is>
          <t>Trial Management</t>
        </is>
      </c>
      <c r="C382" s="3" t="inlineStr">
        <is>
          <t>Meetings</t>
        </is>
      </c>
      <c r="D382" s="3" t="inlineStr">
        <is>
          <t>Investigators Meeting Material</t>
        </is>
      </c>
      <c r="E382" s="3" t="inlineStr">
        <is>
          <t>EU Monitors Meeting Rome, Italy</t>
        </is>
      </c>
      <c r="F382" s="2" t="str">
        <f>HYPERLINK("https://vtmf.veevavault.com/ui/#doc_info/29379163/1/0", "VTMF-23619816")</f>
        <v>VTMF-23619816</v>
      </c>
      <c r="G382" s="3" t="inlineStr">
        <is>
          <t/>
        </is>
      </c>
      <c r="H382" s="3" t="inlineStr">
        <is>
          <t>Gina Stefanelli</t>
        </is>
      </c>
      <c r="I382" s="3" t="inlineStr">
        <is>
          <t>Gina Stefanelli</t>
        </is>
      </c>
      <c r="J382" s="4" t="n">
        <v>45826.58387731481</v>
      </c>
      <c r="K382" s="5" t="n">
        <v>45826.0</v>
      </c>
      <c r="L382" s="5" t="n">
        <v>45798.0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42847922MDD3003</t>
        </is>
      </c>
    </row>
    <row r="383">
      <c r="A383" s="2" t="str">
        <f>HYPERLINK("https://vtmf.veevavault.com/ui/#doc_info/29379177/1/0", "42847922MDD3003---Investigators Meeting Material-21 May 2025- (v1.0)")</f>
        <v>42847922MDD3003---Investigators Meeting Material-21 May 2025- (v1.0)</v>
      </c>
      <c r="B383" s="3" t="inlineStr">
        <is>
          <t>Trial Management</t>
        </is>
      </c>
      <c r="C383" s="3" t="inlineStr">
        <is>
          <t>Meetings</t>
        </is>
      </c>
      <c r="D383" s="3" t="inlineStr">
        <is>
          <t>Investigators Meeting Material</t>
        </is>
      </c>
      <c r="E383" s="3" t="inlineStr">
        <is>
          <t>Cronos EU Investigators Meeting, Day 2, Rome, Italy</t>
        </is>
      </c>
      <c r="F383" s="2" t="str">
        <f>HYPERLINK("https://vtmf.veevavault.com/ui/#doc_info/29379177/1/0", "VTMF-23619833")</f>
        <v>VTMF-23619833</v>
      </c>
      <c r="G383" s="3" t="inlineStr">
        <is>
          <t/>
        </is>
      </c>
      <c r="H383" s="3" t="inlineStr">
        <is>
          <t>Gina Stefanelli</t>
        </is>
      </c>
      <c r="I383" s="3" t="inlineStr">
        <is>
          <t>Gina Stefanelli</t>
        </is>
      </c>
      <c r="J383" s="4" t="n">
        <v>45826.58611111111</v>
      </c>
      <c r="K383" s="5" t="n">
        <v>45826.0</v>
      </c>
      <c r="L383" s="5" t="n">
        <v>45798.0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42847922MDD3003</t>
        </is>
      </c>
    </row>
    <row r="384">
      <c r="A384" s="2" t="str">
        <f>HYPERLINK("https://vtmf.veevavault.com/ui/#doc_info/29379204/1/0", "42847922MDD3003---Investigators Meeting Material-21 May 2025- (v1.0)")</f>
        <v>42847922MDD3003---Investigators Meeting Material-21 May 2025- (v1.0)</v>
      </c>
      <c r="B384" s="3" t="inlineStr">
        <is>
          <t>Trial Management</t>
        </is>
      </c>
      <c r="C384" s="3" t="inlineStr">
        <is>
          <t>Meetings</t>
        </is>
      </c>
      <c r="D384" s="3" t="inlineStr">
        <is>
          <t>Investigators Meeting Material</t>
        </is>
      </c>
      <c r="E384" s="3" t="inlineStr">
        <is>
          <t>EU Investigators Meeting v1.0</t>
        </is>
      </c>
      <c r="F384" s="2" t="str">
        <f>HYPERLINK("https://vtmf.veevavault.com/ui/#doc_info/29379204/1/0", "VTMF-23619718")</f>
        <v>VTMF-23619718</v>
      </c>
      <c r="G384" s="3" t="inlineStr">
        <is>
          <t/>
        </is>
      </c>
      <c r="H384" s="3" t="inlineStr">
        <is>
          <t>System</t>
        </is>
      </c>
      <c r="I384" s="3" t="inlineStr">
        <is>
          <t>Gina Stefanelli</t>
        </is>
      </c>
      <c r="J384" s="4" t="n">
        <v>45826.57486111111</v>
      </c>
      <c r="K384" s="5" t="n">
        <v>45826.0</v>
      </c>
      <c r="L384" s="5" t="n">
        <v>45798.0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42847922MDD3003</t>
        </is>
      </c>
    </row>
    <row r="385">
      <c r="A385" s="2" t="str">
        <f>HYPERLINK("https://vtmf.veevavault.com/ui/#doc_info/28975715/1/0", "42847922MDD3003---Investigators Meeting Material-24 Apr 2025- (v1.0)")</f>
        <v>42847922MDD3003---Investigators Meeting Material-24 Apr 2025- (v1.0)</v>
      </c>
      <c r="B385" s="3" t="inlineStr">
        <is>
          <t>Trial Management</t>
        </is>
      </c>
      <c r="C385" s="3" t="inlineStr">
        <is>
          <t>Meetings</t>
        </is>
      </c>
      <c r="D385" s="3" t="inlineStr">
        <is>
          <t>Investigators Meeting Material</t>
        </is>
      </c>
      <c r="E385" s="3" t="inlineStr">
        <is>
          <t>42847922MDD3003 Compound and Protocol Training_remote IM EU_24Apr2025</t>
        </is>
      </c>
      <c r="F385" s="2" t="str">
        <f>HYPERLINK("https://vtmf.veevavault.com/ui/#doc_info/28975715/1/0", "VTMF-23276414")</f>
        <v>VTMF-23276414</v>
      </c>
      <c r="G385" s="3" t="inlineStr">
        <is>
          <t/>
        </is>
      </c>
      <c r="H385" s="3" t="inlineStr">
        <is>
          <t>Anthony Suarez (veeva.com)</t>
        </is>
      </c>
      <c r="I385" s="3" t="inlineStr">
        <is>
          <t>Debhora Garcia</t>
        </is>
      </c>
      <c r="J385" s="4" t="n">
        <v>45772.067465277774</v>
      </c>
      <c r="K385" s="5" t="n">
        <v>45771.0</v>
      </c>
      <c r="L385" s="5" t="n">
        <v>45771.0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42847922MDD3003</t>
        </is>
      </c>
    </row>
    <row r="386">
      <c r="A386" s="2" t="str">
        <f>HYPERLINK("https://vtmf.veevavault.com/ui/#doc_info/30136589/1/0", "42847922MDD3003---Investigators Meeting Material-24 Sep 2025- (v1.0)")</f>
        <v>42847922MDD3003---Investigators Meeting Material-24 Sep 2025- (v1.0)</v>
      </c>
      <c r="B386" s="3" t="inlineStr">
        <is>
          <t>Trial Management</t>
        </is>
      </c>
      <c r="C386" s="3" t="inlineStr">
        <is>
          <t>Meetings</t>
        </is>
      </c>
      <c r="D386" s="3" t="inlineStr">
        <is>
          <t>Investigators Meeting Material</t>
        </is>
      </c>
      <c r="E386" s="3" t="inlineStr">
        <is>
          <t>Final Registration &amp; Attendance Report_OARS7USMX_SEP2025</t>
        </is>
      </c>
      <c r="F386" s="2" t="str">
        <f>HYPERLINK("https://vtmf.veevavault.com/ui/#doc_info/30136589/1/0", "VTMF-24261250")</f>
        <v>VTMF-24261250</v>
      </c>
      <c r="G386" s="3" t="inlineStr">
        <is>
          <t/>
        </is>
      </c>
      <c r="H386" s="3" t="inlineStr">
        <is>
          <t>System</t>
        </is>
      </c>
      <c r="I386" s="3" t="inlineStr">
        <is>
          <t>Debhora Garcia</t>
        </is>
      </c>
      <c r="J386" s="4" t="n">
        <v>45940.85596064815</v>
      </c>
      <c r="K386" s="5" t="n">
        <v>45940.0</v>
      </c>
      <c r="L386" s="5" t="n">
        <v>45924.0</v>
      </c>
      <c r="M386" s="3" t="inlineStr">
        <is>
          <t>Approved</t>
        </is>
      </c>
      <c r="N386" s="3" t="inlineStr">
        <is>
          <t>Available for Distribution, Study Start</t>
        </is>
      </c>
      <c r="O386" s="3" t="inlineStr">
        <is>
          <t>42847922MDD3003</t>
        </is>
      </c>
    </row>
    <row r="387">
      <c r="A387" s="2" t="str">
        <f>HYPERLINK("https://vtmf.veevavault.com/ui/#doc_info/30136599/1/0", "42847922MDD3003---Investigators Meeting Material-24 Sep 2025- (v1.0)")</f>
        <v>42847922MDD3003---Investigators Meeting Material-24 Sep 2025- (v1.0)</v>
      </c>
      <c r="B387" s="3" t="inlineStr">
        <is>
          <t>Trial Management</t>
        </is>
      </c>
      <c r="C387" s="3" t="inlineStr">
        <is>
          <t>Meetings</t>
        </is>
      </c>
      <c r="D387" s="3" t="inlineStr">
        <is>
          <t>Investigators Meeting Material</t>
        </is>
      </c>
      <c r="E387" s="3" t="inlineStr">
        <is>
          <t>Site Attendee Certificate of Attendance_OARS 7 MEX US IM_Sept 2025</t>
        </is>
      </c>
      <c r="F387" s="2" t="str">
        <f>HYPERLINK("https://vtmf.veevavault.com/ui/#doc_info/30136599/1/0", "VTMF-24261260")</f>
        <v>VTMF-24261260</v>
      </c>
      <c r="G387" s="3" t="inlineStr">
        <is>
          <t/>
        </is>
      </c>
      <c r="H387" s="3" t="inlineStr">
        <is>
          <t>System</t>
        </is>
      </c>
      <c r="I387" s="3" t="inlineStr">
        <is>
          <t>Debhora Garcia</t>
        </is>
      </c>
      <c r="J387" s="4" t="n">
        <v>45940.85806712963</v>
      </c>
      <c r="K387" s="5" t="n">
        <v>45940.0</v>
      </c>
      <c r="L387" s="5" t="n">
        <v>45924.0</v>
      </c>
      <c r="M387" s="3" t="inlineStr">
        <is>
          <t>Approved</t>
        </is>
      </c>
      <c r="N387" s="3" t="inlineStr">
        <is>
          <t>Available for Distribution, Study Start</t>
        </is>
      </c>
      <c r="O387" s="3" t="inlineStr">
        <is>
          <t>42847922MDD3003</t>
        </is>
      </c>
    </row>
    <row r="388">
      <c r="A388" s="2" t="str">
        <f>HYPERLINK("https://vtmf.veevavault.com/ui/#doc_info/30136832/1/0", "42847922MDD3003---Investigators Meeting Material-24 Sep 2025- (v1.0)")</f>
        <v>42847922MDD3003---Investigators Meeting Material-24 Sep 2025- (v1.0)</v>
      </c>
      <c r="B388" s="3" t="inlineStr">
        <is>
          <t>Trial Management</t>
        </is>
      </c>
      <c r="C388" s="3" t="inlineStr">
        <is>
          <t>Meetings</t>
        </is>
      </c>
      <c r="D388" s="3" t="inlineStr">
        <is>
          <t>Investigators Meeting Material</t>
        </is>
      </c>
      <c r="E388" s="3" t="inlineStr">
        <is>
          <t>Post-Meeting Attendee Survey Results_OARS 7 MEX US IM_Sept 2025</t>
        </is>
      </c>
      <c r="F388" s="2" t="str">
        <f>HYPERLINK("https://vtmf.veevavault.com/ui/#doc_info/30136832/1/0", "VTMF-24261218")</f>
        <v>VTMF-24261218</v>
      </c>
      <c r="G388" s="3" t="inlineStr">
        <is>
          <t/>
        </is>
      </c>
      <c r="H388" s="3" t="inlineStr">
        <is>
          <t>System</t>
        </is>
      </c>
      <c r="I388" s="3" t="inlineStr">
        <is>
          <t>Debhora Garcia</t>
        </is>
      </c>
      <c r="J388" s="4" t="n">
        <v>45940.85104166667</v>
      </c>
      <c r="K388" s="5" t="n">
        <v>45940.0</v>
      </c>
      <c r="L388" s="5" t="n">
        <v>45924.0</v>
      </c>
      <c r="M388" s="3" t="inlineStr">
        <is>
          <t>Approved</t>
        </is>
      </c>
      <c r="N388" s="3" t="inlineStr">
        <is>
          <t>Available for Distribution, Study Start</t>
        </is>
      </c>
      <c r="O388" s="3" t="inlineStr">
        <is>
          <t>42847922MDD3003</t>
        </is>
      </c>
    </row>
    <row r="389">
      <c r="A389" s="2" t="str">
        <f>HYPERLINK("https://vtmf.veevavault.com/ui/#doc_info/30136931/1/0", "42847922MDD3003---Investigators Meeting Material-24 Sep 2025- (v1.0)")</f>
        <v>42847922MDD3003---Investigators Meeting Material-24 Sep 2025- (v1.0)</v>
      </c>
      <c r="B389" s="3" t="inlineStr">
        <is>
          <t>Trial Management</t>
        </is>
      </c>
      <c r="C389" s="3" t="inlineStr">
        <is>
          <t>Meetings</t>
        </is>
      </c>
      <c r="D389" s="3" t="inlineStr">
        <is>
          <t>Investigators Meeting Material</t>
        </is>
      </c>
      <c r="E389" s="3" t="inlineStr">
        <is>
          <t>Sign in Sheets_OARS7 MEX US IM_Sept2025</t>
        </is>
      </c>
      <c r="F389" s="2" t="str">
        <f>HYPERLINK("https://vtmf.veevavault.com/ui/#doc_info/30136931/1/0", "VTMF-24261325")</f>
        <v>VTMF-24261325</v>
      </c>
      <c r="G389" s="3" t="inlineStr">
        <is>
          <t/>
        </is>
      </c>
      <c r="H389" s="3" t="inlineStr">
        <is>
          <t>System</t>
        </is>
      </c>
      <c r="I389" s="3" t="inlineStr">
        <is>
          <t>Debhora Garcia</t>
        </is>
      </c>
      <c r="J389" s="4" t="n">
        <v>45940.870150462964</v>
      </c>
      <c r="K389" s="5" t="n">
        <v>45940.0</v>
      </c>
      <c r="L389" s="5" t="n">
        <v>45924.0</v>
      </c>
      <c r="M389" s="3" t="inlineStr">
        <is>
          <t>Approved</t>
        </is>
      </c>
      <c r="N389" s="3" t="inlineStr">
        <is>
          <t>Available for Distribution, Study Start</t>
        </is>
      </c>
      <c r="O389" s="3" t="inlineStr">
        <is>
          <t>42847922MDD3003</t>
        </is>
      </c>
    </row>
    <row r="390">
      <c r="A390" s="2" t="str">
        <f>HYPERLINK("https://vtmf.veevavault.com/ui/#doc_info/26617296/1/0", "42847922MDD3003---Investigators Meeting Material-25 Jun 2024- (v1.0)")</f>
        <v>42847922MDD3003---Investigators Meeting Material-25 Jun 2024- (v1.0)</v>
      </c>
      <c r="B390" s="3" t="inlineStr">
        <is>
          <t>Trial Management</t>
        </is>
      </c>
      <c r="C390" s="3" t="inlineStr">
        <is>
          <t>Meetings</t>
        </is>
      </c>
      <c r="D390" s="3" t="inlineStr">
        <is>
          <t>Investigators Meeting Material</t>
        </is>
      </c>
      <c r="E390" s="3" t="inlineStr">
        <is>
          <t>42847922MDD3003 Compound and Protocol Training final version for IM_25Jun2024</t>
        </is>
      </c>
      <c r="F390" s="2" t="str">
        <f>HYPERLINK("https://vtmf.veevavault.com/ui/#doc_info/26617296/1/0", "VTMF-21320490")</f>
        <v>VTMF-21320490</v>
      </c>
      <c r="G390" s="3" t="inlineStr">
        <is>
          <t/>
        </is>
      </c>
      <c r="H390" s="3" t="inlineStr">
        <is>
          <t>System</t>
        </is>
      </c>
      <c r="I390" s="3" t="inlineStr">
        <is>
          <t>Debhora Garcia</t>
        </is>
      </c>
      <c r="J390" s="4" t="n">
        <v>45471.7325462963</v>
      </c>
      <c r="K390" s="5" t="n">
        <v>45471.0</v>
      </c>
      <c r="L390" s="5" t="n">
        <v>45468.0</v>
      </c>
      <c r="M390" s="3" t="inlineStr">
        <is>
          <t>Approved</t>
        </is>
      </c>
      <c r="N390" s="3" t="inlineStr">
        <is>
          <t>Available for Distribution, Study Start</t>
        </is>
      </c>
      <c r="O390" s="3" t="inlineStr">
        <is>
          <t>42847922MDD3003</t>
        </is>
      </c>
    </row>
    <row r="391">
      <c r="A391" s="2" t="str">
        <f>HYPERLINK("https://vtmf.veevavault.com/ui/#doc_info/28767900/1/0", "42847922MDD3003---Investigators Meeting Material-27 Mar 2025- (v1.0)")</f>
        <v>42847922MDD3003---Investigators Meeting Material-27 Mar 2025- (v1.0)</v>
      </c>
      <c r="B391" s="3" t="inlineStr">
        <is>
          <t>Trial Management</t>
        </is>
      </c>
      <c r="C391" s="3" t="inlineStr">
        <is>
          <t>Meetings</t>
        </is>
      </c>
      <c r="D391" s="3" t="inlineStr">
        <is>
          <t>Investigators Meeting Material</t>
        </is>
      </c>
      <c r="E391" s="3" t="inlineStr">
        <is>
          <t>42847922MDD3003 Compound and Protocol Training_remote IM EU_27Mar2025</t>
        </is>
      </c>
      <c r="F391" s="2" t="str">
        <f>HYPERLINK("https://vtmf.veevavault.com/ui/#doc_info/28767900/1/0", "VTMF-23112527")</f>
        <v>VTMF-23112527</v>
      </c>
      <c r="G391" s="3" t="inlineStr">
        <is>
          <t/>
        </is>
      </c>
      <c r="H391" s="3" t="inlineStr">
        <is>
          <t>Anthony Suarez (veeva.com)</t>
        </is>
      </c>
      <c r="I391" s="3" t="inlineStr">
        <is>
          <t>Debhora Garcia</t>
        </is>
      </c>
      <c r="J391" s="4" t="n">
        <v>45744.81832175926</v>
      </c>
      <c r="K391" s="5" t="n">
        <v>45744.0</v>
      </c>
      <c r="L391" s="5" t="n">
        <v>45743.0</v>
      </c>
      <c r="M391" s="3" t="inlineStr">
        <is>
          <t>Approved</t>
        </is>
      </c>
      <c r="N391" s="3" t="inlineStr">
        <is>
          <t>Available for Distribution, Study Start</t>
        </is>
      </c>
      <c r="O391" s="3" t="inlineStr">
        <is>
          <t>42847922MDD3003</t>
        </is>
      </c>
    </row>
    <row r="392">
      <c r="A392" s="2" t="str">
        <f>HYPERLINK("https://vtmf.veevavault.com/ui/#doc_info/30776817/1/0", "42847922MDD3003---IRT User Account Management-13 Jan 2026 (v1.0)")</f>
        <v>42847922MDD3003---IRT User Account Management-13 Jan 2026 (v1.0)</v>
      </c>
      <c r="B392" s="3" t="inlineStr">
        <is>
          <t>IP and Trial Supplies</t>
        </is>
      </c>
      <c r="C392" s="3" t="inlineStr">
        <is>
          <t>Interactive Response Technology</t>
        </is>
      </c>
      <c r="D392" s="3" t="inlineStr">
        <is>
          <t>IRT User Account Management</t>
        </is>
      </c>
      <c r="E392" s="3" t="inlineStr">
        <is>
          <t>TV-eFRM-15328_v2.0 13Jan26_FS.</t>
        </is>
      </c>
      <c r="F392" s="2" t="str">
        <f>HYPERLINK("https://vtmf.veevavault.com/ui/#doc_info/30776817/1/0", "VTMF-24800734")</f>
        <v>VTMF-24800734</v>
      </c>
      <c r="G392" s="3" t="inlineStr">
        <is>
          <t/>
        </is>
      </c>
      <c r="H392" s="3" t="inlineStr">
        <is>
          <t>System</t>
        </is>
      </c>
      <c r="I392" s="3" t="inlineStr">
        <is>
          <t>Gina Stefanelli</t>
        </is>
      </c>
      <c r="J392" s="4" t="n">
        <v>46036.60711805556</v>
      </c>
      <c r="K392" s="5" t="n">
        <v>46036.0</v>
      </c>
      <c r="L392" s="5" t="n">
        <v>46035.0</v>
      </c>
      <c r="M392" s="3" t="inlineStr">
        <is>
          <t>Approved</t>
        </is>
      </c>
      <c r="N392" s="3" t="inlineStr">
        <is>
          <t>Available for Distribution, CLIX Filing, Site Close, Site Start</t>
        </is>
      </c>
      <c r="O392" s="3" t="inlineStr">
        <is>
          <t>42847922MDD3003</t>
        </is>
      </c>
    </row>
    <row r="393">
      <c r="A393" s="2" t="str">
        <f>HYPERLINK("https://vtmf.veevavault.com/ui/#doc_info/29038736/1/0", "42847922MDD3003---IRT User Account Management-28 Apr 2025 (v1.0)")</f>
        <v>42847922MDD3003---IRT User Account Management-28 Apr 2025 (v1.0)</v>
      </c>
      <c r="B393" s="3" t="inlineStr">
        <is>
          <t>IP and Trial Supplies</t>
        </is>
      </c>
      <c r="C393" s="3" t="inlineStr">
        <is>
          <t>Interactive Response Technology</t>
        </is>
      </c>
      <c r="D393" s="3" t="inlineStr">
        <is>
          <t>IRT User Account Management</t>
        </is>
      </c>
      <c r="E393" s="3" t="inlineStr">
        <is>
          <t>TV-eFRM-15328_v2.0_28Apr25_GS_KR signed</t>
        </is>
      </c>
      <c r="F393" s="2" t="str">
        <f>HYPERLINK("https://vtmf.veevavault.com/ui/#doc_info/29038736/1/0", "VTMF-23331641")</f>
        <v>VTMF-23331641</v>
      </c>
      <c r="G393" s="3" t="inlineStr">
        <is>
          <t/>
        </is>
      </c>
      <c r="H393" s="3" t="inlineStr">
        <is>
          <t>Anthony Suarez (veeva.com)</t>
        </is>
      </c>
      <c r="I393" s="3" t="inlineStr">
        <is>
          <t>Gina Stefanelli</t>
        </is>
      </c>
      <c r="J393" s="4" t="n">
        <v>45782.81396990741</v>
      </c>
      <c r="K393" s="5" t="n">
        <v>45782.0</v>
      </c>
      <c r="L393" s="5" t="n">
        <v>45775.0</v>
      </c>
      <c r="M393" s="3" t="inlineStr">
        <is>
          <t>Approved</t>
        </is>
      </c>
      <c r="N393" s="3" t="inlineStr">
        <is>
          <t>Available for Distribution, CLIX Filing, Site Close, Site Start</t>
        </is>
      </c>
      <c r="O393" s="3" t="inlineStr">
        <is>
          <t>42847922MDD3003</t>
        </is>
      </c>
    </row>
    <row r="394">
      <c r="A394" s="2" t="str">
        <f>HYPERLINK("https://vtmf.veevavault.com/ui/#doc_info/29930399/1/0", "42847922MDD3003---IRT User Manual-02 May 2025- (v1.0)")</f>
        <v>42847922MDD3003---IRT User Manual-02 May 2025- (v1.0)</v>
      </c>
      <c r="B394" s="3" t="inlineStr">
        <is>
          <t>IP and Trial Supplies</t>
        </is>
      </c>
      <c r="C394" s="3" t="inlineStr">
        <is>
          <t>Interactive Response Technology</t>
        </is>
      </c>
      <c r="D394" s="3" t="inlineStr">
        <is>
          <t>IRT User Manual</t>
        </is>
      </c>
      <c r="E394" s="3" t="inlineStr">
        <is>
          <t>Site User Training V3.0</t>
        </is>
      </c>
      <c r="F394" s="2" t="str">
        <f>HYPERLINK("https://vtmf.veevavault.com/ui/#doc_info/29930399/1/0", "VTMF-24093769")</f>
        <v>VTMF-24093769</v>
      </c>
      <c r="G394" s="3" t="inlineStr">
        <is>
          <t/>
        </is>
      </c>
      <c r="H394" s="3" t="inlineStr">
        <is>
          <t>System</t>
        </is>
      </c>
      <c r="I394" s="3" t="inlineStr">
        <is>
          <t>Paul Brandt</t>
        </is>
      </c>
      <c r="J394" s="4" t="n">
        <v>45911.12225694444</v>
      </c>
      <c r="K394" s="5" t="n">
        <v>45910.0</v>
      </c>
      <c r="L394" s="5" t="n">
        <v>45779.0</v>
      </c>
      <c r="M394" s="3" t="inlineStr">
        <is>
          <t>Approved</t>
        </is>
      </c>
      <c r="N394" s="3" t="inlineStr">
        <is>
          <t>Available for Distribution, Study Start</t>
        </is>
      </c>
      <c r="O394" s="3" t="inlineStr">
        <is>
          <t>42847922MDD3003</t>
        </is>
      </c>
    </row>
    <row r="395">
      <c r="A395" s="2" t="str">
        <f>HYPERLINK("https://vtmf.veevavault.com/ui/#doc_info/26423073/3/0", "42847922MDD3003---IRT User Manual-24 Apr 2025- (v3.0)")</f>
        <v>42847922MDD3003---IRT User Manual-24 Apr 2025- (v3.0)</v>
      </c>
      <c r="B395" s="3" t="inlineStr">
        <is>
          <t>IP and Trial Supplies</t>
        </is>
      </c>
      <c r="C395" s="3" t="inlineStr">
        <is>
          <t>Interactive Response Technology</t>
        </is>
      </c>
      <c r="D395" s="3" t="inlineStr">
        <is>
          <t>IRT User Manual</t>
        </is>
      </c>
      <c r="E395" s="3" t="inlineStr">
        <is>
          <t>Janssen_42847922MDD3003_Site_User_Training_Presentation_v2.0 24-Apr-2025</t>
        </is>
      </c>
      <c r="F395" s="2" t="str">
        <f>HYPERLINK("https://vtmf.veevavault.com/ui/#doc_info/26423073/3/0", "VTMF-21149249")</f>
        <v>VTMF-21149249</v>
      </c>
      <c r="G395" s="3" t="inlineStr">
        <is>
          <t/>
        </is>
      </c>
      <c r="H395" s="3" t="inlineStr">
        <is>
          <t>System</t>
        </is>
      </c>
      <c r="I395" s="3" t="inlineStr">
        <is>
          <t>Victoria Kreiseler</t>
        </is>
      </c>
      <c r="J395" s="4" t="n">
        <v>46086.44096064815</v>
      </c>
      <c r="K395" s="5" t="n">
        <v>46086.0</v>
      </c>
      <c r="L395" s="5" t="n">
        <v>45771.0</v>
      </c>
      <c r="M395" s="3" t="inlineStr">
        <is>
          <t>Approved</t>
        </is>
      </c>
      <c r="N395" s="3" t="inlineStr">
        <is>
          <t>Available for Distribution, Study Start</t>
        </is>
      </c>
      <c r="O395" s="3" t="inlineStr">
        <is>
          <t>42847922MDD3003</t>
        </is>
      </c>
    </row>
    <row r="396">
      <c r="A396" s="2" t="str">
        <f>HYPERLINK("https://vtmf.veevavault.com/ui/#doc_info/30212908/1/0", "42847922MDD3003---IRT User Requirement Specification-01 Apr 2025 (v1.0)")</f>
        <v>42847922MDD3003---IRT User Requirement Specification-01 Apr 2025 (v1.0)</v>
      </c>
      <c r="B396" s="3" t="inlineStr">
        <is>
          <t>IP and Trial Supplies</t>
        </is>
      </c>
      <c r="C396" s="3" t="inlineStr">
        <is>
          <t>Interactive Response Technology</t>
        </is>
      </c>
      <c r="D396" s="3" t="inlineStr">
        <is>
          <t>IRT User Requirement Specification</t>
        </is>
      </c>
      <c r="E396" s="3" t="inlineStr">
        <is>
          <t>IRT Specification_v13.0_2025-04-01_FINAL FE</t>
        </is>
      </c>
      <c r="F396" s="2" t="str">
        <f>HYPERLINK("https://vtmf.veevavault.com/ui/#doc_info/30212908/1/0", "VTMF-24326713")</f>
        <v>VTMF-24326713</v>
      </c>
      <c r="G396" s="3" t="inlineStr">
        <is>
          <t/>
        </is>
      </c>
      <c r="H396" s="3" t="inlineStr">
        <is>
          <t>System</t>
        </is>
      </c>
      <c r="I396" s="3" t="inlineStr">
        <is>
          <t>Gina Stefanelli</t>
        </is>
      </c>
      <c r="J396" s="4" t="n">
        <v>45952.87275462963</v>
      </c>
      <c r="K396" s="5" t="n">
        <v>45952.0</v>
      </c>
      <c r="L396" s="5" t="n">
        <v>45748.0</v>
      </c>
      <c r="M396" s="3" t="inlineStr">
        <is>
          <t>Approved</t>
        </is>
      </c>
      <c r="N396" s="3" t="inlineStr">
        <is>
          <t>Study Start</t>
        </is>
      </c>
      <c r="O396" s="3" t="inlineStr">
        <is>
          <t>42847922MDD3003</t>
        </is>
      </c>
    </row>
    <row r="397">
      <c r="A397" s="2" t="str">
        <f>HYPERLINK("https://vtmf.veevavault.com/ui/#doc_info/27716737/1/0", "42847922MDD3003---IRT User Requirement Specification-01 Aug 2024 (v1.0)")</f>
        <v>42847922MDD3003---IRT User Requirement Specification-01 Aug 2024 (v1.0)</v>
      </c>
      <c r="B397" s="3" t="inlineStr">
        <is>
          <t>IP and Trial Supplies</t>
        </is>
      </c>
      <c r="C397" s="3" t="inlineStr">
        <is>
          <t>Interactive Response Technology</t>
        </is>
      </c>
      <c r="D397" s="3" t="inlineStr">
        <is>
          <t>IRT User Requirement Specification</t>
        </is>
      </c>
      <c r="E397" s="3" t="inlineStr">
        <is>
          <t>IRT Specification_v5.0_2024-08-01</t>
        </is>
      </c>
      <c r="F397" s="2" t="str">
        <f>HYPERLINK("https://vtmf.veevavault.com/ui/#doc_info/27716737/1/0", "VTMF-22233891")</f>
        <v>VTMF-22233891</v>
      </c>
      <c r="G397" s="3" t="inlineStr">
        <is>
          <t/>
        </is>
      </c>
      <c r="H397" s="3" t="inlineStr">
        <is>
          <t>Anthony Suarez (veeva.com)</t>
        </is>
      </c>
      <c r="I397" s="3" t="inlineStr">
        <is>
          <t>Joseph Kinder</t>
        </is>
      </c>
      <c r="J397" s="4" t="n">
        <v>45618.703414351854</v>
      </c>
      <c r="K397" s="5" t="n">
        <v>45644.0</v>
      </c>
      <c r="L397" s="5" t="n">
        <v>45505.0</v>
      </c>
      <c r="M397" s="3" t="inlineStr">
        <is>
          <t>Approved</t>
        </is>
      </c>
      <c r="N397" s="3" t="inlineStr">
        <is>
          <t>Study Start</t>
        </is>
      </c>
      <c r="O397" s="3" t="inlineStr">
        <is>
          <t>42847922MDD3003</t>
        </is>
      </c>
    </row>
    <row r="398">
      <c r="A398" s="2" t="str">
        <f>HYPERLINK("https://vtmf.veevavault.com/ui/#doc_info/27829031/1/0", "42847922MDD3003---IRT User Requirement Specification-01 Aug 2024 (v1.0)")</f>
        <v>42847922MDD3003---IRT User Requirement Specification-01 Aug 2024 (v1.0)</v>
      </c>
      <c r="B398" s="3" t="inlineStr">
        <is>
          <t>IP and Trial Supplies</t>
        </is>
      </c>
      <c r="C398" s="3" t="inlineStr">
        <is>
          <t>Interactive Response Technology</t>
        </is>
      </c>
      <c r="D398" s="3" t="inlineStr">
        <is>
          <t>IRT User Requirement Specification</t>
        </is>
      </c>
      <c r="E398" s="3" t="inlineStr">
        <is>
          <t>42847922MDD3003-IRT_Specifications v5 5AUG2024</t>
        </is>
      </c>
      <c r="F398" s="2" t="str">
        <f>HYPERLINK("https://vtmf.veevavault.com/ui/#doc_info/27829031/1/0", "VTMF-22314421")</f>
        <v>VTMF-22314421</v>
      </c>
      <c r="G398" s="3" t="inlineStr">
        <is>
          <t/>
        </is>
      </c>
      <c r="H398" s="3" t="inlineStr">
        <is>
          <t>System</t>
        </is>
      </c>
      <c r="I398" s="3" t="inlineStr">
        <is>
          <t>Joseph Kinder</t>
        </is>
      </c>
      <c r="J398" s="4" t="n">
        <v>45635.67517361111</v>
      </c>
      <c r="K398" s="5" t="n">
        <v>45635.0</v>
      </c>
      <c r="L398" s="5" t="n">
        <v>45505.0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42847922MDD3003</t>
        </is>
      </c>
    </row>
    <row r="399">
      <c r="A399" s="2" t="str">
        <f>HYPERLINK("https://vtmf.veevavault.com/ui/#doc_info/31110509/1/0", "42847922MDD3003---IRT User Requirement Specification-03 Mar 2026 (v1.0)")</f>
        <v>42847922MDD3003---IRT User Requirement Specification-03 Mar 2026 (v1.0)</v>
      </c>
      <c r="B399" s="3" t="inlineStr">
        <is>
          <t>IP and Trial Supplies</t>
        </is>
      </c>
      <c r="C399" s="3" t="inlineStr">
        <is>
          <t>Interactive Response Technology</t>
        </is>
      </c>
      <c r="D399" s="3" t="inlineStr">
        <is>
          <t>IRT User Requirement Specification</t>
        </is>
      </c>
      <c r="E399" s="3" t="inlineStr">
        <is>
          <t>URS_V19.0: 3-Mar-2026 - 3-Mar-2026</t>
        </is>
      </c>
      <c r="F399" s="2" t="str">
        <f>HYPERLINK("https://vtmf.veevavault.com/ui/#doc_info/31110509/1/0", "VTMF-25082288")</f>
        <v>VTMF-25082288</v>
      </c>
      <c r="G399" s="3" t="inlineStr">
        <is>
          <t/>
        </is>
      </c>
      <c r="H399" s="3" t="inlineStr">
        <is>
          <t>System</t>
        </is>
      </c>
      <c r="I399" s="3" t="inlineStr">
        <is>
          <t>Victoria Kreiseler</t>
        </is>
      </c>
      <c r="J399" s="4" t="n">
        <v>46085.47628472222</v>
      </c>
      <c r="K399" s="5" t="n">
        <v>46085.0</v>
      </c>
      <c r="L399" s="5" t="n">
        <v>46084.0</v>
      </c>
      <c r="M399" s="3" t="inlineStr">
        <is>
          <t>Approved</t>
        </is>
      </c>
      <c r="N399" s="3" t="inlineStr">
        <is>
          <t>Study Start</t>
        </is>
      </c>
      <c r="O399" s="3" t="inlineStr">
        <is>
          <t>42847922MDD3003</t>
        </is>
      </c>
    </row>
    <row r="400">
      <c r="A400" s="2" t="str">
        <f>HYPERLINK("https://vtmf.veevavault.com/ui/#doc_info/29930172/1/0", "42847922MDD3003---IRT User Requirement Specification-04 Sep 2025 (v1.0)")</f>
        <v>42847922MDD3003---IRT User Requirement Specification-04 Sep 2025 (v1.0)</v>
      </c>
      <c r="B400" s="3" t="inlineStr">
        <is>
          <t>IP and Trial Supplies</t>
        </is>
      </c>
      <c r="C400" s="3" t="inlineStr">
        <is>
          <t>Interactive Response Technology</t>
        </is>
      </c>
      <c r="D400" s="3" t="inlineStr">
        <is>
          <t>IRT User Requirement Specification</t>
        </is>
      </c>
      <c r="E400" s="3" t="inlineStr">
        <is>
          <t>User Requirements Specification V15</t>
        </is>
      </c>
      <c r="F400" s="2" t="str">
        <f>HYPERLINK("https://vtmf.veevavault.com/ui/#doc_info/29930172/1/0", "VTMF-24093514")</f>
        <v>VTMF-24093514</v>
      </c>
      <c r="G400" s="3" t="inlineStr">
        <is>
          <t/>
        </is>
      </c>
      <c r="H400" s="3" t="inlineStr">
        <is>
          <t>System</t>
        </is>
      </c>
      <c r="I400" s="3" t="inlineStr">
        <is>
          <t>Paul Brandt</t>
        </is>
      </c>
      <c r="J400" s="4" t="n">
        <v>45911.02850694444</v>
      </c>
      <c r="K400" s="5" t="n">
        <v>45910.0</v>
      </c>
      <c r="L400" s="5" t="n">
        <v>45904.0</v>
      </c>
      <c r="M400" s="3" t="inlineStr">
        <is>
          <t>Approved</t>
        </is>
      </c>
      <c r="N400" s="3" t="inlineStr">
        <is>
          <t>Study Start</t>
        </is>
      </c>
      <c r="O400" s="3" t="inlineStr">
        <is>
          <t>42847922MDD3003</t>
        </is>
      </c>
    </row>
    <row r="401">
      <c r="A401" s="2" t="str">
        <f>HYPERLINK("https://vtmf.veevavault.com/ui/#doc_info/31004261/1/0", "42847922MDD3003---IRT User Requirement Specification-06 Jan 2026 (v1.0)")</f>
        <v>42847922MDD3003---IRT User Requirement Specification-06 Jan 2026 (v1.0)</v>
      </c>
      <c r="B401" s="3" t="inlineStr">
        <is>
          <t>IP and Trial Supplies</t>
        </is>
      </c>
      <c r="C401" s="3" t="inlineStr">
        <is>
          <t>Interactive Response Technology</t>
        </is>
      </c>
      <c r="D401" s="3" t="inlineStr">
        <is>
          <t>IRT User Requirement Specification</t>
        </is>
      </c>
      <c r="E401" s="3" t="inlineStr">
        <is>
          <t>Janssen_42847922MDD3003_IRT Specifications_v17.0 _FE_.pdf 17-Dec-2025</t>
        </is>
      </c>
      <c r="F401" s="2" t="str">
        <f>HYPERLINK("https://vtmf.veevavault.com/ui/#doc_info/31004261/1/0", "VTMF-24992142")</f>
        <v>VTMF-24992142</v>
      </c>
      <c r="G401" s="3" t="inlineStr">
        <is>
          <t/>
        </is>
      </c>
      <c r="H401" s="3" t="inlineStr">
        <is>
          <t>System</t>
        </is>
      </c>
      <c r="I401" s="3" t="inlineStr">
        <is>
          <t>Victoria Kreiseler</t>
        </is>
      </c>
      <c r="J401" s="4" t="n">
        <v>46070.632881944446</v>
      </c>
      <c r="K401" s="5" t="n">
        <v>46070.0</v>
      </c>
      <c r="L401" s="5" t="n">
        <v>46028.0</v>
      </c>
      <c r="M401" s="3" t="inlineStr">
        <is>
          <t>Approved</t>
        </is>
      </c>
      <c r="N401" s="3" t="inlineStr">
        <is>
          <t>Study Start</t>
        </is>
      </c>
      <c r="O401" s="3" t="inlineStr">
        <is>
          <t>42847922MDD3003</t>
        </is>
      </c>
    </row>
    <row r="402">
      <c r="A402" s="2" t="str">
        <f>HYPERLINK("https://vtmf.veevavault.com/ui/#doc_info/28613433/1/0", "42847922MDD3003---IRT User Requirement Specification-06 Mar 2025 (v1.0)")</f>
        <v>42847922MDD3003---IRT User Requirement Specification-06 Mar 2025 (v1.0)</v>
      </c>
      <c r="B402" s="3" t="inlineStr">
        <is>
          <t>IP and Trial Supplies</t>
        </is>
      </c>
      <c r="C402" s="3" t="inlineStr">
        <is>
          <t>Interactive Response Technology</t>
        </is>
      </c>
      <c r="D402" s="3" t="inlineStr">
        <is>
          <t>IRT User Requirement Specification</t>
        </is>
      </c>
      <c r="E402" s="3" t="inlineStr">
        <is>
          <t>42847922MDD3003 _ RTSM Specification _ v10 _ 2025-03-06</t>
        </is>
      </c>
      <c r="F402" s="2" t="str">
        <f>HYPERLINK("https://vtmf.veevavault.com/ui/#doc_info/28613433/1/0", "VTMF-22981693")</f>
        <v>VTMF-22981693</v>
      </c>
      <c r="G402" s="3" t="inlineStr">
        <is>
          <t/>
        </is>
      </c>
      <c r="H402" s="3" t="inlineStr">
        <is>
          <t>Anthony Suarez (veeva.com)</t>
        </is>
      </c>
      <c r="I402" s="3" t="inlineStr">
        <is>
          <t>Carl Thompson</t>
        </is>
      </c>
      <c r="J402" s="4" t="n">
        <v>45722.71697916667</v>
      </c>
      <c r="K402" s="5" t="n">
        <v>45722.0</v>
      </c>
      <c r="L402" s="5" t="n">
        <v>45722.0</v>
      </c>
      <c r="M402" s="3" t="inlineStr">
        <is>
          <t>Approved</t>
        </is>
      </c>
      <c r="N402" s="3" t="inlineStr">
        <is>
          <t>Study Start</t>
        </is>
      </c>
      <c r="O402" s="3" t="inlineStr">
        <is>
          <t>42847922MDD3003</t>
        </is>
      </c>
    </row>
    <row r="403">
      <c r="A403" s="2" t="str">
        <f>HYPERLINK("https://vtmf.veevavault.com/ui/#doc_info/31608626/1/0", "42847922MDD3003---IRT User Requirement Specification-07 May 2026 (v1.0)")</f>
        <v>42847922MDD3003---IRT User Requirement Specification-07 May 2026 (v1.0)</v>
      </c>
      <c r="B403" s="3" t="inlineStr">
        <is>
          <t>IP and Trial Supplies</t>
        </is>
      </c>
      <c r="C403" s="3" t="inlineStr">
        <is>
          <t>Interactive Response Technology</t>
        </is>
      </c>
      <c r="D403" s="3" t="inlineStr">
        <is>
          <t>IRT User Requirement Specification</t>
        </is>
      </c>
      <c r="E403" s="3" t="inlineStr">
        <is>
          <t>IRT Specification_V#20</t>
        </is>
      </c>
      <c r="F403" s="2" t="str">
        <f>HYPERLINK("https://vtmf.veevavault.com/ui/#doc_info/31608626/1/0", "VTMF-25509294")</f>
        <v>VTMF-25509294</v>
      </c>
      <c r="G403" s="3" t="inlineStr">
        <is>
          <t/>
        </is>
      </c>
      <c r="H403" s="3" t="inlineStr">
        <is>
          <t>System</t>
        </is>
      </c>
      <c r="I403" s="3" t="inlineStr">
        <is>
          <t>Philippe Tulkens</t>
        </is>
      </c>
      <c r="J403" s="4" t="n">
        <v>46149.66982638889</v>
      </c>
      <c r="K403" s="5" t="n">
        <v>46149.0</v>
      </c>
      <c r="L403" s="5" t="n">
        <v>46149.0</v>
      </c>
      <c r="M403" s="3" t="inlineStr">
        <is>
          <t>Approved</t>
        </is>
      </c>
      <c r="N403" s="3" t="inlineStr">
        <is>
          <t>Study Start</t>
        </is>
      </c>
      <c r="O403" s="3" t="inlineStr">
        <is>
          <t>42847922MDD3003</t>
        </is>
      </c>
    </row>
    <row r="404">
      <c r="A404" s="2" t="str">
        <f>HYPERLINK("https://vtmf.veevavault.com/ui/#doc_info/31004273/1/0", "42847922MDD3003---IRT User Requirement Specification-08 Jan 2026 (v1.0)")</f>
        <v>42847922MDD3003---IRT User Requirement Specification-08 Jan 2026 (v1.0)</v>
      </c>
      <c r="B404" s="3" t="inlineStr">
        <is>
          <t>IP and Trial Supplies</t>
        </is>
      </c>
      <c r="C404" s="3" t="inlineStr">
        <is>
          <t>Interactive Response Technology</t>
        </is>
      </c>
      <c r="D404" s="3" t="inlineStr">
        <is>
          <t>IRT User Requirement Specification</t>
        </is>
      </c>
      <c r="E404" s="3" t="inlineStr">
        <is>
          <t>Janssen_42847922MDD3003_IRT Specifications_v18.0 _FE_.pdf 08-Jan-2026</t>
        </is>
      </c>
      <c r="F404" s="2" t="str">
        <f>HYPERLINK("https://vtmf.veevavault.com/ui/#doc_info/31004273/1/0", "VTMF-24992162")</f>
        <v>VTMF-24992162</v>
      </c>
      <c r="G404" s="3" t="inlineStr">
        <is>
          <t/>
        </is>
      </c>
      <c r="H404" s="3" t="inlineStr">
        <is>
          <t>System</t>
        </is>
      </c>
      <c r="I404" s="3" t="inlineStr">
        <is>
          <t>Victoria Kreiseler</t>
        </is>
      </c>
      <c r="J404" s="4" t="n">
        <v>46070.63431712963</v>
      </c>
      <c r="K404" s="5" t="n">
        <v>46070.0</v>
      </c>
      <c r="L404" s="5" t="n">
        <v>46030.0</v>
      </c>
      <c r="M404" s="3" t="inlineStr">
        <is>
          <t>Approved</t>
        </is>
      </c>
      <c r="N404" s="3" t="inlineStr">
        <is>
          <t>Study Start</t>
        </is>
      </c>
      <c r="O404" s="3" t="inlineStr">
        <is>
          <t>42847922MDD3003</t>
        </is>
      </c>
    </row>
    <row r="405">
      <c r="A405" s="2" t="str">
        <f>HYPERLINK("https://vtmf.veevavault.com/ui/#doc_info/27677517/1/0", "42847922MDD3003---IRT User Requirement Specification-10 Apr 2024 (v1.0)")</f>
        <v>42847922MDD3003---IRT User Requirement Specification-10 Apr 2024 (v1.0)</v>
      </c>
      <c r="B405" s="3" t="inlineStr">
        <is>
          <t>IP and Trial Supplies</t>
        </is>
      </c>
      <c r="C405" s="3" t="inlineStr">
        <is>
          <t>Interactive Response Technology</t>
        </is>
      </c>
      <c r="D405" s="3" t="inlineStr">
        <is>
          <t>IRT User Requirement Specification</t>
        </is>
      </c>
      <c r="E405" s="3" t="inlineStr">
        <is>
          <t>42847922MDD3003_IRT_Specifications_v1_10APR2024</t>
        </is>
      </c>
      <c r="F405" s="2" t="str">
        <f>HYPERLINK("https://vtmf.veevavault.com/ui/#doc_info/27677517/1/0", "VTMF-22214711")</f>
        <v>VTMF-22214711</v>
      </c>
      <c r="G405" s="3" t="inlineStr">
        <is>
          <t/>
        </is>
      </c>
      <c r="H405" s="3" t="inlineStr">
        <is>
          <t>Anthony Suarez (veeva.com)</t>
        </is>
      </c>
      <c r="I405" s="3" t="inlineStr">
        <is>
          <t>Joseph Kinder</t>
        </is>
      </c>
      <c r="J405" s="4" t="n">
        <v>45617.67663194444</v>
      </c>
      <c r="K405" s="5" t="n">
        <v>45617.0</v>
      </c>
      <c r="L405" s="5" t="n">
        <v>45392.0</v>
      </c>
      <c r="M405" s="3" t="inlineStr">
        <is>
          <t>Approved</t>
        </is>
      </c>
      <c r="N405" s="3" t="inlineStr">
        <is>
          <t>Study Start</t>
        </is>
      </c>
      <c r="O405" s="3" t="inlineStr">
        <is>
          <t>42847922MDD3003</t>
        </is>
      </c>
    </row>
    <row r="406">
      <c r="A406" s="2" t="str">
        <f>HYPERLINK("https://vtmf.veevavault.com/ui/#doc_info/28554476/1/0", "42847922MDD3003---IRT User Requirement Specification-10 Dec 2024 (v1.0)")</f>
        <v>42847922MDD3003---IRT User Requirement Specification-10 Dec 2024 (v1.0)</v>
      </c>
      <c r="B406" s="3" t="inlineStr">
        <is>
          <t>IP and Trial Supplies</t>
        </is>
      </c>
      <c r="C406" s="3" t="inlineStr">
        <is>
          <t>Interactive Response Technology</t>
        </is>
      </c>
      <c r="D406" s="3" t="inlineStr">
        <is>
          <t>IRT User Requirement Specification</t>
        </is>
      </c>
      <c r="E406" s="3" t="inlineStr">
        <is>
          <t>42847922MDD3003_User Requirement Specification -v8 - 10 Dec 2024</t>
        </is>
      </c>
      <c r="F406" s="2" t="str">
        <f>HYPERLINK("https://vtmf.veevavault.com/ui/#doc_info/28554476/1/0", "VTMF-22930396")</f>
        <v>VTMF-22930396</v>
      </c>
      <c r="G406" s="3" t="inlineStr">
        <is>
          <t/>
        </is>
      </c>
      <c r="H406" s="3" t="inlineStr">
        <is>
          <t>Anthony Suarez (veeva.com)</t>
        </is>
      </c>
      <c r="I406" s="3" t="inlineStr">
        <is>
          <t>Joseph Kinder</t>
        </is>
      </c>
      <c r="J406" s="4" t="n">
        <v>45714.67849537037</v>
      </c>
      <c r="K406" s="5" t="n">
        <v>45714.0</v>
      </c>
      <c r="L406" s="5" t="n">
        <v>45636.0</v>
      </c>
      <c r="M406" s="3" t="inlineStr">
        <is>
          <t>Approved</t>
        </is>
      </c>
      <c r="N406" s="3" t="inlineStr">
        <is>
          <t>Study Start</t>
        </is>
      </c>
      <c r="O406" s="3" t="inlineStr">
        <is>
          <t>42847922MDD3003</t>
        </is>
      </c>
    </row>
    <row r="407">
      <c r="A407" s="2" t="str">
        <f>HYPERLINK("https://vtmf.veevavault.com/ui/#doc_info/27677759/1/0", "42847922MDD3003---IRT User Requirement Specification-10 Oct 2024 (v1.0)")</f>
        <v>42847922MDD3003---IRT User Requirement Specification-10 Oct 2024 (v1.0)</v>
      </c>
      <c r="B407" s="3" t="inlineStr">
        <is>
          <t>IP and Trial Supplies</t>
        </is>
      </c>
      <c r="C407" s="3" t="inlineStr">
        <is>
          <t>Interactive Response Technology</t>
        </is>
      </c>
      <c r="D407" s="3" t="inlineStr">
        <is>
          <t>IRT User Requirement Specification</t>
        </is>
      </c>
      <c r="E407" s="3" t="inlineStr">
        <is>
          <t>IRT_Specifications_ v7_OCT_10_2024</t>
        </is>
      </c>
      <c r="F407" s="2" t="str">
        <f>HYPERLINK("https://vtmf.veevavault.com/ui/#doc_info/27677759/1/0", "VTMF-22214766")</f>
        <v>VTMF-22214766</v>
      </c>
      <c r="G407" s="3" t="inlineStr">
        <is>
          <t/>
        </is>
      </c>
      <c r="H407" s="3" t="inlineStr">
        <is>
          <t>Anthony Suarez (veeva.com)</t>
        </is>
      </c>
      <c r="I407" s="3" t="inlineStr">
        <is>
          <t>Joseph Kinder</t>
        </is>
      </c>
      <c r="J407" s="4" t="n">
        <v>45617.6828125</v>
      </c>
      <c r="K407" s="5" t="n">
        <v>45617.0</v>
      </c>
      <c r="L407" s="5" t="n">
        <v>45575.0</v>
      </c>
      <c r="M407" s="3" t="inlineStr">
        <is>
          <t>Approved</t>
        </is>
      </c>
      <c r="N407" s="3" t="inlineStr">
        <is>
          <t>Study Start</t>
        </is>
      </c>
      <c r="O407" s="3" t="inlineStr">
        <is>
          <t>42847922MDD3003</t>
        </is>
      </c>
    </row>
    <row r="408">
      <c r="A408" s="2" t="str">
        <f>HYPERLINK("https://vtmf.veevavault.com/ui/#doc_info/26555694/1/0", "42847922MDD3003---IRT User Requirement Specification-14 Jun 2024 (v1.0)")</f>
        <v>42847922MDD3003---IRT User Requirement Specification-14 Jun 2024 (v1.0)</v>
      </c>
      <c r="B408" s="3" t="inlineStr">
        <is>
          <t>IP and Trial Supplies</t>
        </is>
      </c>
      <c r="C408" s="3" t="inlineStr">
        <is>
          <t>Interactive Response Technology</t>
        </is>
      </c>
      <c r="D408" s="3" t="inlineStr">
        <is>
          <t>IRT User Requirement Specification</t>
        </is>
      </c>
      <c r="E408" s="3" t="inlineStr">
        <is>
          <t>42847922MDD3003_IRT_Signed_V3_14JUN2024</t>
        </is>
      </c>
      <c r="F408" s="2" t="str">
        <f>HYPERLINK("https://vtmf.veevavault.com/ui/#doc_info/26555694/1/0", "VTMF-21266851")</f>
        <v>VTMF-21266851</v>
      </c>
      <c r="G408" s="3" t="inlineStr">
        <is>
          <t/>
        </is>
      </c>
      <c r="H408" s="3" t="inlineStr">
        <is>
          <t>Anthony Suarez (veeva.com)</t>
        </is>
      </c>
      <c r="I408" s="3" t="inlineStr">
        <is>
          <t>Joseph Kinder</t>
        </is>
      </c>
      <c r="J408" s="4" t="n">
        <v>45462.75974537037</v>
      </c>
      <c r="K408" s="5" t="n">
        <v>45614.0</v>
      </c>
      <c r="L408" s="5" t="n">
        <v>45457.0</v>
      </c>
      <c r="M408" s="3" t="inlineStr">
        <is>
          <t>Approved</t>
        </is>
      </c>
      <c r="N408" s="3" t="inlineStr">
        <is>
          <t>Study Start</t>
        </is>
      </c>
      <c r="O408" s="3" t="inlineStr">
        <is>
          <t>42847922MDD3003</t>
        </is>
      </c>
    </row>
    <row r="409">
      <c r="A409" s="2" t="str">
        <f>HYPERLINK("https://vtmf.veevavault.com/ui/#doc_info/26103870/2/0", "42847922MDD3003---IRT User Requirement Specification-15 May 2024 (v2.0)")</f>
        <v>42847922MDD3003---IRT User Requirement Specification-15 May 2024 (v2.0)</v>
      </c>
      <c r="B409" s="3" t="inlineStr">
        <is>
          <t>IP and Trial Supplies</t>
        </is>
      </c>
      <c r="C409" s="3" t="inlineStr">
        <is>
          <t>Interactive Response Technology</t>
        </is>
      </c>
      <c r="D409" s="3" t="inlineStr">
        <is>
          <t>IRT User Requirement Specification</t>
        </is>
      </c>
      <c r="E409" s="3" t="inlineStr">
        <is>
          <t>42847922MDD3003_IRT_Specifications_15MAY2024 v2.0</t>
        </is>
      </c>
      <c r="F409" s="2" t="str">
        <f>HYPERLINK("https://vtmf.veevavault.com/ui/#doc_info/26103870/2/0", "VTMF-20871594")</f>
        <v>VTMF-20871594</v>
      </c>
      <c r="G409" s="3" t="inlineStr">
        <is>
          <t/>
        </is>
      </c>
      <c r="H409" s="3" t="inlineStr">
        <is>
          <t>Anthony Suarez (veeva.com)</t>
        </is>
      </c>
      <c r="I409" s="3" t="inlineStr">
        <is>
          <t>Gina Stefanelli</t>
        </is>
      </c>
      <c r="J409" s="4" t="n">
        <v>45440.68341435185</v>
      </c>
      <c r="K409" s="5" t="n">
        <v>45440.0</v>
      </c>
      <c r="L409" s="5" t="n">
        <v>45427.0</v>
      </c>
      <c r="M409" s="3" t="inlineStr">
        <is>
          <t>Approved</t>
        </is>
      </c>
      <c r="N409" s="3" t="inlineStr">
        <is>
          <t>Study Start</t>
        </is>
      </c>
      <c r="O409" s="3" t="inlineStr">
        <is>
          <t>42847922MDD3003</t>
        </is>
      </c>
    </row>
    <row r="410">
      <c r="A410" s="2" t="str">
        <f>HYPERLINK("https://vtmf.veevavault.com/ui/#doc_info/31004246/1/0", "42847922MDD3003---IRT User Requirement Specification-17 Nov 2025 (v1.0)")</f>
        <v>42847922MDD3003---IRT User Requirement Specification-17 Nov 2025 (v1.0)</v>
      </c>
      <c r="B410" s="3" t="inlineStr">
        <is>
          <t>IP and Trial Supplies</t>
        </is>
      </c>
      <c r="C410" s="3" t="inlineStr">
        <is>
          <t>Interactive Response Technology</t>
        </is>
      </c>
      <c r="D410" s="3" t="inlineStr">
        <is>
          <t>IRT User Requirement Specification</t>
        </is>
      </c>
      <c r="E410" s="3" t="inlineStr">
        <is>
          <t>Janssen_42847922MDD3003-IRT Specification_v16.0_2025-11-17_FINAL FE.pdf</t>
        </is>
      </c>
      <c r="F410" s="2" t="str">
        <f>HYPERLINK("https://vtmf.veevavault.com/ui/#doc_info/31004246/1/0", "VTMF-24992123")</f>
        <v>VTMF-24992123</v>
      </c>
      <c r="G410" s="3" t="inlineStr">
        <is>
          <t/>
        </is>
      </c>
      <c r="H410" s="3" t="inlineStr">
        <is>
          <t>System</t>
        </is>
      </c>
      <c r="I410" s="3" t="inlineStr">
        <is>
          <t>Victoria Kreiseler</t>
        </is>
      </c>
      <c r="J410" s="4" t="n">
        <v>46070.63112268518</v>
      </c>
      <c r="K410" s="5" t="n">
        <v>46070.0</v>
      </c>
      <c r="L410" s="5" t="n">
        <v>45978.0</v>
      </c>
      <c r="M410" s="3" t="inlineStr">
        <is>
          <t>Approved</t>
        </is>
      </c>
      <c r="N410" s="3" t="inlineStr">
        <is>
          <t>Study Start</t>
        </is>
      </c>
      <c r="O410" s="3" t="inlineStr">
        <is>
          <t>42847922MDD3003</t>
        </is>
      </c>
    </row>
    <row r="411">
      <c r="A411" s="2" t="str">
        <f>HYPERLINK("https://vtmf.veevavault.com/ui/#doc_info/28554480/1/0", "42847922MDD3003---IRT User Requirement Specification-18 Feb 2025 (v1.0)")</f>
        <v>42847922MDD3003---IRT User Requirement Specification-18 Feb 2025 (v1.0)</v>
      </c>
      <c r="B411" s="3" t="inlineStr">
        <is>
          <t>IP and Trial Supplies</t>
        </is>
      </c>
      <c r="C411" s="3" t="inlineStr">
        <is>
          <t>Interactive Response Technology</t>
        </is>
      </c>
      <c r="D411" s="3" t="inlineStr">
        <is>
          <t>IRT User Requirement Specification</t>
        </is>
      </c>
      <c r="E411" s="3" t="inlineStr">
        <is>
          <t>42847922MDD3003 User Requirement Specifications - v9 - 18FEB2025</t>
        </is>
      </c>
      <c r="F411" s="2" t="str">
        <f>HYPERLINK("https://vtmf.veevavault.com/ui/#doc_info/28554480/1/0", "VTMF-22930408")</f>
        <v>VTMF-22930408</v>
      </c>
      <c r="G411" s="3" t="inlineStr">
        <is>
          <t/>
        </is>
      </c>
      <c r="H411" s="3" t="inlineStr">
        <is>
          <t>Anthony Suarez (veeva.com)</t>
        </is>
      </c>
      <c r="I411" s="3" t="inlineStr">
        <is>
          <t>Joseph Kinder</t>
        </is>
      </c>
      <c r="J411" s="4" t="n">
        <v>45714.679606481484</v>
      </c>
      <c r="K411" s="5" t="n">
        <v>45714.0</v>
      </c>
      <c r="L411" s="5" t="n">
        <v>45706.0</v>
      </c>
      <c r="M411" s="3" t="inlineStr">
        <is>
          <t>Approved</t>
        </is>
      </c>
      <c r="N411" s="3" t="inlineStr">
        <is>
          <t>Study Start</t>
        </is>
      </c>
      <c r="O411" s="3" t="inlineStr">
        <is>
          <t>42847922MDD3003</t>
        </is>
      </c>
    </row>
    <row r="412">
      <c r="A412" s="2" t="str">
        <f>HYPERLINK("https://vtmf.veevavault.com/ui/#doc_info/28701641/1/0", "42847922MDD3003---IRT User Requirement Specification-19 Mar 2025 (v1.0)")</f>
        <v>42847922MDD3003---IRT User Requirement Specification-19 Mar 2025 (v1.0)</v>
      </c>
      <c r="B412" s="3" t="inlineStr">
        <is>
          <t>IP and Trial Supplies</t>
        </is>
      </c>
      <c r="C412" s="3" t="inlineStr">
        <is>
          <t>Interactive Response Technology</t>
        </is>
      </c>
      <c r="D412" s="3" t="inlineStr">
        <is>
          <t>IRT User Requirement Specification</t>
        </is>
      </c>
      <c r="E412" s="3" t="inlineStr">
        <is>
          <t>42847922MDD3003 _ RTSM Specification _ v11.0 _ 2025-03-19</t>
        </is>
      </c>
      <c r="F412" s="2" t="str">
        <f>HYPERLINK("https://vtmf.veevavault.com/ui/#doc_info/28701641/1/0", "VTMF-23056310")</f>
        <v>VTMF-23056310</v>
      </c>
      <c r="G412" s="3" t="inlineStr">
        <is>
          <t/>
        </is>
      </c>
      <c r="H412" s="3" t="inlineStr">
        <is>
          <t>Anthony Suarez (veeva.com)</t>
        </is>
      </c>
      <c r="I412" s="3" t="inlineStr">
        <is>
          <t>Carl Thompson</t>
        </is>
      </c>
      <c r="J412" s="4" t="n">
        <v>45735.64383101852</v>
      </c>
      <c r="K412" s="5" t="n">
        <v>45735.0</v>
      </c>
      <c r="L412" s="5" t="n">
        <v>45735.0</v>
      </c>
      <c r="M412" s="3" t="inlineStr">
        <is>
          <t>Approved</t>
        </is>
      </c>
      <c r="N412" s="3" t="inlineStr">
        <is>
          <t>Study Start</t>
        </is>
      </c>
      <c r="O412" s="3" t="inlineStr">
        <is>
          <t>42847922MDD3003</t>
        </is>
      </c>
    </row>
    <row r="413">
      <c r="A413" s="2" t="str">
        <f>HYPERLINK("https://vtmf.veevavault.com/ui/#doc_info/31708710/1/0", "42847922MDD3003---IRT User Requirement Specification-20 May 2026 (v1.0)")</f>
        <v>42847922MDD3003---IRT User Requirement Specification-20 May 2026 (v1.0)</v>
      </c>
      <c r="B413" s="3" t="inlineStr">
        <is>
          <t>IP and Trial Supplies</t>
        </is>
      </c>
      <c r="C413" s="3" t="inlineStr">
        <is>
          <t>Interactive Response Technology</t>
        </is>
      </c>
      <c r="D413" s="3" t="inlineStr">
        <is>
          <t>IRT User Requirement Specification</t>
        </is>
      </c>
      <c r="E413" s="3" t="inlineStr">
        <is>
          <t>IRT Specification_V#21</t>
        </is>
      </c>
      <c r="F413" s="2" t="str">
        <f>HYPERLINK("https://vtmf.veevavault.com/ui/#doc_info/31708710/1/0", "VTMF-25589327")</f>
        <v>VTMF-25589327</v>
      </c>
      <c r="G413" s="3" t="inlineStr">
        <is>
          <t/>
        </is>
      </c>
      <c r="H413" s="3" t="inlineStr">
        <is>
          <t>System</t>
        </is>
      </c>
      <c r="I413" s="3" t="inlineStr">
        <is>
          <t>Justin Leonard</t>
        </is>
      </c>
      <c r="J413" s="4" t="n">
        <v>46162.883356481485</v>
      </c>
      <c r="K413" s="5" t="n">
        <v>46162.0</v>
      </c>
      <c r="L413" s="5" t="n">
        <v>46162.0</v>
      </c>
      <c r="M413" s="3" t="inlineStr">
        <is>
          <t>Approved</t>
        </is>
      </c>
      <c r="N413" s="3" t="inlineStr">
        <is>
          <t>Study Start</t>
        </is>
      </c>
      <c r="O413" s="3" t="inlineStr">
        <is>
          <t>42847922MDD3003</t>
        </is>
      </c>
    </row>
    <row r="414">
      <c r="A414" s="2" t="str">
        <f>HYPERLINK("https://vtmf.veevavault.com/ui/#doc_info/27677755/1/0", "42847922MDD3003---IRT User Requirement Specification-21 Aug 2024 (v1.0)")</f>
        <v>42847922MDD3003---IRT User Requirement Specification-21 Aug 2024 (v1.0)</v>
      </c>
      <c r="B414" s="3" t="inlineStr">
        <is>
          <t>IP and Trial Supplies</t>
        </is>
      </c>
      <c r="C414" s="3" t="inlineStr">
        <is>
          <t>Interactive Response Technology</t>
        </is>
      </c>
      <c r="D414" s="3" t="inlineStr">
        <is>
          <t>IRT User Requirement Specification</t>
        </is>
      </c>
      <c r="E414" s="3" t="inlineStr">
        <is>
          <t>42847922MDD3003-IRT Specification_v6_21Aug2024</t>
        </is>
      </c>
      <c r="F414" s="2" t="str">
        <f>HYPERLINK("https://vtmf.veevavault.com/ui/#doc_info/27677755/1/0", "VTMF-22214759")</f>
        <v>VTMF-22214759</v>
      </c>
      <c r="G414" s="3" t="inlineStr">
        <is>
          <t/>
        </is>
      </c>
      <c r="H414" s="3" t="inlineStr">
        <is>
          <t>Anthony Suarez (veeva.com)</t>
        </is>
      </c>
      <c r="I414" s="3" t="inlineStr">
        <is>
          <t>Joseph Kinder</t>
        </is>
      </c>
      <c r="J414" s="4" t="n">
        <v>45617.68189814815</v>
      </c>
      <c r="K414" s="5" t="n">
        <v>45617.0</v>
      </c>
      <c r="L414" s="5" t="n">
        <v>45525.0</v>
      </c>
      <c r="M414" s="3" t="inlineStr">
        <is>
          <t>Approved</t>
        </is>
      </c>
      <c r="N414" s="3" t="inlineStr">
        <is>
          <t>Study Start</t>
        </is>
      </c>
      <c r="O414" s="3" t="inlineStr">
        <is>
          <t>42847922MDD3003</t>
        </is>
      </c>
    </row>
    <row r="415">
      <c r="A415" s="2" t="str">
        <f>HYPERLINK("https://vtmf.veevavault.com/ui/#doc_info/30212903/1/0", "42847922MDD3003---IRT User Requirement Specification-21 Mar 2025 (v1.0)")</f>
        <v>42847922MDD3003---IRT User Requirement Specification-21 Mar 2025 (v1.0)</v>
      </c>
      <c r="B415" s="3" t="inlineStr">
        <is>
          <t>IP and Trial Supplies</t>
        </is>
      </c>
      <c r="C415" s="3" t="inlineStr">
        <is>
          <t>Interactive Response Technology</t>
        </is>
      </c>
      <c r="D415" s="3" t="inlineStr">
        <is>
          <t>IRT User Requirement Specification</t>
        </is>
      </c>
      <c r="E415" s="3" t="inlineStr">
        <is>
          <t>IRT Specification_v12.0_2025-03-21_FINAL FE</t>
        </is>
      </c>
      <c r="F415" s="2" t="str">
        <f>HYPERLINK("https://vtmf.veevavault.com/ui/#doc_info/30212903/1/0", "VTMF-24326696")</f>
        <v>VTMF-24326696</v>
      </c>
      <c r="G415" s="3" t="inlineStr">
        <is>
          <t/>
        </is>
      </c>
      <c r="H415" s="3" t="inlineStr">
        <is>
          <t>System</t>
        </is>
      </c>
      <c r="I415" s="3" t="inlineStr">
        <is>
          <t>Gina Stefanelli</t>
        </is>
      </c>
      <c r="J415" s="4" t="n">
        <v>45952.8709375</v>
      </c>
      <c r="K415" s="5" t="n">
        <v>45952.0</v>
      </c>
      <c r="L415" s="5" t="n">
        <v>45737.0</v>
      </c>
      <c r="M415" s="3" t="inlineStr">
        <is>
          <t>Approved</t>
        </is>
      </c>
      <c r="N415" s="3" t="inlineStr">
        <is>
          <t>Study Start</t>
        </is>
      </c>
      <c r="O415" s="3" t="inlineStr">
        <is>
          <t>42847922MDD3003</t>
        </is>
      </c>
    </row>
    <row r="416">
      <c r="A416" s="2" t="str">
        <f>HYPERLINK("https://vtmf.veevavault.com/ui/#doc_info/26764560/1/0", "42847922MDD3003---IRT User Requirement Specification-24 Jul 2024 (v1.0)")</f>
        <v>42847922MDD3003---IRT User Requirement Specification-24 Jul 2024 (v1.0)</v>
      </c>
      <c r="B416" s="3" t="inlineStr">
        <is>
          <t>IP and Trial Supplies</t>
        </is>
      </c>
      <c r="C416" s="3" t="inlineStr">
        <is>
          <t>Interactive Response Technology</t>
        </is>
      </c>
      <c r="D416" s="3" t="inlineStr">
        <is>
          <t>IRT User Requirement Specification</t>
        </is>
      </c>
      <c r="E416" s="3" t="inlineStr">
        <is>
          <t>42847922MDD3003_IRT_Specification_V4_24JUL2024</t>
        </is>
      </c>
      <c r="F416" s="2" t="str">
        <f>HYPERLINK("https://vtmf.veevavault.com/ui/#doc_info/26764560/1/0", "VTMF-21448282")</f>
        <v>VTMF-21448282</v>
      </c>
      <c r="G416" s="3" t="inlineStr">
        <is>
          <t/>
        </is>
      </c>
      <c r="H416" s="3" t="inlineStr">
        <is>
          <t>Anthony Suarez (veeva.com)</t>
        </is>
      </c>
      <c r="I416" s="3" t="inlineStr">
        <is>
          <t>Joseph Kinder</t>
        </is>
      </c>
      <c r="J416" s="4" t="n">
        <v>45497.8396875</v>
      </c>
      <c r="K416" s="5" t="n">
        <v>45497.0</v>
      </c>
      <c r="L416" s="5" t="n">
        <v>45497.0</v>
      </c>
      <c r="M416" s="3" t="inlineStr">
        <is>
          <t>Approved</t>
        </is>
      </c>
      <c r="N416" s="3" t="inlineStr">
        <is>
          <t>Study Start</t>
        </is>
      </c>
      <c r="O416" s="3" t="inlineStr">
        <is>
          <t>42847922MDD3003</t>
        </is>
      </c>
    </row>
    <row r="417">
      <c r="A417" s="2" t="str">
        <f>HYPERLINK("https://vtmf.veevavault.com/ui/#doc_info/30212918/1/0", "42847922MDD3003---IRT User Requirement Specification-24 Jun 2025 (v1.0)")</f>
        <v>42847922MDD3003---IRT User Requirement Specification-24 Jun 2025 (v1.0)</v>
      </c>
      <c r="B417" s="3" t="inlineStr">
        <is>
          <t>IP and Trial Supplies</t>
        </is>
      </c>
      <c r="C417" s="3" t="inlineStr">
        <is>
          <t>Interactive Response Technology</t>
        </is>
      </c>
      <c r="D417" s="3" t="inlineStr">
        <is>
          <t>IRT User Requirement Specification</t>
        </is>
      </c>
      <c r="E417" s="3" t="inlineStr">
        <is>
          <t>IRT Specification_v14.0_2025-06-24_FINAL FE.</t>
        </is>
      </c>
      <c r="F417" s="2" t="str">
        <f>HYPERLINK("https://vtmf.veevavault.com/ui/#doc_info/30212918/1/0", "VTMF-24326725")</f>
        <v>VTMF-24326725</v>
      </c>
      <c r="G417" s="3" t="inlineStr">
        <is>
          <t/>
        </is>
      </c>
      <c r="H417" s="3" t="inlineStr">
        <is>
          <t>System</t>
        </is>
      </c>
      <c r="I417" s="3" t="inlineStr">
        <is>
          <t>Gina Stefanelli</t>
        </is>
      </c>
      <c r="J417" s="4" t="n">
        <v>45952.87550925926</v>
      </c>
      <c r="K417" s="5" t="n">
        <v>45952.0</v>
      </c>
      <c r="L417" s="5" t="n">
        <v>45832.0</v>
      </c>
      <c r="M417" s="3" t="inlineStr">
        <is>
          <t>Approved</t>
        </is>
      </c>
      <c r="N417" s="3" t="inlineStr">
        <is>
          <t>Study Start</t>
        </is>
      </c>
      <c r="O417" s="3" t="inlineStr">
        <is>
          <t>42847922MDD3003</t>
        </is>
      </c>
    </row>
    <row r="418">
      <c r="A418" s="2" t="str">
        <f>HYPERLINK("https://vtmf.veevavault.com/ui/#doc_info/26361751/2/0", "42847922MDD3003---Issue Escalation Criteria-27 Feb 2025 (v2.0)")</f>
        <v>42847922MDD3003---Issue Escalation Criteria-27 Feb 2025 (v2.0)</v>
      </c>
      <c r="B418" s="3" t="inlineStr">
        <is>
          <t>Trial Management</t>
        </is>
      </c>
      <c r="C418" s="3" t="inlineStr">
        <is>
          <t>Trial Oversight</t>
        </is>
      </c>
      <c r="D418" s="3" t="inlineStr">
        <is>
          <t>Issue Escalation Criteria</t>
        </is>
      </c>
      <c r="E418" s="3" t="inlineStr">
        <is>
          <t>Major Issue List _Version 2</t>
        </is>
      </c>
      <c r="F418" s="2" t="str">
        <f>HYPERLINK("https://vtmf.veevavault.com/ui/#doc_info/26361751/2/0", "VTMF-21095760")</f>
        <v>VTMF-21095760</v>
      </c>
      <c r="G418" s="3" t="inlineStr">
        <is>
          <t/>
        </is>
      </c>
      <c r="H418" s="3" t="inlineStr">
        <is>
          <t>System</t>
        </is>
      </c>
      <c r="I418" s="3" t="inlineStr">
        <is>
          <t>Kristina Ruzinska</t>
        </is>
      </c>
      <c r="J418" s="4" t="n">
        <v>45715.384571759256</v>
      </c>
      <c r="K418" s="5" t="n">
        <v>45715.0</v>
      </c>
      <c r="L418" s="5" t="n">
        <v>45715.0</v>
      </c>
      <c r="M418" s="3" t="inlineStr">
        <is>
          <t>Approved</t>
        </is>
      </c>
      <c r="N418" s="3" t="inlineStr">
        <is>
          <t>Study Start</t>
        </is>
      </c>
      <c r="O418" s="3" t="inlineStr">
        <is>
          <t>42847922MDD3003</t>
        </is>
      </c>
    </row>
    <row r="419">
      <c r="A419" s="2" t="str">
        <f>HYPERLINK("https://vtmf.veevavault.com/ui/#doc_info/26152221/1/0", "42847922MDD3003---Kick-off Meeting Material-05 Apr 2024 (v1.0)")</f>
        <v>42847922MDD3003---Kick-off Meeting Material-05 Apr 2024 (v1.0)</v>
      </c>
      <c r="B419" s="3" t="inlineStr">
        <is>
          <t>Trial Management</t>
        </is>
      </c>
      <c r="C419" s="3" t="inlineStr">
        <is>
          <t>Meetings</t>
        </is>
      </c>
      <c r="D419" s="3" t="inlineStr">
        <is>
          <t>Kick-off Meeting Material</t>
        </is>
      </c>
      <c r="E419" s="3" t="inlineStr">
        <is>
          <t>ECG_67953964MDD300X_Clario Kick-off Meeting Presentation_MDD Program_05Apr2024</t>
        </is>
      </c>
      <c r="F419" s="2" t="str">
        <f>HYPERLINK("https://vtmf.veevavault.com/ui/#doc_info/26152221/1/0", "VTMF-20914268")</f>
        <v>VTMF-20914268</v>
      </c>
      <c r="G419" s="3" t="inlineStr">
        <is>
          <t/>
        </is>
      </c>
      <c r="H419" s="3" t="inlineStr">
        <is>
          <t>Anthony Suarez (veeva.com)</t>
        </is>
      </c>
      <c r="I419" s="3" t="inlineStr">
        <is>
          <t>Lee Walesyn</t>
        </is>
      </c>
      <c r="J419" s="4" t="n">
        <v>45399.83833333333</v>
      </c>
      <c r="K419" s="5" t="n">
        <v>45399.0</v>
      </c>
      <c r="L419" s="5" t="n">
        <v>45387.0</v>
      </c>
      <c r="M419" s="3" t="inlineStr">
        <is>
          <t>Approved</t>
        </is>
      </c>
      <c r="N419" s="3" t="inlineStr">
        <is>
          <t>Study Start</t>
        </is>
      </c>
      <c r="O419" s="3" t="inlineStr">
        <is>
          <t>42847922MDD3003, 67953964MDD3005, 67953964MDD3007</t>
        </is>
      </c>
    </row>
    <row r="420">
      <c r="A420" s="2" t="str">
        <f>HYPERLINK("https://vtmf.veevavault.com/ui/#doc_info/26275315/1/0", "42847922MDD3003---Kick-off Meeting Material-24 Apr 2024 (v1.0)")</f>
        <v>42847922MDD3003---Kick-off Meeting Material-24 Apr 2024 (v1.0)</v>
      </c>
      <c r="B420" s="3" t="inlineStr">
        <is>
          <t>Trial Management</t>
        </is>
      </c>
      <c r="C420" s="3" t="inlineStr">
        <is>
          <t>Meetings</t>
        </is>
      </c>
      <c r="D420" s="3" t="inlineStr">
        <is>
          <t>Kick-off Meeting Material</t>
        </is>
      </c>
      <c r="E420" s="3" t="inlineStr">
        <is>
          <t>42847922MDD3003_ECG Clario Kick Off Meeting Minutes_24APR2024.xlsm</t>
        </is>
      </c>
      <c r="F420" s="2" t="str">
        <f>HYPERLINK("https://vtmf.veevavault.com/ui/#doc_info/26275315/1/0", "VTMF-21020166")</f>
        <v>VTMF-21020166</v>
      </c>
      <c r="G420" s="3" t="inlineStr">
        <is>
          <t/>
        </is>
      </c>
      <c r="H420" s="3" t="inlineStr">
        <is>
          <t>Anthony Suarez (veeva.com)</t>
        </is>
      </c>
      <c r="I420" s="3" t="inlineStr">
        <is>
          <t>Jennifer Hockenbury</t>
        </is>
      </c>
      <c r="J420" s="4" t="n">
        <v>45419.694756944446</v>
      </c>
      <c r="K420" s="5" t="n">
        <v>45419.0</v>
      </c>
      <c r="L420" s="5" t="n">
        <v>45406.0</v>
      </c>
      <c r="M420" s="3" t="inlineStr">
        <is>
          <t>Approved</t>
        </is>
      </c>
      <c r="N420" s="3" t="inlineStr">
        <is>
          <t>Study Start</t>
        </is>
      </c>
      <c r="O420" s="3" t="inlineStr">
        <is>
          <t>42847922MDD3003</t>
        </is>
      </c>
    </row>
    <row r="421">
      <c r="A421" s="2" t="str">
        <f>HYPERLINK("https://vtmf.veevavault.com/ui/#doc_info/25846566/1/0", "42847922MDD3003---Laboratory Manual-01 Mar 2024 (v1.0)")</f>
        <v>42847922MDD3003---Laboratory Manual-01 Mar 2024 (v1.0)</v>
      </c>
      <c r="B421" s="3" t="inlineStr">
        <is>
          <t>Centralized Testing</t>
        </is>
      </c>
      <c r="C421" s="3" t="inlineStr">
        <is>
          <t>Facility Documentation</t>
        </is>
      </c>
      <c r="D421" s="3" t="inlineStr">
        <is>
          <t>Laboratory Manual</t>
        </is>
      </c>
      <c r="E421" s="3" t="inlineStr">
        <is>
          <t>Investigator Laboratory Summary_EMEA; 01Mar2024</t>
        </is>
      </c>
      <c r="F421" s="2" t="str">
        <f>HYPERLINK("https://vtmf.veevavault.com/ui/#doc_info/25846566/1/0", "VTMF-20643842")</f>
        <v>VTMF-20643842</v>
      </c>
      <c r="G421" s="3" t="inlineStr">
        <is>
          <t/>
        </is>
      </c>
      <c r="H421" s="3" t="inlineStr">
        <is>
          <t>System</t>
        </is>
      </c>
      <c r="I421" s="3" t="inlineStr">
        <is>
          <t>Debhora Garcia</t>
        </is>
      </c>
      <c r="J421" s="4" t="n">
        <v>45356.0222337963</v>
      </c>
      <c r="K421" s="5" t="n">
        <v>45355.0</v>
      </c>
      <c r="L421" s="5" t="n">
        <v>45352.0</v>
      </c>
      <c r="M421" s="3" t="inlineStr">
        <is>
          <t>Approved</t>
        </is>
      </c>
      <c r="N421" s="3" t="inlineStr">
        <is>
          <t>Available for Distribution, Study Start</t>
        </is>
      </c>
      <c r="O421" s="3" t="inlineStr">
        <is>
          <t>42847922MDD3003</t>
        </is>
      </c>
    </row>
    <row r="422">
      <c r="A422" s="2" t="str">
        <f>HYPERLINK("https://vtmf.veevavault.com/ui/#doc_info/26316314/1/0", "42847922MDD3003---Laboratory Manual-02 May 2024 (v1.0)")</f>
        <v>42847922MDD3003---Laboratory Manual-02 May 2024 (v1.0)</v>
      </c>
      <c r="B422" s="3" t="inlineStr">
        <is>
          <t>Centralized Testing</t>
        </is>
      </c>
      <c r="C422" s="3" t="inlineStr">
        <is>
          <t>Facility Documentation</t>
        </is>
      </c>
      <c r="D422" s="3" t="inlineStr">
        <is>
          <t>Laboratory Manual</t>
        </is>
      </c>
      <c r="E422" s="3" t="inlineStr">
        <is>
          <t>ECG_42847922MDD3003_GE MAC2000  Presentation Slides_v1.0_2MAY2024.pptx</t>
        </is>
      </c>
      <c r="F422" s="2" t="str">
        <f>HYPERLINK("https://vtmf.veevavault.com/ui/#doc_info/26316314/1/0", "VTMF-21055906")</f>
        <v>VTMF-21055906</v>
      </c>
      <c r="G422" s="3" t="inlineStr">
        <is>
          <t/>
        </is>
      </c>
      <c r="H422" s="3" t="inlineStr">
        <is>
          <t>Anthony Suarez (veeva.com)</t>
        </is>
      </c>
      <c r="I422" s="3" t="inlineStr">
        <is>
          <t>Jennifer Hockenbury</t>
        </is>
      </c>
      <c r="J422" s="4" t="n">
        <v>45425.92238425926</v>
      </c>
      <c r="K422" s="5" t="n">
        <v>45425.0</v>
      </c>
      <c r="L422" s="5" t="n">
        <v>45414.0</v>
      </c>
      <c r="M422" s="3" t="inlineStr">
        <is>
          <t>Approved</t>
        </is>
      </c>
      <c r="N422" s="3" t="inlineStr">
        <is>
          <t>Available for Distribution, Study Start</t>
        </is>
      </c>
      <c r="O422" s="3" t="inlineStr">
        <is>
          <t>42847922MDD3003</t>
        </is>
      </c>
    </row>
    <row r="423">
      <c r="A423" s="2" t="str">
        <f>HYPERLINK("https://vtmf.veevavault.com/ui/#doc_info/30449548/1/0", "42847922MDD3003---Laboratory Manual-03 Nov 2025 (v1.0)")</f>
        <v>42847922MDD3003---Laboratory Manual-03 Nov 2025 (v1.0)</v>
      </c>
      <c r="B423" s="3" t="inlineStr">
        <is>
          <t>Centralized Testing</t>
        </is>
      </c>
      <c r="C423" s="3" t="inlineStr">
        <is>
          <t>Facility Documentation</t>
        </is>
      </c>
      <c r="D423" s="3" t="inlineStr">
        <is>
          <t>Laboratory Manual</t>
        </is>
      </c>
      <c r="E423" s="3" t="inlineStr">
        <is>
          <t>ECG_42847922MDD3003_CS_MasterSlides_ELI150c_MAC2000_02.00_Final.pptx</t>
        </is>
      </c>
      <c r="F423" s="2" t="str">
        <f>HYPERLINK("https://vtmf.veevavault.com/ui/#doc_info/30449548/1/0", "VTMF-24529436")</f>
        <v>VTMF-24529436</v>
      </c>
      <c r="G423" s="3" t="inlineStr">
        <is>
          <t/>
        </is>
      </c>
      <c r="H423" s="3" t="inlineStr">
        <is>
          <t>System</t>
        </is>
      </c>
      <c r="I423" s="3" t="inlineStr">
        <is>
          <t>Jennifer Hockenbury</t>
        </is>
      </c>
      <c r="J423" s="4" t="n">
        <v>45982.636782407404</v>
      </c>
      <c r="K423" s="5" t="n">
        <v>45982.0</v>
      </c>
      <c r="L423" s="5" t="n">
        <v>45964.0</v>
      </c>
      <c r="M423" s="3" t="inlineStr">
        <is>
          <t>Approved</t>
        </is>
      </c>
      <c r="N423" s="3" t="inlineStr">
        <is>
          <t>Available for Distribution, Study Start</t>
        </is>
      </c>
      <c r="O423" s="3" t="inlineStr">
        <is>
          <t>42847922MDD3003</t>
        </is>
      </c>
    </row>
    <row r="424">
      <c r="A424" s="2" t="str">
        <f>HYPERLINK("https://vtmf.veevavault.com/ui/#doc_info/26144033/2/0", "42847922MDD3003---Laboratory Manual-14 Jun 2024 (v2.0)")</f>
        <v>42847922MDD3003---Laboratory Manual-14 Jun 2024 (v2.0)</v>
      </c>
      <c r="B424" s="3" t="inlineStr">
        <is>
          <t>Centralized Testing</t>
        </is>
      </c>
      <c r="C424" s="3" t="inlineStr">
        <is>
          <t>Facility Documentation</t>
        </is>
      </c>
      <c r="D424" s="3" t="inlineStr">
        <is>
          <t>Laboratory Manual</t>
        </is>
      </c>
      <c r="E424" s="3" t="inlineStr">
        <is>
          <t>42847922MDD3003 - Labcorp_Central Laboratory Services Manual_Region: North America_V2.0.0_14June2024</t>
        </is>
      </c>
      <c r="F424" s="2" t="str">
        <f>HYPERLINK("https://vtmf.veevavault.com/ui/#doc_info/26144033/2/0", "VTMF-20907086")</f>
        <v>VTMF-20907086</v>
      </c>
      <c r="G424" s="3" t="inlineStr">
        <is>
          <t/>
        </is>
      </c>
      <c r="H424" s="3" t="inlineStr">
        <is>
          <t>System</t>
        </is>
      </c>
      <c r="I424" s="3" t="inlineStr">
        <is>
          <t>Debhora Garcia</t>
        </is>
      </c>
      <c r="J424" s="4" t="n">
        <v>45475.77001157407</v>
      </c>
      <c r="K424" s="5" t="n">
        <v>45475.0</v>
      </c>
      <c r="L424" s="5" t="n">
        <v>45457.0</v>
      </c>
      <c r="M424" s="3" t="inlineStr">
        <is>
          <t>Approved</t>
        </is>
      </c>
      <c r="N424" s="3" t="inlineStr">
        <is>
          <t>Available for Distribution, Study Start</t>
        </is>
      </c>
      <c r="O424" s="3" t="inlineStr">
        <is>
          <t>42847922MDD3003</t>
        </is>
      </c>
    </row>
    <row r="425">
      <c r="A425" s="2" t="str">
        <f>HYPERLINK("https://vtmf.veevavault.com/ui/#doc_info/26316302/1/0", "42847922MDD3003---Laboratory Manual-16 Feb 2024 (v1.0)")</f>
        <v>42847922MDD3003---Laboratory Manual-16 Feb 2024 (v1.0)</v>
      </c>
      <c r="B425" s="3" t="inlineStr">
        <is>
          <t>Centralized Testing</t>
        </is>
      </c>
      <c r="C425" s="3" t="inlineStr">
        <is>
          <t>Facility Documentation</t>
        </is>
      </c>
      <c r="D425" s="3" t="inlineStr">
        <is>
          <t>Laboratory Manual</t>
        </is>
      </c>
      <c r="E425" s="3" t="inlineStr">
        <is>
          <t>ECG_42847922MDD3003_Paper ECG Upload Guide_v1.0._16Feb2024_docx</t>
        </is>
      </c>
      <c r="F425" s="2" t="str">
        <f>HYPERLINK("https://vtmf.veevavault.com/ui/#doc_info/26316302/1/0", "VTMF-21055890")</f>
        <v>VTMF-21055890</v>
      </c>
      <c r="G425" s="3" t="inlineStr">
        <is>
          <t/>
        </is>
      </c>
      <c r="H425" s="3" t="inlineStr">
        <is>
          <t>Anthony Suarez (veeva.com)</t>
        </is>
      </c>
      <c r="I425" s="3" t="inlineStr">
        <is>
          <t>Jennifer Hockenbury</t>
        </is>
      </c>
      <c r="J425" s="4" t="n">
        <v>45425.919699074075</v>
      </c>
      <c r="K425" s="5" t="n">
        <v>45593.0</v>
      </c>
      <c r="L425" s="5" t="n">
        <v>45338.0</v>
      </c>
      <c r="M425" s="3" t="inlineStr">
        <is>
          <t>Approved</t>
        </is>
      </c>
      <c r="N425" s="3" t="inlineStr">
        <is>
          <t>Available for Distribution, Study Start</t>
        </is>
      </c>
      <c r="O425" s="3" t="inlineStr">
        <is>
          <t>42847922MDD3003</t>
        </is>
      </c>
    </row>
    <row r="426">
      <c r="A426" s="2" t="str">
        <f>HYPERLINK("https://vtmf.veevavault.com/ui/#doc_info/26316308/1/0", "42847922MDD3003---Laboratory Manual-16 Feb 2024 (v1.0)")</f>
        <v>42847922MDD3003---Laboratory Manual-16 Feb 2024 (v1.0)</v>
      </c>
      <c r="B426" s="3" t="inlineStr">
        <is>
          <t>Centralized Testing</t>
        </is>
      </c>
      <c r="C426" s="3" t="inlineStr">
        <is>
          <t>Facility Documentation</t>
        </is>
      </c>
      <c r="D426" s="3" t="inlineStr">
        <is>
          <t>Laboratory Manual</t>
        </is>
      </c>
      <c r="E426" s="3" t="inlineStr">
        <is>
          <t>ECG_42847922MDD3003_Site Set-Up Memo_16FEB2024.docx</t>
        </is>
      </c>
      <c r="F426" s="2" t="str">
        <f>HYPERLINK("https://vtmf.veevavault.com/ui/#doc_info/26316308/1/0", "VTMF-21055896")</f>
        <v>VTMF-21055896</v>
      </c>
      <c r="G426" s="3" t="inlineStr">
        <is>
          <t/>
        </is>
      </c>
      <c r="H426" s="3" t="inlineStr">
        <is>
          <t>Anthony Suarez (veeva.com)</t>
        </is>
      </c>
      <c r="I426" s="3" t="inlineStr">
        <is>
          <t>Jennifer Hockenbury</t>
        </is>
      </c>
      <c r="J426" s="4" t="n">
        <v>45425.92087962963</v>
      </c>
      <c r="K426" s="5" t="n">
        <v>45425.0</v>
      </c>
      <c r="L426" s="5" t="n">
        <v>45338.0</v>
      </c>
      <c r="M426" s="3" t="inlineStr">
        <is>
          <t>Approved</t>
        </is>
      </c>
      <c r="N426" s="3" t="inlineStr">
        <is>
          <t>Available for Distribution, Study Start</t>
        </is>
      </c>
      <c r="O426" s="3" t="inlineStr">
        <is>
          <t>42847922MDD3003</t>
        </is>
      </c>
    </row>
    <row r="427">
      <c r="A427" s="2" t="str">
        <f>HYPERLINK("https://vtmf.veevavault.com/ui/#doc_info/26190645/2/0", "42847922MDD3003---Laboratory Manual-18 Jun 2024 (v2.0)")</f>
        <v>42847922MDD3003---Laboratory Manual-18 Jun 2024 (v2.0)</v>
      </c>
      <c r="B427" s="3" t="inlineStr">
        <is>
          <t>Centralized Testing</t>
        </is>
      </c>
      <c r="C427" s="3" t="inlineStr">
        <is>
          <t>Facility Documentation</t>
        </is>
      </c>
      <c r="D427" s="3" t="inlineStr">
        <is>
          <t>Laboratory Manual</t>
        </is>
      </c>
      <c r="E427" s="3" t="inlineStr">
        <is>
          <t>42847922MDD3003 LabCorp Central Laboratory Services Manual EMEA_V2.0.0_18-June-2024</t>
        </is>
      </c>
      <c r="F427" s="2" t="str">
        <f>HYPERLINK("https://vtmf.veevavault.com/ui/#doc_info/26190645/2/0", "VTMF-20946752")</f>
        <v>VTMF-20946752</v>
      </c>
      <c r="G427" s="3" t="inlineStr">
        <is>
          <t/>
        </is>
      </c>
      <c r="H427" s="3" t="inlineStr">
        <is>
          <t>System</t>
        </is>
      </c>
      <c r="I427" s="3" t="inlineStr">
        <is>
          <t>Debhora Garcia</t>
        </is>
      </c>
      <c r="J427" s="4" t="n">
        <v>45475.77239583333</v>
      </c>
      <c r="K427" s="5" t="n">
        <v>45475.0</v>
      </c>
      <c r="L427" s="5" t="n">
        <v>45461.0</v>
      </c>
      <c r="M427" s="3" t="inlineStr">
        <is>
          <t>Approved</t>
        </is>
      </c>
      <c r="N427" s="3" t="inlineStr">
        <is>
          <t>Available for Distribution, Study Start</t>
        </is>
      </c>
      <c r="O427" s="3" t="inlineStr">
        <is>
          <t>42847922MDD3003</t>
        </is>
      </c>
    </row>
    <row r="428">
      <c r="A428" s="2" t="str">
        <f>HYPERLINK("https://vtmf.veevavault.com/ui/#doc_info/26190652/2/0", "42847922MDD3003---Laboratory Manual-18 Jun 2024 (v2.0)")</f>
        <v>42847922MDD3003---Laboratory Manual-18 Jun 2024 (v2.0)</v>
      </c>
      <c r="B428" s="3" t="inlineStr">
        <is>
          <t>Centralized Testing</t>
        </is>
      </c>
      <c r="C428" s="3" t="inlineStr">
        <is>
          <t>Facility Documentation</t>
        </is>
      </c>
      <c r="D428" s="3" t="inlineStr">
        <is>
          <t>Laboratory Manual</t>
        </is>
      </c>
      <c r="E428" s="3" t="inlineStr">
        <is>
          <t>42847922MDD3003 LabCorp Central Laboratory Services Manual Latin America_V2.0.0_18-Jun-2024</t>
        </is>
      </c>
      <c r="F428" s="2" t="str">
        <f>HYPERLINK("https://vtmf.veevavault.com/ui/#doc_info/26190652/2/0", "VTMF-20946790")</f>
        <v>VTMF-20946790</v>
      </c>
      <c r="G428" s="3" t="inlineStr">
        <is>
          <t/>
        </is>
      </c>
      <c r="H428" s="3" t="inlineStr">
        <is>
          <t>System</t>
        </is>
      </c>
      <c r="I428" s="3" t="inlineStr">
        <is>
          <t>Debhora Garcia</t>
        </is>
      </c>
      <c r="J428" s="4" t="n">
        <v>45475.77457175926</v>
      </c>
      <c r="K428" s="5" t="n">
        <v>45475.0</v>
      </c>
      <c r="L428" s="5" t="n">
        <v>45461.0</v>
      </c>
      <c r="M428" s="3" t="inlineStr">
        <is>
          <t>Approved</t>
        </is>
      </c>
      <c r="N428" s="3" t="inlineStr">
        <is>
          <t>Available for Distribution, Study Start</t>
        </is>
      </c>
      <c r="O428" s="3" t="inlineStr">
        <is>
          <t>42847922MDD3003</t>
        </is>
      </c>
    </row>
    <row r="429">
      <c r="A429" s="2" t="str">
        <f>HYPERLINK("https://vtmf.veevavault.com/ui/#doc_info/26722864/2/0", "42847922MDD3003---Laboratory Manual-20 Sep 2024 (v2.0)")</f>
        <v>42847922MDD3003---Laboratory Manual-20 Sep 2024 (v2.0)</v>
      </c>
      <c r="B429" s="3" t="inlineStr">
        <is>
          <t>Centralized Testing</t>
        </is>
      </c>
      <c r="C429" s="3" t="inlineStr">
        <is>
          <t>Facility Documentation</t>
        </is>
      </c>
      <c r="D429" s="3" t="inlineStr">
        <is>
          <t>Laboratory Manual</t>
        </is>
      </c>
      <c r="E429" s="3" t="inlineStr">
        <is>
          <t>CIRP Web Conference Call Audio Capture Training Manual_V2_20Sept2024</t>
        </is>
      </c>
      <c r="F429" s="2" t="str">
        <f>HYPERLINK("https://vtmf.veevavault.com/ui/#doc_info/26722864/2/0", "VTMF-21412717")</f>
        <v>VTMF-21412717</v>
      </c>
      <c r="G429" s="3" t="inlineStr">
        <is>
          <t/>
        </is>
      </c>
      <c r="H429" s="3" t="inlineStr">
        <is>
          <t>Anthony Suarez (veeva.com)</t>
        </is>
      </c>
      <c r="I429" s="3" t="inlineStr">
        <is>
          <t>Gina Stefanelli</t>
        </is>
      </c>
      <c r="J429" s="4" t="n">
        <v>45736.703148148146</v>
      </c>
      <c r="K429" s="5" t="n">
        <v>45736.0</v>
      </c>
      <c r="L429" s="5" t="n">
        <v>45555.0</v>
      </c>
      <c r="M429" s="3" t="inlineStr">
        <is>
          <t>Approved</t>
        </is>
      </c>
      <c r="N429" s="3" t="inlineStr">
        <is>
          <t>Available for Distribution, Study Start</t>
        </is>
      </c>
      <c r="O429" s="3" t="inlineStr">
        <is>
          <t>42847922MDD3003</t>
        </is>
      </c>
    </row>
    <row r="430">
      <c r="A430" s="2" t="str">
        <f>HYPERLINK("https://vtmf.veevavault.com/ui/#doc_info/26316278/1/0", "42847922MDD3003---Laboratory Manual-24 Apr 2024 (v1.0)")</f>
        <v>42847922MDD3003---Laboratory Manual-24 Apr 2024 (v1.0)</v>
      </c>
      <c r="B430" s="3" t="inlineStr">
        <is>
          <t>Centralized Testing</t>
        </is>
      </c>
      <c r="C430" s="3" t="inlineStr">
        <is>
          <t>Facility Documentation</t>
        </is>
      </c>
      <c r="D430" s="3" t="inlineStr">
        <is>
          <t>Laboratory Manual</t>
        </is>
      </c>
      <c r="E430" s="3" t="inlineStr">
        <is>
          <t>ECG_42847922MDD3003_MAC2000 Quick Guide_Janssen__24APR2024.docx</t>
        </is>
      </c>
      <c r="F430" s="2" t="str">
        <f>HYPERLINK("https://vtmf.veevavault.com/ui/#doc_info/26316278/1/0", "VTMF-21055862")</f>
        <v>VTMF-21055862</v>
      </c>
      <c r="G430" s="3" t="inlineStr">
        <is>
          <t/>
        </is>
      </c>
      <c r="H430" s="3" t="inlineStr">
        <is>
          <t>Anthony Suarez (veeva.com)</t>
        </is>
      </c>
      <c r="I430" s="3" t="inlineStr">
        <is>
          <t>Jennifer Hockenbury</t>
        </is>
      </c>
      <c r="J430" s="4" t="n">
        <v>45425.91447916667</v>
      </c>
      <c r="K430" s="5" t="n">
        <v>45425.0</v>
      </c>
      <c r="L430" s="5" t="n">
        <v>45406.0</v>
      </c>
      <c r="M430" s="3" t="inlineStr">
        <is>
          <t>Approved</t>
        </is>
      </c>
      <c r="N430" s="3" t="inlineStr">
        <is>
          <t>Available for Distribution, Study Start</t>
        </is>
      </c>
      <c r="O430" s="3" t="inlineStr">
        <is>
          <t>42847922MDD3003</t>
        </is>
      </c>
    </row>
    <row r="431">
      <c r="A431" s="2" t="str">
        <f>HYPERLINK("https://vtmf.veevavault.com/ui/#doc_info/26316060/1/0", "42847922MDD3003---Laboratory Manual-25 Apr 2024 (v1.0)")</f>
        <v>42847922MDD3003---Laboratory Manual-25 Apr 2024 (v1.0)</v>
      </c>
      <c r="B431" s="3" t="inlineStr">
        <is>
          <t>Centralized Testing</t>
        </is>
      </c>
      <c r="C431" s="3" t="inlineStr">
        <is>
          <t>Facility Documentation</t>
        </is>
      </c>
      <c r="D431" s="3" t="inlineStr">
        <is>
          <t>Laboratory Manual</t>
        </is>
      </c>
      <c r="E431" s="3" t="inlineStr">
        <is>
          <t>ECG_42847922MDD3003_Cardiac Upload Quick Guide_V1.0_Sent 25Apr2024</t>
        </is>
      </c>
      <c r="F431" s="2" t="str">
        <f>HYPERLINK("https://vtmf.veevavault.com/ui/#doc_info/26316060/1/0", "VTMF-21055826")</f>
        <v>VTMF-21055826</v>
      </c>
      <c r="G431" s="3" t="inlineStr">
        <is>
          <t/>
        </is>
      </c>
      <c r="H431" s="3" t="inlineStr">
        <is>
          <t>Anthony Suarez (veeva.com)</t>
        </is>
      </c>
      <c r="I431" s="3" t="inlineStr">
        <is>
          <t>Jennifer Hockenbury</t>
        </is>
      </c>
      <c r="J431" s="4" t="n">
        <v>45425.90611111111</v>
      </c>
      <c r="K431" s="5" t="n">
        <v>45425.0</v>
      </c>
      <c r="L431" s="5" t="n">
        <v>45407.0</v>
      </c>
      <c r="M431" s="3" t="inlineStr">
        <is>
          <t>Approved</t>
        </is>
      </c>
      <c r="N431" s="3" t="inlineStr">
        <is>
          <t>Available for Distribution, Study Start</t>
        </is>
      </c>
      <c r="O431" s="3" t="inlineStr">
        <is>
          <t>42847922MDD3003</t>
        </is>
      </c>
    </row>
    <row r="432">
      <c r="A432" s="2" t="str">
        <f>HYPERLINK("https://vtmf.veevavault.com/ui/#doc_info/26316064/1/0", "42847922MDD3003---Laboratory Manual-25 Apr 2024 (v1.0)")</f>
        <v>42847922MDD3003---Laboratory Manual-25 Apr 2024 (v1.0)</v>
      </c>
      <c r="B432" s="3" t="inlineStr">
        <is>
          <t>Centralized Testing</t>
        </is>
      </c>
      <c r="C432" s="3" t="inlineStr">
        <is>
          <t>Facility Documentation</t>
        </is>
      </c>
      <c r="D432" s="3" t="inlineStr">
        <is>
          <t>Laboratory Manual</t>
        </is>
      </c>
      <c r="E432" s="3" t="inlineStr">
        <is>
          <t>ECG_42847922MDD3003_Cardiac Safety Study Manual_25APR2024.docx</t>
        </is>
      </c>
      <c r="F432" s="2" t="str">
        <f>HYPERLINK("https://vtmf.veevavault.com/ui/#doc_info/26316064/1/0", "VTMF-21055832")</f>
        <v>VTMF-21055832</v>
      </c>
      <c r="G432" s="3" t="inlineStr">
        <is>
          <t/>
        </is>
      </c>
      <c r="H432" s="3" t="inlineStr">
        <is>
          <t>Anthony Suarez (veeva.com)</t>
        </is>
      </c>
      <c r="I432" s="3" t="inlineStr">
        <is>
          <t>Jennifer Hockenbury</t>
        </is>
      </c>
      <c r="J432" s="4" t="n">
        <v>45425.907372685186</v>
      </c>
      <c r="K432" s="5" t="n">
        <v>45425.0</v>
      </c>
      <c r="L432" s="5" t="n">
        <v>45407.0</v>
      </c>
      <c r="M432" s="3" t="inlineStr">
        <is>
          <t>Approved</t>
        </is>
      </c>
      <c r="N432" s="3" t="inlineStr">
        <is>
          <t>Available for Distribution, Study Start</t>
        </is>
      </c>
      <c r="O432" s="3" t="inlineStr">
        <is>
          <t>42847922MDD3003</t>
        </is>
      </c>
    </row>
    <row r="433">
      <c r="A433" s="2" t="str">
        <f>HYPERLINK("https://vtmf.veevavault.com/ui/#doc_info/26316284/1/0", "42847922MDD3003---Laboratory Manual-25 Apr 2024 (v1.0)")</f>
        <v>42847922MDD3003---Laboratory Manual-25 Apr 2024 (v1.0)</v>
      </c>
      <c r="B433" s="3" t="inlineStr">
        <is>
          <t>Centralized Testing</t>
        </is>
      </c>
      <c r="C433" s="3" t="inlineStr">
        <is>
          <t>Facility Documentation</t>
        </is>
      </c>
      <c r="D433" s="3" t="inlineStr">
        <is>
          <t>Laboratory Manual</t>
        </is>
      </c>
      <c r="E433" s="3" t="inlineStr">
        <is>
          <t>ECG_42847922MDD3003_MAC2000 Technician Removal Form__25APR2024.docx</t>
        </is>
      </c>
      <c r="F433" s="2" t="str">
        <f>HYPERLINK("https://vtmf.veevavault.com/ui/#doc_info/26316284/1/0", "VTMF-21055868")</f>
        <v>VTMF-21055868</v>
      </c>
      <c r="G433" s="3" t="inlineStr">
        <is>
          <t/>
        </is>
      </c>
      <c r="H433" s="3" t="inlineStr">
        <is>
          <t>Anthony Suarez (veeva.com)</t>
        </is>
      </c>
      <c r="I433" s="3" t="inlineStr">
        <is>
          <t>Jennifer Hockenbury</t>
        </is>
      </c>
      <c r="J433" s="4" t="n">
        <v>45425.91556712963</v>
      </c>
      <c r="K433" s="5" t="n">
        <v>45425.0</v>
      </c>
      <c r="L433" s="5" t="n">
        <v>45407.0</v>
      </c>
      <c r="M433" s="3" t="inlineStr">
        <is>
          <t>Approved</t>
        </is>
      </c>
      <c r="N433" s="3" t="inlineStr">
        <is>
          <t>Available for Distribution, Study Start</t>
        </is>
      </c>
      <c r="O433" s="3" t="inlineStr">
        <is>
          <t>42847922MDD3003</t>
        </is>
      </c>
    </row>
    <row r="434">
      <c r="A434" s="2" t="str">
        <f>HYPERLINK("https://vtmf.veevavault.com/ui/#doc_info/26316290/1/0", "42847922MDD3003---Laboratory Manual-25 Apr 2024 (v1.0)")</f>
        <v>42847922MDD3003---Laboratory Manual-25 Apr 2024 (v1.0)</v>
      </c>
      <c r="B434" s="3" t="inlineStr">
        <is>
          <t>Centralized Testing</t>
        </is>
      </c>
      <c r="C434" s="3" t="inlineStr">
        <is>
          <t>Facility Documentation</t>
        </is>
      </c>
      <c r="D434" s="3" t="inlineStr">
        <is>
          <t>Laboratory Manual</t>
        </is>
      </c>
      <c r="E434" s="3" t="inlineStr">
        <is>
          <t>ECG42847922MDD3003_MAC2000 Technician User Creation Form_25APR2024.docx</t>
        </is>
      </c>
      <c r="F434" s="2" t="str">
        <f>HYPERLINK("https://vtmf.veevavault.com/ui/#doc_info/26316290/1/0", "VTMF-21055874")</f>
        <v>VTMF-21055874</v>
      </c>
      <c r="G434" s="3" t="inlineStr">
        <is>
          <t/>
        </is>
      </c>
      <c r="H434" s="3" t="inlineStr">
        <is>
          <t>Anthony Suarez (veeva.com)</t>
        </is>
      </c>
      <c r="I434" s="3" t="inlineStr">
        <is>
          <t>Jennifer Hockenbury</t>
        </is>
      </c>
      <c r="J434" s="4" t="n">
        <v>45425.91707175926</v>
      </c>
      <c r="K434" s="5" t="n">
        <v>45425.0</v>
      </c>
      <c r="L434" s="5" t="n">
        <v>45407.0</v>
      </c>
      <c r="M434" s="3" t="inlineStr">
        <is>
          <t>Approved</t>
        </is>
      </c>
      <c r="N434" s="3" t="inlineStr">
        <is>
          <t>Available for Distribution, Study Start</t>
        </is>
      </c>
      <c r="O434" s="3" t="inlineStr">
        <is>
          <t>42847922MDD3003</t>
        </is>
      </c>
    </row>
    <row r="435">
      <c r="A435" s="2" t="str">
        <f>HYPERLINK("https://vtmf.veevavault.com/ui/#doc_info/25846575/1/0", "42847922MDD3003---Laboratory Manual-28 Feb 2024 (v1.0)")</f>
        <v>42847922MDD3003---Laboratory Manual-28 Feb 2024 (v1.0)</v>
      </c>
      <c r="B435" s="3" t="inlineStr">
        <is>
          <t>Centralized Testing</t>
        </is>
      </c>
      <c r="C435" s="3" t="inlineStr">
        <is>
          <t>Facility Documentation</t>
        </is>
      </c>
      <c r="D435" s="3" t="inlineStr">
        <is>
          <t>Laboratory Manual</t>
        </is>
      </c>
      <c r="E435" s="3" t="inlineStr">
        <is>
          <t>Investigator Laboratory Summary_North America; 28Feb2024</t>
        </is>
      </c>
      <c r="F435" s="2" t="str">
        <f>HYPERLINK("https://vtmf.veevavault.com/ui/#doc_info/25846575/1/0", "VTMF-20643855")</f>
        <v>VTMF-20643855</v>
      </c>
      <c r="G435" s="3" t="inlineStr">
        <is>
          <t/>
        </is>
      </c>
      <c r="H435" s="3" t="inlineStr">
        <is>
          <t>System</t>
        </is>
      </c>
      <c r="I435" s="3" t="inlineStr">
        <is>
          <t>Debhora Garcia</t>
        </is>
      </c>
      <c r="J435" s="4" t="n">
        <v>45356.02621527778</v>
      </c>
      <c r="K435" s="5" t="n">
        <v>45355.0</v>
      </c>
      <c r="L435" s="5" t="n">
        <v>45350.0</v>
      </c>
      <c r="M435" s="3" t="inlineStr">
        <is>
          <t>Approved</t>
        </is>
      </c>
      <c r="N435" s="3" t="inlineStr">
        <is>
          <t>Available for Distribution, Study Start</t>
        </is>
      </c>
      <c r="O435" s="3" t="inlineStr">
        <is>
          <t>42847922MDD3003</t>
        </is>
      </c>
    </row>
    <row r="436">
      <c r="A436" s="2" t="str">
        <f>HYPERLINK("https://vtmf.veevavault.com/ui/#doc_info/26722773/3/0", "42847922MDD3003---Laboratory Manual-28 Jan 2025 (v3.0)")</f>
        <v>42847922MDD3003---Laboratory Manual-28 Jan 2025 (v3.0)</v>
      </c>
      <c r="B436" s="3" t="inlineStr">
        <is>
          <t>Centralized Testing</t>
        </is>
      </c>
      <c r="C436" s="3" t="inlineStr">
        <is>
          <t>Facility Documentation</t>
        </is>
      </c>
      <c r="D436" s="3" t="inlineStr">
        <is>
          <t>Laboratory Manual</t>
        </is>
      </c>
      <c r="E436" s="3" t="inlineStr">
        <is>
          <t>CIRP Audio Capture Manual_V3_Final_28Jan25</t>
        </is>
      </c>
      <c r="F436" s="2" t="str">
        <f>HYPERLINK("https://vtmf.veevavault.com/ui/#doc_info/26722773/3/0", "VTMF-21412666")</f>
        <v>VTMF-21412666</v>
      </c>
      <c r="G436" s="3" t="inlineStr">
        <is>
          <t/>
        </is>
      </c>
      <c r="H436" s="3" t="inlineStr">
        <is>
          <t>Anthony Suarez (veeva.com)</t>
        </is>
      </c>
      <c r="I436" s="3" t="inlineStr">
        <is>
          <t>Gina Stefanelli</t>
        </is>
      </c>
      <c r="J436" s="4" t="n">
        <v>45736.72144675926</v>
      </c>
      <c r="K436" s="5" t="n">
        <v>45736.0</v>
      </c>
      <c r="L436" s="5" t="n">
        <v>45685.0</v>
      </c>
      <c r="M436" s="3" t="inlineStr">
        <is>
          <t>Approved</t>
        </is>
      </c>
      <c r="N436" s="3" t="inlineStr">
        <is>
          <t>Available for Distribution, Study Start</t>
        </is>
      </c>
      <c r="O436" s="3" t="inlineStr">
        <is>
          <t>42847922MDD3003</t>
        </is>
      </c>
    </row>
    <row r="437">
      <c r="A437" s="2" t="str">
        <f>HYPERLINK("https://vtmf.veevavault.com/ui/#doc_info/26722835/3/0", "42847922MDD3003---Laboratory Manual-28 Jan 2025 (v3.0)")</f>
        <v>42847922MDD3003---Laboratory Manual-28 Jan 2025 (v3.0)</v>
      </c>
      <c r="B437" s="3" t="inlineStr">
        <is>
          <t>Centralized Testing</t>
        </is>
      </c>
      <c r="C437" s="3" t="inlineStr">
        <is>
          <t>Facility Documentation</t>
        </is>
      </c>
      <c r="D437" s="3" t="inlineStr">
        <is>
          <t>Laboratory Manual</t>
        </is>
      </c>
      <c r="E437" s="3" t="inlineStr">
        <is>
          <t>CIRP Scheduler &amp; Document Repository Manual_V3_Final_28Jan25</t>
        </is>
      </c>
      <c r="F437" s="2" t="str">
        <f>HYPERLINK("https://vtmf.veevavault.com/ui/#doc_info/26722835/3/0", "VTMF-21412622")</f>
        <v>VTMF-21412622</v>
      </c>
      <c r="G437" s="3" t="inlineStr">
        <is>
          <t/>
        </is>
      </c>
      <c r="H437" s="3" t="inlineStr">
        <is>
          <t>Anthony Suarez (veeva.com)</t>
        </is>
      </c>
      <c r="I437" s="3" t="inlineStr">
        <is>
          <t>Gina Stefanelli</t>
        </is>
      </c>
      <c r="J437" s="4" t="n">
        <v>45736.72023148148</v>
      </c>
      <c r="K437" s="5" t="n">
        <v>45736.0</v>
      </c>
      <c r="L437" s="5" t="n">
        <v>45685.0</v>
      </c>
      <c r="M437" s="3" t="inlineStr">
        <is>
          <t>Approved</t>
        </is>
      </c>
      <c r="N437" s="3" t="inlineStr">
        <is>
          <t>Available for Distribution, Study Start</t>
        </is>
      </c>
      <c r="O437" s="3" t="inlineStr">
        <is>
          <t>42847922MDD3003</t>
        </is>
      </c>
    </row>
    <row r="438">
      <c r="A438" s="2" t="str">
        <f>HYPERLINK("https://vtmf.veevavault.com/ui/#doc_info/26250490/1/0", "42847922MDD3003---Laboratory Validation Documentation-15 Mar 2024 (v1.0)")</f>
        <v>42847922MDD3003---Laboratory Validation Documentation-15 Mar 2024 (v1.0)</v>
      </c>
      <c r="B438" s="3" t="inlineStr">
        <is>
          <t>Centralized Testing</t>
        </is>
      </c>
      <c r="C438" s="3" t="inlineStr">
        <is>
          <t>Facility Documentation</t>
        </is>
      </c>
      <c r="D438" s="3" t="inlineStr">
        <is>
          <t>Laboratory Validation Documentation</t>
        </is>
      </c>
      <c r="E438" s="3" t="inlineStr">
        <is>
          <t>42847922MDD3003 LabCorp Escitalopram External Laboratory Worksheet EDTA Plasma 15Mar2024</t>
        </is>
      </c>
      <c r="F438" s="2" t="str">
        <f>HYPERLINK("https://vtmf.veevavault.com/ui/#doc_info/26250490/1/0", "VTMF-20998531")</f>
        <v>VTMF-20998531</v>
      </c>
      <c r="G438" s="3" t="inlineStr">
        <is>
          <t/>
        </is>
      </c>
      <c r="H438" s="3" t="inlineStr">
        <is>
          <t>System</t>
        </is>
      </c>
      <c r="I438" s="3" t="inlineStr">
        <is>
          <t>Jamie Hardy</t>
        </is>
      </c>
      <c r="J438" s="4" t="n">
        <v>45414.67795138889</v>
      </c>
      <c r="K438" s="5" t="n">
        <v>45414.0</v>
      </c>
      <c r="L438" s="5" t="n">
        <v>45366.0</v>
      </c>
      <c r="M438" s="3" t="inlineStr">
        <is>
          <t>Approved</t>
        </is>
      </c>
      <c r="N438" s="3" t="inlineStr">
        <is>
          <t>Study Start</t>
        </is>
      </c>
      <c r="O438" s="3" t="inlineStr">
        <is>
          <t>42847922MDD3003</t>
        </is>
      </c>
    </row>
    <row r="439">
      <c r="A439" s="2" t="str">
        <f>HYPERLINK("https://vtmf.veevavault.com/ui/#doc_info/26250496/1/0", "42847922MDD3003---Laboratory Validation Documentation-15 Mar 2024 (v1.0)")</f>
        <v>42847922MDD3003---Laboratory Validation Documentation-15 Mar 2024 (v1.0)</v>
      </c>
      <c r="B439" s="3" t="inlineStr">
        <is>
          <t>Centralized Testing</t>
        </is>
      </c>
      <c r="C439" s="3" t="inlineStr">
        <is>
          <t>Facility Documentation</t>
        </is>
      </c>
      <c r="D439" s="3" t="inlineStr">
        <is>
          <t>Laboratory Validation Documentation</t>
        </is>
      </c>
      <c r="E439" s="3" t="inlineStr">
        <is>
          <t>42847922MDD3003 LabCorp Milnacipran  External Laboratory Worksheet EDTA Plasma 15Mar2024</t>
        </is>
      </c>
      <c r="F439" s="2" t="str">
        <f>HYPERLINK("https://vtmf.veevavault.com/ui/#doc_info/26250496/1/0", "VTMF-20998546")</f>
        <v>VTMF-20998546</v>
      </c>
      <c r="G439" s="3" t="inlineStr">
        <is>
          <t/>
        </is>
      </c>
      <c r="H439" s="3" t="inlineStr">
        <is>
          <t>System</t>
        </is>
      </c>
      <c r="I439" s="3" t="inlineStr">
        <is>
          <t>Jamie Hardy</t>
        </is>
      </c>
      <c r="J439" s="4" t="n">
        <v>45414.6799537037</v>
      </c>
      <c r="K439" s="5" t="n">
        <v>45414.0</v>
      </c>
      <c r="L439" s="5" t="n">
        <v>45366.0</v>
      </c>
      <c r="M439" s="3" t="inlineStr">
        <is>
          <t>Approved</t>
        </is>
      </c>
      <c r="N439" s="3" t="inlineStr">
        <is>
          <t>Study Start</t>
        </is>
      </c>
      <c r="O439" s="3" t="inlineStr">
        <is>
          <t>42847922MDD3003</t>
        </is>
      </c>
    </row>
    <row r="440">
      <c r="A440" s="2" t="str">
        <f>HYPERLINK("https://vtmf.veevavault.com/ui/#doc_info/26250553/1/0", "42847922MDD3003---Laboratory Validation Documentation-15 Mar 2024 (v1.0)")</f>
        <v>42847922MDD3003---Laboratory Validation Documentation-15 Mar 2024 (v1.0)</v>
      </c>
      <c r="B440" s="3" t="inlineStr">
        <is>
          <t>Centralized Testing</t>
        </is>
      </c>
      <c r="C440" s="3" t="inlineStr">
        <is>
          <t>Facility Documentation</t>
        </is>
      </c>
      <c r="D440" s="3" t="inlineStr">
        <is>
          <t>Laboratory Validation Documentation</t>
        </is>
      </c>
      <c r="E440" s="3" t="inlineStr">
        <is>
          <t>42847922MDD3003 LabCorp Duloxetine External Laboratory Worksheet EDTA Plasma 15Mar2024</t>
        </is>
      </c>
      <c r="F440" s="2" t="str">
        <f>HYPERLINK("https://vtmf.veevavault.com/ui/#doc_info/26250553/1/0", "VTMF-20998489")</f>
        <v>VTMF-20998489</v>
      </c>
      <c r="G440" s="3" t="inlineStr">
        <is>
          <t/>
        </is>
      </c>
      <c r="H440" s="3" t="inlineStr">
        <is>
          <t>System</t>
        </is>
      </c>
      <c r="I440" s="3" t="inlineStr">
        <is>
          <t>Jamie Hardy</t>
        </is>
      </c>
      <c r="J440" s="4" t="n">
        <v>45414.671851851854</v>
      </c>
      <c r="K440" s="5" t="n">
        <v>45414.0</v>
      </c>
      <c r="L440" s="5" t="n">
        <v>45366.0</v>
      </c>
      <c r="M440" s="3" t="inlineStr">
        <is>
          <t>Approved</t>
        </is>
      </c>
      <c r="N440" s="3" t="inlineStr">
        <is>
          <t>Study Start</t>
        </is>
      </c>
      <c r="O440" s="3" t="inlineStr">
        <is>
          <t>42847922MDD3003</t>
        </is>
      </c>
    </row>
    <row r="441">
      <c r="A441" s="2" t="str">
        <f>HYPERLINK("https://vtmf.veevavault.com/ui/#doc_info/26250605/1/0", "42847922MDD3003---Laboratory Validation Documentation-15 Mar 2024 (v1.0)")</f>
        <v>42847922MDD3003---Laboratory Validation Documentation-15 Mar 2024 (v1.0)</v>
      </c>
      <c r="B441" s="3" t="inlineStr">
        <is>
          <t>Centralized Testing</t>
        </is>
      </c>
      <c r="C441" s="3" t="inlineStr">
        <is>
          <t>Facility Documentation</t>
        </is>
      </c>
      <c r="D441" s="3" t="inlineStr">
        <is>
          <t>Laboratory Validation Documentation</t>
        </is>
      </c>
      <c r="E441" s="3" t="inlineStr">
        <is>
          <t>42847922MDD3003 LabCorp Vilazodone  External Laboratory Worksheet 4790SP EDTA Plasma 15Mar2024</t>
        </is>
      </c>
      <c r="F441" s="2" t="str">
        <f>HYPERLINK("https://vtmf.veevavault.com/ui/#doc_info/26250605/1/0", "VTMF-20998562")</f>
        <v>VTMF-20998562</v>
      </c>
      <c r="G441" s="3" t="inlineStr">
        <is>
          <t/>
        </is>
      </c>
      <c r="H441" s="3" t="inlineStr">
        <is>
          <t>System</t>
        </is>
      </c>
      <c r="I441" s="3" t="inlineStr">
        <is>
          <t>Jamie Hardy</t>
        </is>
      </c>
      <c r="J441" s="4" t="n">
        <v>45414.681655092594</v>
      </c>
      <c r="K441" s="5" t="n">
        <v>45414.0</v>
      </c>
      <c r="L441" s="5" t="n">
        <v>45366.0</v>
      </c>
      <c r="M441" s="3" t="inlineStr">
        <is>
          <t>Approved</t>
        </is>
      </c>
      <c r="N441" s="3" t="inlineStr">
        <is>
          <t>Study Start</t>
        </is>
      </c>
      <c r="O441" s="3" t="inlineStr">
        <is>
          <t>42847922MDD3003</t>
        </is>
      </c>
    </row>
    <row r="442">
      <c r="A442" s="2" t="str">
        <f>HYPERLINK("https://vtmf.veevavault.com/ui/#doc_info/26250608/1/0", "42847922MDD3003---Laboratory Validation Documentation-15 Mar 2024 (v1.0)")</f>
        <v>42847922MDD3003---Laboratory Validation Documentation-15 Mar 2024 (v1.0)</v>
      </c>
      <c r="B442" s="3" t="inlineStr">
        <is>
          <t>Centralized Testing</t>
        </is>
      </c>
      <c r="C442" s="3" t="inlineStr">
        <is>
          <t>Facility Documentation</t>
        </is>
      </c>
      <c r="D442" s="3" t="inlineStr">
        <is>
          <t>Laboratory Validation Documentation</t>
        </is>
      </c>
      <c r="E442" s="3" t="inlineStr">
        <is>
          <t>42847922MDD3003 LabCorp Vortioxetine External Laboratory Worksheet EDTA Plasma 15Mar2024</t>
        </is>
      </c>
      <c r="F442" s="2" t="str">
        <f>HYPERLINK("https://vtmf.veevavault.com/ui/#doc_info/26250608/1/0", "VTMF-20998573")</f>
        <v>VTMF-20998573</v>
      </c>
      <c r="G442" s="3" t="inlineStr">
        <is>
          <t/>
        </is>
      </c>
      <c r="H442" s="3" t="inlineStr">
        <is>
          <t>System</t>
        </is>
      </c>
      <c r="I442" s="3" t="inlineStr">
        <is>
          <t>Jamie Hardy</t>
        </is>
      </c>
      <c r="J442" s="4" t="n">
        <v>45414.68274305556</v>
      </c>
      <c r="K442" s="5" t="n">
        <v>45414.0</v>
      </c>
      <c r="L442" s="5" t="n">
        <v>45366.0</v>
      </c>
      <c r="M442" s="3" t="inlineStr">
        <is>
          <t>Approved</t>
        </is>
      </c>
      <c r="N442" s="3" t="inlineStr">
        <is>
          <t>Study Start</t>
        </is>
      </c>
      <c r="O442" s="3" t="inlineStr">
        <is>
          <t>42847922MDD3003</t>
        </is>
      </c>
    </row>
    <row r="443">
      <c r="A443" s="2" t="str">
        <f>HYPERLINK("https://vtmf.veevavault.com/ui/#doc_info/27999805/1/0", "42847922MDD3003---Line Listing Distribution Lists-01 Jan 2025 (v1.0)")</f>
        <v>42847922MDD3003---Line Listing Distribution Lists-01 Jan 2025 (v1.0)</v>
      </c>
      <c r="B443" s="3" t="inlineStr">
        <is>
          <t>Safety Reporting</t>
        </is>
      </c>
      <c r="C443" s="3" t="inlineStr">
        <is>
          <t>Safety Documentation</t>
        </is>
      </c>
      <c r="D443" s="3" t="inlineStr">
        <is>
          <t>Line Listing Distribution Lists</t>
        </is>
      </c>
      <c r="E443" s="3" t="inlineStr">
        <is>
          <t>Transmission Status Report - 42847922MDD3003 - 01-Jan-2025</t>
        </is>
      </c>
      <c r="F443" s="2" t="str">
        <f>HYPERLINK("https://vtmf.veevavault.com/ui/#doc_info/27999805/1/0", "VTMF-22452602")</f>
        <v>VTMF-22452602</v>
      </c>
      <c r="G443" s="3" t="inlineStr">
        <is>
          <t/>
        </is>
      </c>
      <c r="H443" s="3" t="inlineStr">
        <is>
          <t>System</t>
        </is>
      </c>
      <c r="I443" s="3" t="inlineStr">
        <is>
          <t>eSusar Integration Service Account</t>
        </is>
      </c>
      <c r="J443" s="4" t="n">
        <v>45658.33935185185</v>
      </c>
      <c r="K443" s="5" t="n">
        <v>45658.0</v>
      </c>
      <c r="L443" s="5" t="n">
        <v>45658.0</v>
      </c>
      <c r="M443" s="3" t="inlineStr">
        <is>
          <t>Approved</t>
        </is>
      </c>
      <c r="N443" s="3" t="inlineStr">
        <is>
          <t>Country Close</t>
        </is>
      </c>
      <c r="O443" s="3" t="inlineStr">
        <is>
          <t>42847922MDD3003</t>
        </is>
      </c>
    </row>
    <row r="444">
      <c r="A444" s="2" t="str">
        <f>HYPERLINK("https://vtmf.veevavault.com/ui/#doc_info/30701612/1/0", "42847922MDD3003---Line Listing Distribution Lists-01 Jan 2026 (v1.0)")</f>
        <v>42847922MDD3003---Line Listing Distribution Lists-01 Jan 2026 (v1.0)</v>
      </c>
      <c r="B444" s="3" t="inlineStr">
        <is>
          <t>Safety Reporting</t>
        </is>
      </c>
      <c r="C444" s="3" t="inlineStr">
        <is>
          <t>Safety Documentation</t>
        </is>
      </c>
      <c r="D444" s="3" t="inlineStr">
        <is>
          <t>Line Listing Distribution Lists</t>
        </is>
      </c>
      <c r="E444" s="3" t="inlineStr">
        <is>
          <t>Transmission Status Report - 42847922MDD3003 - 01-Jan-2026</t>
        </is>
      </c>
      <c r="F444" s="2" t="str">
        <f>HYPERLINK("https://vtmf.veevavault.com/ui/#doc_info/30701612/1/0", "VTMF-24742529")</f>
        <v>VTMF-24742529</v>
      </c>
      <c r="G444" s="3" t="inlineStr">
        <is>
          <t/>
        </is>
      </c>
      <c r="H444" s="3" t="inlineStr">
        <is>
          <t>System</t>
        </is>
      </c>
      <c r="I444" s="3" t="inlineStr">
        <is>
          <t>eSusar Integration Service Account</t>
        </is>
      </c>
      <c r="J444" s="4" t="n">
        <v>46023.349699074075</v>
      </c>
      <c r="K444" s="5" t="n">
        <v>46023.0</v>
      </c>
      <c r="L444" s="5" t="n">
        <v>46023.0</v>
      </c>
      <c r="M444" s="3" t="inlineStr">
        <is>
          <t>Approved</t>
        </is>
      </c>
      <c r="N444" s="3" t="inlineStr">
        <is>
          <t>Country Close</t>
        </is>
      </c>
      <c r="O444" s="3" t="inlineStr">
        <is>
          <t>42847922MDD3003</t>
        </is>
      </c>
    </row>
    <row r="445">
      <c r="A445" s="2" t="str">
        <f>HYPERLINK("https://vtmf.veevavault.com/ui/#doc_info/29472451/1/0", "42847922MDD3003---Line Listing Distribution Lists-01 Jul 2025 (v1.0)")</f>
        <v>42847922MDD3003---Line Listing Distribution Lists-01 Jul 2025 (v1.0)</v>
      </c>
      <c r="B445" s="3" t="inlineStr">
        <is>
          <t>Safety Reporting</t>
        </is>
      </c>
      <c r="C445" s="3" t="inlineStr">
        <is>
          <t>Safety Documentation</t>
        </is>
      </c>
      <c r="D445" s="3" t="inlineStr">
        <is>
          <t>Line Listing Distribution Lists</t>
        </is>
      </c>
      <c r="E445" s="3" t="inlineStr">
        <is>
          <t>Transmission Status Report - 42847922MDD3003 - 01-Jul-2025</t>
        </is>
      </c>
      <c r="F445" s="2" t="str">
        <f>HYPERLINK("https://vtmf.veevavault.com/ui/#doc_info/29472451/1/0", "VTMF-23702239")</f>
        <v>VTMF-23702239</v>
      </c>
      <c r="G445" s="3" t="inlineStr">
        <is>
          <t/>
        </is>
      </c>
      <c r="H445" s="3" t="inlineStr">
        <is>
          <t>System</t>
        </is>
      </c>
      <c r="I445" s="3" t="inlineStr">
        <is>
          <t>eSusar Integration Service Account</t>
        </is>
      </c>
      <c r="J445" s="4" t="n">
        <v>45839.34631944444</v>
      </c>
      <c r="K445" s="5" t="n">
        <v>45839.0</v>
      </c>
      <c r="L445" s="5" t="n">
        <v>45839.0</v>
      </c>
      <c r="M445" s="3" t="inlineStr">
        <is>
          <t>Approved</t>
        </is>
      </c>
      <c r="N445" s="3" t="inlineStr">
        <is>
          <t>Country Close</t>
        </is>
      </c>
      <c r="O445" s="3" t="inlineStr">
        <is>
          <t>42847922MDD3003</t>
        </is>
      </c>
    </row>
    <row r="446">
      <c r="A446" s="2" t="str">
        <f>HYPERLINK("https://vtmf.veevavault.com/ui/#doc_info/26239677/1/0", "42847922MDD3003---Line Listing Distribution Lists-01 May 2024 (v1.0)")</f>
        <v>42847922MDD3003---Line Listing Distribution Lists-01 May 2024 (v1.0)</v>
      </c>
      <c r="B446" s="3" t="inlineStr">
        <is>
          <t>Safety Reporting</t>
        </is>
      </c>
      <c r="C446" s="3" t="inlineStr">
        <is>
          <t>Safety Documentation</t>
        </is>
      </c>
      <c r="D446" s="3" t="inlineStr">
        <is>
          <t>Line Listing Distribution Lists</t>
        </is>
      </c>
      <c r="E446" s="3" t="inlineStr">
        <is>
          <t>Transmission Status Report - 42847922MDD3003 - 01-May-2024</t>
        </is>
      </c>
      <c r="F446" s="2" t="str">
        <f>HYPERLINK("https://vtmf.veevavault.com/ui/#doc_info/26239677/1/0", "VTMF-20990812")</f>
        <v>VTMF-20990812</v>
      </c>
      <c r="G446" s="3" t="inlineStr">
        <is>
          <t/>
        </is>
      </c>
      <c r="H446" s="3" t="inlineStr">
        <is>
          <t>System</t>
        </is>
      </c>
      <c r="I446" s="3" t="inlineStr">
        <is>
          <t>eSusar Integration Service Account</t>
        </is>
      </c>
      <c r="J446" s="4" t="n">
        <v>45413.3471875</v>
      </c>
      <c r="K446" s="5" t="n">
        <v>45413.0</v>
      </c>
      <c r="L446" s="5" t="n">
        <v>45413.0</v>
      </c>
      <c r="M446" s="3" t="inlineStr">
        <is>
          <t>Approved</t>
        </is>
      </c>
      <c r="N446" s="3" t="inlineStr">
        <is>
          <t>Country Close</t>
        </is>
      </c>
      <c r="O446" s="3" t="inlineStr">
        <is>
          <t>42847922MDD3003</t>
        </is>
      </c>
    </row>
    <row r="447">
      <c r="A447" s="2" t="str">
        <f>HYPERLINK("https://vtmf.veevavault.com/ui/#doc_info/29866646/1/0", "42847922MDD3003---Line Listing Distribution Lists-01 Sep 2025 (v1.0)")</f>
        <v>42847922MDD3003---Line Listing Distribution Lists-01 Sep 2025 (v1.0)</v>
      </c>
      <c r="B447" s="3" t="inlineStr">
        <is>
          <t>Safety Reporting</t>
        </is>
      </c>
      <c r="C447" s="3" t="inlineStr">
        <is>
          <t>Safety Documentation</t>
        </is>
      </c>
      <c r="D447" s="3" t="inlineStr">
        <is>
          <t>Line Listing Distribution Lists</t>
        </is>
      </c>
      <c r="E447" s="3" t="inlineStr">
        <is>
          <t>Transmission Status Report - 42847922MDD3003 - 01-Sep-2025</t>
        </is>
      </c>
      <c r="F447" s="2" t="str">
        <f>HYPERLINK("https://vtmf.veevavault.com/ui/#doc_info/29866646/1/0", "VTMF-24038890")</f>
        <v>VTMF-24038890</v>
      </c>
      <c r="G447" s="3" t="inlineStr">
        <is>
          <t/>
        </is>
      </c>
      <c r="H447" s="3" t="inlineStr">
        <is>
          <t>System</t>
        </is>
      </c>
      <c r="I447" s="3" t="inlineStr">
        <is>
          <t>eSusar Integration Service Account</t>
        </is>
      </c>
      <c r="J447" s="4" t="n">
        <v>45901.33642361111</v>
      </c>
      <c r="K447" s="5" t="n">
        <v>45901.0</v>
      </c>
      <c r="L447" s="5" t="n">
        <v>45901.0</v>
      </c>
      <c r="M447" s="3" t="inlineStr">
        <is>
          <t>Approved</t>
        </is>
      </c>
      <c r="N447" s="3" t="inlineStr">
        <is>
          <t>Country Close</t>
        </is>
      </c>
      <c r="O447" s="3" t="inlineStr">
        <is>
          <t>42847922MDD3003</t>
        </is>
      </c>
    </row>
    <row r="448">
      <c r="A448" s="2" t="str">
        <f>HYPERLINK("https://vtmf.veevavault.com/ui/#doc_info/31197862/1/0", "42847922MDD3003---List of SOPs Current During Trial-01 Apr 2025 (v1.0)")</f>
        <v>42847922MDD3003---List of SOPs Current During Trial-01 Apr 2025 (v1.0)</v>
      </c>
      <c r="B448" s="3" t="inlineStr">
        <is>
          <t>Trial Management</t>
        </is>
      </c>
      <c r="C448" s="3" t="inlineStr">
        <is>
          <t>Trial Oversight</t>
        </is>
      </c>
      <c r="D448" s="3" t="inlineStr">
        <is>
          <t>List of SOPs Current During Trial</t>
        </is>
      </c>
      <c r="E448" s="3" t="inlineStr">
        <is>
          <t>Beacon-Biosignals_SOP</t>
        </is>
      </c>
      <c r="F448" s="2" t="str">
        <f>HYPERLINK("https://vtmf.veevavault.com/ui/#doc_info/31197862/1/0", "VTMF-25155857")</f>
        <v>VTMF-25155857</v>
      </c>
      <c r="G448" s="3" t="inlineStr">
        <is>
          <t/>
        </is>
      </c>
      <c r="H448" s="3" t="inlineStr">
        <is>
          <t>System</t>
        </is>
      </c>
      <c r="I448" s="3" t="inlineStr">
        <is>
          <t>Gina Stefanelli</t>
        </is>
      </c>
      <c r="J448" s="4" t="n">
        <v>46098.720555555556</v>
      </c>
      <c r="K448" s="5" t="n">
        <v>46098.0</v>
      </c>
      <c r="L448" s="5" t="n">
        <v>45748.0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42847922MDD3003</t>
        </is>
      </c>
    </row>
    <row r="449">
      <c r="A449" s="2" t="str">
        <f>HYPERLINK("https://vtmf.veevavault.com/ui/#doc_info/26588871/2/0", "42847922MDD3003---List of SOPs Current During Trial-01 Oct 2024 (v2.0)")</f>
        <v>42847922MDD3003---List of SOPs Current During Trial-01 Oct 2024 (v2.0)</v>
      </c>
      <c r="B449" s="3" t="inlineStr">
        <is>
          <t>Trial Management</t>
        </is>
      </c>
      <c r="C449" s="3" t="inlineStr">
        <is>
          <t>Trial Oversight</t>
        </is>
      </c>
      <c r="D449" s="3" t="inlineStr">
        <is>
          <t>List of SOPs Current During Trial</t>
        </is>
      </c>
      <c r="E449" s="3" t="inlineStr">
        <is>
          <t>GreenPhire List of SOPs</t>
        </is>
      </c>
      <c r="F449" s="2" t="str">
        <f>HYPERLINK("https://vtmf.veevavault.com/ui/#doc_info/26588871/2/0", "VTMF-21295842")</f>
        <v>VTMF-21295842</v>
      </c>
      <c r="G449" s="3" t="inlineStr">
        <is>
          <t/>
        </is>
      </c>
      <c r="H449" s="3" t="inlineStr">
        <is>
          <t>System</t>
        </is>
      </c>
      <c r="I449" s="3" t="inlineStr">
        <is>
          <t>Jennifer Becker</t>
        </is>
      </c>
      <c r="J449" s="4" t="n">
        <v>45874.62771990741</v>
      </c>
      <c r="K449" s="5" t="n">
        <v>45874.0</v>
      </c>
      <c r="L449" s="5" t="n">
        <v>45566.0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42847922MDD3003, CNTO1959PSO3017, CNTO1959PSO3018</t>
        </is>
      </c>
    </row>
    <row r="450">
      <c r="A450" s="2" t="str">
        <f>HYPERLINK("https://vtmf.veevavault.com/ui/#doc_info/31678112/1/0", "42847922MDD3003---List of SOPs Current During Trial-12 May 2026 (v1.0)")</f>
        <v>42847922MDD3003---List of SOPs Current During Trial-12 May 2026 (v1.0)</v>
      </c>
      <c r="B450" s="3" t="inlineStr">
        <is>
          <t>Trial Management</t>
        </is>
      </c>
      <c r="C450" s="3" t="inlineStr">
        <is>
          <t>Trial Oversight</t>
        </is>
      </c>
      <c r="D450" s="3" t="inlineStr">
        <is>
          <t>List of SOPs Current During Trial</t>
        </is>
      </c>
      <c r="E450" s="3" t="inlineStr">
        <is>
          <t>Teckro Document Master</t>
        </is>
      </c>
      <c r="F450" s="2" t="str">
        <f>HYPERLINK("https://vtmf.veevavault.com/ui/#doc_info/31678112/1/0", "VTMF-25562732")</f>
        <v>VTMF-25562732</v>
      </c>
      <c r="G450" s="3" t="inlineStr">
        <is>
          <t/>
        </is>
      </c>
      <c r="H450" s="3" t="inlineStr">
        <is>
          <t>System</t>
        </is>
      </c>
      <c r="I450" s="3" t="inlineStr">
        <is>
          <t>Gina Stefanelli</t>
        </is>
      </c>
      <c r="J450" s="4" t="n">
        <v>46157.65638888889</v>
      </c>
      <c r="K450" s="5" t="n">
        <v>46157.0</v>
      </c>
      <c r="L450" s="5" t="n">
        <v>46154.0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42847922MDD3003</t>
        </is>
      </c>
    </row>
    <row r="451">
      <c r="A451" s="2" t="str">
        <f>HYPERLINK("https://vtmf.veevavault.com/ui/#doc_info/31671008/1/0", "42847922MDD3003---List of SOPs Current During Trial-13 Oct 2023 (v1.0)")</f>
        <v>42847922MDD3003---List of SOPs Current During Trial-13 Oct 2023 (v1.0)</v>
      </c>
      <c r="B451" s="3" t="inlineStr">
        <is>
          <t>Trial Management</t>
        </is>
      </c>
      <c r="C451" s="3" t="inlineStr">
        <is>
          <t>Trial Oversight</t>
        </is>
      </c>
      <c r="D451" s="3" t="inlineStr">
        <is>
          <t>List of SOPs Current During Trial</t>
        </is>
      </c>
      <c r="E451" s="3" t="inlineStr">
        <is>
          <t>Labcorp-Drug-Development-CLS-Controlled-Documents-Index</t>
        </is>
      </c>
      <c r="F451" s="2" t="str">
        <f>HYPERLINK("https://vtmf.veevavault.com/ui/#doc_info/31671008/1/0", "VTMF-25556486")</f>
        <v>VTMF-25556486</v>
      </c>
      <c r="G451" s="3" t="inlineStr">
        <is>
          <t/>
        </is>
      </c>
      <c r="H451" s="3" t="inlineStr">
        <is>
          <t>System</t>
        </is>
      </c>
      <c r="I451" s="3" t="inlineStr">
        <is>
          <t>Gina Stefanelli</t>
        </is>
      </c>
      <c r="J451" s="4" t="n">
        <v>46156.72206018519</v>
      </c>
      <c r="K451" s="5" t="n">
        <v>46156.0</v>
      </c>
      <c r="L451" s="5" t="n">
        <v>45212.0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42847922MDD3003</t>
        </is>
      </c>
    </row>
    <row r="452">
      <c r="A452" s="2" t="str">
        <f>HYPERLINK("https://vtmf.veevavault.com/ui/#doc_info/24626067/1/0", "42847922MDD3003---List of SOPs Current During Trial-14 Aug 2023 (v1.0)")</f>
        <v>42847922MDD3003---List of SOPs Current During Trial-14 Aug 2023 (v1.0)</v>
      </c>
      <c r="B452" s="3" t="inlineStr">
        <is>
          <t>Trial Management</t>
        </is>
      </c>
      <c r="C452" s="3" t="inlineStr">
        <is>
          <t>Trial Oversight</t>
        </is>
      </c>
      <c r="D452" s="3" t="inlineStr">
        <is>
          <t>List of SOPs Current During Trial</t>
        </is>
      </c>
      <c r="E452" s="3" t="inlineStr">
        <is>
          <t>Clario eCOA SOP List</t>
        </is>
      </c>
      <c r="F452" s="2" t="str">
        <f>HYPERLINK("https://vtmf.veevavault.com/ui/#doc_info/24626067/1/0", "VTMF-19574506")</f>
        <v>VTMF-19574506</v>
      </c>
      <c r="G452" s="3" t="inlineStr">
        <is>
          <t/>
        </is>
      </c>
      <c r="H452" s="3" t="inlineStr">
        <is>
          <t>Marija Jovanovic</t>
        </is>
      </c>
      <c r="I452" s="3" t="inlineStr">
        <is>
          <t>Austin Gillies</t>
        </is>
      </c>
      <c r="J452" s="4" t="n">
        <v>45152.83967592593</v>
      </c>
      <c r="K452" s="5" t="n">
        <v>45152.0</v>
      </c>
      <c r="L452" s="5" t="n">
        <v>45152.0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42847922MDD3003, 77242113UCO2001</t>
        </is>
      </c>
    </row>
    <row r="453">
      <c r="A453" s="2" t="str">
        <f>HYPERLINK("https://vtmf.veevavault.com/ui/#doc_info/31203029/1/0", "42847922MDD3003---List of SOPs Current During Trial-18 Mar 2026 (v1.0)")</f>
        <v>42847922MDD3003---List of SOPs Current During Trial-18 Mar 2026 (v1.0)</v>
      </c>
      <c r="B453" s="3" t="inlineStr">
        <is>
          <t>Trial Management</t>
        </is>
      </c>
      <c r="C453" s="3" t="inlineStr">
        <is>
          <t>Trial Oversight</t>
        </is>
      </c>
      <c r="D453" s="3" t="inlineStr">
        <is>
          <t>List of SOPs Current During Trial</t>
        </is>
      </c>
      <c r="E453" s="3" t="inlineStr">
        <is>
          <t>Imperial List of SOPs</t>
        </is>
      </c>
      <c r="F453" s="2" t="str">
        <f>HYPERLINK("https://vtmf.veevavault.com/ui/#doc_info/31203029/1/0", "VTMF-25160297")</f>
        <v>VTMF-25160297</v>
      </c>
      <c r="G453" s="3" t="inlineStr">
        <is>
          <t/>
        </is>
      </c>
      <c r="H453" s="3" t="inlineStr">
        <is>
          <t>System</t>
        </is>
      </c>
      <c r="I453" s="3" t="inlineStr">
        <is>
          <t>Kristina Ruzinska</t>
        </is>
      </c>
      <c r="J453" s="4" t="n">
        <v>46099.49885416667</v>
      </c>
      <c r="K453" s="5" t="n">
        <v>46099.0</v>
      </c>
      <c r="L453" s="5" t="n">
        <v>46099.0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42847922MDD3003</t>
        </is>
      </c>
    </row>
    <row r="454">
      <c r="A454" s="2" t="str">
        <f>HYPERLINK("https://vtmf.veevavault.com/ui/#doc_info/31211990/1/0", "42847922MDD3003---List of SOPs Current During Trial-19 Mar 2026 (v1.0)")</f>
        <v>42847922MDD3003---List of SOPs Current During Trial-19 Mar 2026 (v1.0)</v>
      </c>
      <c r="B454" s="3" t="inlineStr">
        <is>
          <t>Trial Management</t>
        </is>
      </c>
      <c r="C454" s="3" t="inlineStr">
        <is>
          <t>Trial Oversight</t>
        </is>
      </c>
      <c r="D454" s="3" t="inlineStr">
        <is>
          <t>List of SOPs Current During Trial</t>
        </is>
      </c>
      <c r="E454" s="3" t="inlineStr">
        <is>
          <t>Futura SOPs</t>
        </is>
      </c>
      <c r="F454" s="2" t="str">
        <f>HYPERLINK("https://vtmf.veevavault.com/ui/#doc_info/31211990/1/0", "VTMF-25167605")</f>
        <v>VTMF-25167605</v>
      </c>
      <c r="G454" s="3" t="inlineStr">
        <is>
          <t/>
        </is>
      </c>
      <c r="H454" s="3" t="inlineStr">
        <is>
          <t>System</t>
        </is>
      </c>
      <c r="I454" s="3" t="inlineStr">
        <is>
          <t>Debhora Garcia</t>
        </is>
      </c>
      <c r="J454" s="4" t="n">
        <v>46100.59899305556</v>
      </c>
      <c r="K454" s="5" t="n">
        <v>46100.0</v>
      </c>
      <c r="L454" s="5" t="n">
        <v>46100.0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42847922MDD3003, 42847922MDD3014</t>
        </is>
      </c>
    </row>
    <row r="455">
      <c r="A455" s="2" t="str">
        <f>HYPERLINK("https://vtmf.veevavault.com/ui/#doc_info/31212683/1/0", "42847922MDD3003---List of SOPs Current During Trial-19 Mar 2026 (v1.0)")</f>
        <v>42847922MDD3003---List of SOPs Current During Trial-19 Mar 2026 (v1.0)</v>
      </c>
      <c r="B455" s="3" t="inlineStr">
        <is>
          <t>Trial Management</t>
        </is>
      </c>
      <c r="C455" s="3" t="inlineStr">
        <is>
          <t>Trial Oversight</t>
        </is>
      </c>
      <c r="D455" s="3" t="inlineStr">
        <is>
          <t>List of SOPs Current During Trial</t>
        </is>
      </c>
      <c r="E455" s="3" t="inlineStr">
        <is>
          <t>Clarivate COA SOP List_v1.0</t>
        </is>
      </c>
      <c r="F455" s="2" t="str">
        <f>HYPERLINK("https://vtmf.veevavault.com/ui/#doc_info/31212683/1/0", "VTMF-25168180")</f>
        <v>VTMF-25168180</v>
      </c>
      <c r="G455" s="3" t="inlineStr">
        <is>
          <t/>
        </is>
      </c>
      <c r="H455" s="3" t="inlineStr">
        <is>
          <t>System</t>
        </is>
      </c>
      <c r="I455" s="3" t="inlineStr">
        <is>
          <t>Debhora Garcia</t>
        </is>
      </c>
      <c r="J455" s="4" t="n">
        <v>46100.654386574075</v>
      </c>
      <c r="K455" s="5" t="n">
        <v>46100.0</v>
      </c>
      <c r="L455" s="5" t="n">
        <v>46100.0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42847922MDD3003</t>
        </is>
      </c>
    </row>
    <row r="456">
      <c r="A456" s="2" t="str">
        <f>HYPERLINK("https://vtmf.veevavault.com/ui/#doc_info/25791390/1/0", "42847922MDD3003---List of SOPs Current During Trial-21 Mar 2022 (v1.0)")</f>
        <v>42847922MDD3003---List of SOPs Current During Trial-21 Mar 2022 (v1.0)</v>
      </c>
      <c r="B456" s="3" t="inlineStr">
        <is>
          <t>Trial Management</t>
        </is>
      </c>
      <c r="C456" s="3" t="inlineStr">
        <is>
          <t>Trial Oversight</t>
        </is>
      </c>
      <c r="D456" s="3" t="inlineStr">
        <is>
          <t>List of SOPs Current During Trial</t>
        </is>
      </c>
      <c r="E456" s="3" t="inlineStr">
        <is>
          <t>List of SOPs Current During Trial_CTNI</t>
        </is>
      </c>
      <c r="F456" s="2" t="str">
        <f>HYPERLINK("https://vtmf.veevavault.com/ui/#doc_info/25791390/1/0", "VTMF-20595255")</f>
        <v>VTMF-20595255</v>
      </c>
      <c r="G456" s="3" t="inlineStr">
        <is>
          <t/>
        </is>
      </c>
      <c r="H456" s="3" t="inlineStr">
        <is>
          <t>System</t>
        </is>
      </c>
      <c r="I456" s="3" t="inlineStr">
        <is>
          <t>Leticia Villalba Alonso</t>
        </is>
      </c>
      <c r="J456" s="4" t="n">
        <v>45348.66488425926</v>
      </c>
      <c r="K456" s="5" t="n">
        <v>45348.0</v>
      </c>
      <c r="L456" s="5" t="n">
        <v>44641.0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42847922MDD3003, 67953964MDD3002, 67953964MDD3003</t>
        </is>
      </c>
    </row>
    <row r="457">
      <c r="A457" s="2" t="str">
        <f>HYPERLINK("https://vtmf.veevavault.com/ui/#doc_info/25575244/1/0", "42847922MDD3003---List of SOPs Current During Trial-24 Jan 2024 (v1.0)")</f>
        <v>42847922MDD3003---List of SOPs Current During Trial-24 Jan 2024 (v1.0)</v>
      </c>
      <c r="B457" s="3" t="inlineStr">
        <is>
          <t>Trial Management</t>
        </is>
      </c>
      <c r="C457" s="3" t="inlineStr">
        <is>
          <t>Trial Oversight</t>
        </is>
      </c>
      <c r="D457" s="3" t="inlineStr">
        <is>
          <t>List of SOPs Current During Trial</t>
        </is>
      </c>
      <c r="E457" s="3" t="inlineStr">
        <is>
          <t>List of SOPs Current During Trial_CRONOS</t>
        </is>
      </c>
      <c r="F457" s="2" t="str">
        <f>HYPERLINK("https://vtmf.veevavault.com/ui/#doc_info/25575244/1/0", "VTMF-20405324")</f>
        <v>VTMF-20405324</v>
      </c>
      <c r="G457" s="3" t="inlineStr">
        <is>
          <t/>
        </is>
      </c>
      <c r="H457" s="3" t="inlineStr">
        <is>
          <t>System</t>
        </is>
      </c>
      <c r="I457" s="3" t="inlineStr">
        <is>
          <t>Leticia Villalba Alonso</t>
        </is>
      </c>
      <c r="J457" s="4" t="n">
        <v>45316.458703703705</v>
      </c>
      <c r="K457" s="5" t="n">
        <v>45316.0</v>
      </c>
      <c r="L457" s="5" t="n">
        <v>45315.0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42847922MDD3003, 67953964MDD3002, 67953964MDD3003</t>
        </is>
      </c>
    </row>
    <row r="458">
      <c r="A458" s="2" t="str">
        <f>HYPERLINK("https://vtmf.veevavault.com/ui/#doc_info/26411244/1/0", "42847922MDD3003---List of SOPs Current During Trial-28 May 2024 (v1.0)")</f>
        <v>42847922MDD3003---List of SOPs Current During Trial-28 May 2024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List of SOPs Current During Trial</t>
        </is>
      </c>
      <c r="E458" s="3" t="inlineStr">
        <is>
          <t>4G Clinical RTSM SOPs</t>
        </is>
      </c>
      <c r="F458" s="2" t="str">
        <f>HYPERLINK("https://vtmf.veevavault.com/ui/#doc_info/26411244/1/0", "VTMF-21138983")</f>
        <v>VTMF-21138983</v>
      </c>
      <c r="G458" s="3" t="inlineStr">
        <is>
          <t/>
        </is>
      </c>
      <c r="H458" s="3" t="inlineStr">
        <is>
          <t>System</t>
        </is>
      </c>
      <c r="I458" s="3" t="inlineStr">
        <is>
          <t>Christian Cervantes Hernandez</t>
        </is>
      </c>
      <c r="J458" s="4" t="n">
        <v>45440.972858796296</v>
      </c>
      <c r="K458" s="5" t="n">
        <v>45440.0</v>
      </c>
      <c r="L458" s="5" t="n">
        <v>45440.0</v>
      </c>
      <c r="M458" s="3" t="inlineStr">
        <is>
          <t>Approved</t>
        </is>
      </c>
      <c r="N458" s="3" t="inlineStr">
        <is>
          <t>Study Close, Study Start</t>
        </is>
      </c>
      <c r="O458" s="3" t="inlineStr">
        <is>
          <t>42847922MDD3003</t>
        </is>
      </c>
    </row>
    <row r="459">
      <c r="A459" s="2" t="str">
        <f>HYPERLINK("https://vtmf.veevavault.com/ui/#doc_info/31671002/1/0", "42847922MDD3003---List of SOPs Current During Trial-30 Mar 2026 (v1.0)")</f>
        <v>42847922MDD3003---List of SOPs Current During Trial-30 Mar 2026 (v1.0)</v>
      </c>
      <c r="B459" s="3" t="inlineStr">
        <is>
          <t>Trial Management</t>
        </is>
      </c>
      <c r="C459" s="3" t="inlineStr">
        <is>
          <t>Trial Oversight</t>
        </is>
      </c>
      <c r="D459" s="3" t="inlineStr">
        <is>
          <t>List of SOPs Current During Trial</t>
        </is>
      </c>
      <c r="E459" s="3" t="inlineStr">
        <is>
          <t>List of Labcorp CLS Controlled Documents</t>
        </is>
      </c>
      <c r="F459" s="2" t="str">
        <f>HYPERLINK("https://vtmf.veevavault.com/ui/#doc_info/31671002/1/0", "VTMF-25556473")</f>
        <v>VTMF-25556473</v>
      </c>
      <c r="G459" s="3" t="inlineStr">
        <is>
          <t/>
        </is>
      </c>
      <c r="H459" s="3" t="inlineStr">
        <is>
          <t>System</t>
        </is>
      </c>
      <c r="I459" s="3" t="inlineStr">
        <is>
          <t>Gina Stefanelli</t>
        </is>
      </c>
      <c r="J459" s="4" t="n">
        <v>46156.72</v>
      </c>
      <c r="K459" s="5" t="n">
        <v>46156.0</v>
      </c>
      <c r="L459" s="5" t="n">
        <v>46111.0</v>
      </c>
      <c r="M459" s="3" t="inlineStr">
        <is>
          <t>Approved</t>
        </is>
      </c>
      <c r="N459" s="3" t="inlineStr">
        <is>
          <t>Study Close, Study Start</t>
        </is>
      </c>
      <c r="O459" s="3" t="inlineStr">
        <is>
          <t>42847922MDD3003</t>
        </is>
      </c>
    </row>
    <row r="460">
      <c r="A460" s="2" t="str">
        <f>HYPERLINK("https://vtmf.veevavault.com/ui/#doc_info/26267163/5/0", "42847922MDD3003---Major Protocol Deviation Definition Criteria-07 May 2026 (v5.0)")</f>
        <v>42847922MDD3003---Major Protocol Deviation Definition Criteria-07 May 2026 (v5.0)</v>
      </c>
      <c r="B460" s="3" t="inlineStr">
        <is>
          <t>Statistics</t>
        </is>
      </c>
      <c r="C460" s="3" t="inlineStr">
        <is>
          <t>Analysis</t>
        </is>
      </c>
      <c r="D460" s="3" t="inlineStr">
        <is>
          <t>Major Protocol Deviation Definition Criteria</t>
        </is>
      </c>
      <c r="E460" s="3" t="inlineStr">
        <is>
          <t>42847922MDD3003 Major Protocol Deviation Criteria Form v5.0</t>
        </is>
      </c>
      <c r="F460" s="2" t="str">
        <f>HYPERLINK("https://vtmf.veevavault.com/ui/#doc_info/26267163/5/0", "VTMF-21012851")</f>
        <v>VTMF-21012851</v>
      </c>
      <c r="G460" s="3" t="inlineStr">
        <is>
          <t/>
        </is>
      </c>
      <c r="H460" s="3" t="inlineStr">
        <is>
          <t>System</t>
        </is>
      </c>
      <c r="I460" s="3" t="inlineStr">
        <is>
          <t>JAMES SHARP</t>
        </is>
      </c>
      <c r="J460" s="4" t="n">
        <v>46149.719375</v>
      </c>
      <c r="K460" s="5" t="n">
        <v>46150.0</v>
      </c>
      <c r="L460" s="5" t="n">
        <v>46149.0</v>
      </c>
      <c r="M460" s="3" t="inlineStr">
        <is>
          <t>Approved</t>
        </is>
      </c>
      <c r="N460" s="3" t="inlineStr">
        <is>
          <t>Study Start</t>
        </is>
      </c>
      <c r="O460" s="3" t="inlineStr">
        <is>
          <t>42847922MDD3003</t>
        </is>
      </c>
    </row>
    <row r="461">
      <c r="A461" s="2" t="str">
        <f>HYPERLINK("https://vtmf.veevavault.com/ui/#doc_info/31771847/1/0", "42847922MDD3003---Major Protocol Deviation Definition Criteria-28 May 2026 (v1.0)")</f>
        <v>42847922MDD3003---Major Protocol Deviation Definition Criteria-28 May 2026 (v1.0)</v>
      </c>
      <c r="B461" s="3" t="inlineStr">
        <is>
          <t>Statistics</t>
        </is>
      </c>
      <c r="C461" s="3" t="inlineStr">
        <is>
          <t>Analysis</t>
        </is>
      </c>
      <c r="D461" s="3" t="inlineStr">
        <is>
          <t>Major Protocol Deviation Definition Criteria</t>
        </is>
      </c>
      <c r="E461" s="3" t="inlineStr">
        <is>
          <t/>
        </is>
      </c>
      <c r="F461" s="2" t="str">
        <f>HYPERLINK("https://vtmf.veevavault.com/ui/#doc_info/31771847/1/0", "VTMF-25644881")</f>
        <v>VTMF-25644881</v>
      </c>
      <c r="G461" s="3" t="inlineStr">
        <is>
          <t/>
        </is>
      </c>
      <c r="H461" s="3" t="inlineStr">
        <is>
          <t>System</t>
        </is>
      </c>
      <c r="I461" s="3" t="inlineStr">
        <is>
          <t>JAMES SHARP</t>
        </is>
      </c>
      <c r="J461" s="4" t="n">
        <v>46171.07438657407</v>
      </c>
      <c r="K461" s="5" t="n">
        <v>46170.0</v>
      </c>
      <c r="L461" s="5" t="n">
        <v>46170.0</v>
      </c>
      <c r="M461" s="3" t="inlineStr">
        <is>
          <t>Approved</t>
        </is>
      </c>
      <c r="N461" s="3" t="inlineStr">
        <is>
          <t>Study Start</t>
        </is>
      </c>
      <c r="O461" s="3" t="inlineStr">
        <is>
          <t>42847922MDD3003</t>
        </is>
      </c>
    </row>
    <row r="462">
      <c r="A462" s="2" t="str">
        <f>HYPERLINK("https://vtmf.veevavault.com/ui/#doc_info/31779456/1/0", "42847922MDD3003---Major Protocol Deviation Definition Criteria-29 May 2026 (v1.0)")</f>
        <v>42847922MDD3003---Major Protocol Deviation Definition Criteria-29 May 2026 (v1.0)</v>
      </c>
      <c r="B462" s="3" t="inlineStr">
        <is>
          <t>Statistics</t>
        </is>
      </c>
      <c r="C462" s="3" t="inlineStr">
        <is>
          <t>Analysis</t>
        </is>
      </c>
      <c r="D462" s="3" t="inlineStr">
        <is>
          <t>Major Protocol Deviation Definition Criteria</t>
        </is>
      </c>
      <c r="E462" s="3" t="inlineStr">
        <is>
          <t>Final Major Protocol Deviation List_V1.0_29-MAY-2026_Post Part 1 Lock</t>
        </is>
      </c>
      <c r="F462" s="2" t="str">
        <f>HYPERLINK("https://vtmf.veevavault.com/ui/#doc_info/31779456/1/0", "VTMF-25651374")</f>
        <v>VTMF-25651374</v>
      </c>
      <c r="G462" s="3" t="inlineStr">
        <is>
          <t/>
        </is>
      </c>
      <c r="H462" s="3" t="inlineStr">
        <is>
          <t>System</t>
        </is>
      </c>
      <c r="I462" s="3" t="inlineStr">
        <is>
          <t>Mahija Manchakal</t>
        </is>
      </c>
      <c r="J462" s="4" t="n">
        <v>46171.72553240741</v>
      </c>
      <c r="K462" s="5" t="n">
        <v>46171.0</v>
      </c>
      <c r="L462" s="5" t="n">
        <v>46171.0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42847922MDD3003</t>
        </is>
      </c>
    </row>
    <row r="463">
      <c r="A463" s="2" t="str">
        <f>HYPERLINK("https://vtmf.veevavault.com/ui/#doc_info/26071708/1/0", "42847922MDD3003---Master Clinical ICF-05 Apr 2024 (v1.0)")</f>
        <v>42847922MDD3003---Master Clinical ICF-05 Apr 2024 (v1.0)</v>
      </c>
      <c r="B463" s="3" t="inlineStr">
        <is>
          <t>Central Trial Documents</t>
        </is>
      </c>
      <c r="C463" s="3" t="inlineStr">
        <is>
          <t>Subject Documents</t>
        </is>
      </c>
      <c r="D463" s="3" t="inlineStr">
        <is>
          <t>Master Clinical ICF</t>
        </is>
      </c>
      <c r="E463" s="3" t="inlineStr">
        <is>
          <t>Redacted-Master ICF-Preg in Clinical study-42847922MDD3003-1269118</t>
        </is>
      </c>
      <c r="F463" s="2" t="str">
        <f>HYPERLINK("https://vtmf.veevavault.com/ui/#doc_info/26071708/1/0", "VTMF-20843071")</f>
        <v>VTMF-20843071</v>
      </c>
      <c r="G463" s="3" t="inlineStr">
        <is>
          <t>RIMDOCS</t>
        </is>
      </c>
      <c r="H463" s="3" t="inlineStr">
        <is>
          <t>Anthony Suarez (veeva.com)</t>
        </is>
      </c>
      <c r="I463" s="3" t="inlineStr">
        <is>
          <t>Integration RIM Docs</t>
        </is>
      </c>
      <c r="J463" s="4" t="n">
        <v>45387.538252314815</v>
      </c>
      <c r="K463" s="5" t="n">
        <v>45387.0</v>
      </c>
      <c r="L463" s="5" t="n">
        <v>45387.0</v>
      </c>
      <c r="M463" s="3" t="inlineStr">
        <is>
          <t>Approved</t>
        </is>
      </c>
      <c r="N463" s="3" t="inlineStr">
        <is>
          <t>Study Close, Study Start</t>
        </is>
      </c>
      <c r="O463" s="3" t="inlineStr">
        <is>
          <t>42847922MDD3003</t>
        </is>
      </c>
    </row>
    <row r="464">
      <c r="A464" s="2" t="str">
        <f>HYPERLINK("https://vtmf.veevavault.com/ui/#doc_info/26491057/1/0", "42847922MDD3003---Master Clinical ICF-06 Jun 2024 (v1.0)")</f>
        <v>42847922MDD3003---Master Clinical ICF-06 Jun 2024 (v1.0)</v>
      </c>
      <c r="B464" s="3" t="inlineStr">
        <is>
          <t>Central Trial Documents</t>
        </is>
      </c>
      <c r="C464" s="3" t="inlineStr">
        <is>
          <t>Subject Documents</t>
        </is>
      </c>
      <c r="D464" s="3" t="inlineStr">
        <is>
          <t>Master Clinical ICF</t>
        </is>
      </c>
      <c r="E464" s="3" t="inlineStr">
        <is>
          <t>Master Clinical ICF_Part 1 and 2_PA1_TC_v2.0 to v3.0_final_06Jun24</t>
        </is>
      </c>
      <c r="F464" s="2" t="str">
        <f>HYPERLINK("https://vtmf.veevavault.com/ui/#doc_info/26491057/1/0", "VTMF-21209871")</f>
        <v>VTMF-21209871</v>
      </c>
      <c r="G464" s="3" t="inlineStr">
        <is>
          <t/>
        </is>
      </c>
      <c r="H464" s="3" t="inlineStr">
        <is>
          <t>System</t>
        </is>
      </c>
      <c r="I464" s="3" t="inlineStr">
        <is>
          <t>Gina Stefanelli</t>
        </is>
      </c>
      <c r="J464" s="4" t="n">
        <v>45453.62699074074</v>
      </c>
      <c r="K464" s="5" t="n">
        <v>45453.0</v>
      </c>
      <c r="L464" s="5" t="n">
        <v>45449.0</v>
      </c>
      <c r="M464" s="3" t="inlineStr">
        <is>
          <t>Approved</t>
        </is>
      </c>
      <c r="N464" s="3" t="inlineStr">
        <is>
          <t>Study Close, Study Start</t>
        </is>
      </c>
      <c r="O464" s="3" t="inlineStr">
        <is>
          <t>42847922MDD3003</t>
        </is>
      </c>
    </row>
    <row r="465">
      <c r="A465" s="2" t="str">
        <f>HYPERLINK("https://vtmf.veevavault.com/ui/#doc_info/26491063/1/0", "42847922MDD3003---Master Clinical ICF-06 Jun 2024 (v1.0)")</f>
        <v>42847922MDD3003---Master Clinical ICF-06 Jun 2024 (v1.0)</v>
      </c>
      <c r="B465" s="3" t="inlineStr">
        <is>
          <t>Central Trial Documents</t>
        </is>
      </c>
      <c r="C465" s="3" t="inlineStr">
        <is>
          <t>Subject Documents</t>
        </is>
      </c>
      <c r="D465" s="3" t="inlineStr">
        <is>
          <t>Master Clinical ICF</t>
        </is>
      </c>
      <c r="E465" s="3" t="inlineStr">
        <is>
          <t>Master Clinical ICF_Part 1 and 2_PA1_v 3.0_final_06Jun24</t>
        </is>
      </c>
      <c r="F465" s="2" t="str">
        <f>HYPERLINK("https://vtmf.veevavault.com/ui/#doc_info/26491063/1/0", "VTMF-21209880")</f>
        <v>VTMF-21209880</v>
      </c>
      <c r="G465" s="3" t="inlineStr">
        <is>
          <t/>
        </is>
      </c>
      <c r="H465" s="3" t="inlineStr">
        <is>
          <t>System</t>
        </is>
      </c>
      <c r="I465" s="3" t="inlineStr">
        <is>
          <t>Gina Stefanelli</t>
        </is>
      </c>
      <c r="J465" s="4" t="n">
        <v>45453.628287037034</v>
      </c>
      <c r="K465" s="5" t="n">
        <v>45453.0</v>
      </c>
      <c r="L465" s="5" t="n">
        <v>45449.0</v>
      </c>
      <c r="M465" s="3" t="inlineStr">
        <is>
          <t>Approved</t>
        </is>
      </c>
      <c r="N465" s="3" t="inlineStr">
        <is>
          <t>Study Close, Study Start</t>
        </is>
      </c>
      <c r="O465" s="3" t="inlineStr">
        <is>
          <t>42847922MDD3003</t>
        </is>
      </c>
    </row>
    <row r="466">
      <c r="A466" s="2" t="str">
        <f>HYPERLINK("https://vtmf.veevavault.com/ui/#doc_info/26491069/1/0", "42847922MDD3003---Master Clinical ICF-06 Jun 2024 (v1.0)")</f>
        <v>42847922MDD3003---Master Clinical ICF-06 Jun 2024 (v1.0)</v>
      </c>
      <c r="B466" s="3" t="inlineStr">
        <is>
          <t>Central Trial Documents</t>
        </is>
      </c>
      <c r="C466" s="3" t="inlineStr">
        <is>
          <t>Subject Documents</t>
        </is>
      </c>
      <c r="D466" s="3" t="inlineStr">
        <is>
          <t>Master Clinical ICF</t>
        </is>
      </c>
      <c r="E466" s="3" t="inlineStr">
        <is>
          <t>Master Clinical ICF_Part 1 and 2_PA1_v 3.0_final_06Jun24</t>
        </is>
      </c>
      <c r="F466" s="2" t="str">
        <f>HYPERLINK("https://vtmf.veevavault.com/ui/#doc_info/26491069/1/0", "VTMF-21209893")</f>
        <v>VTMF-21209893</v>
      </c>
      <c r="G466" s="3" t="inlineStr">
        <is>
          <t/>
        </is>
      </c>
      <c r="H466" s="3" t="inlineStr">
        <is>
          <t>System</t>
        </is>
      </c>
      <c r="I466" s="3" t="inlineStr">
        <is>
          <t>Gina Stefanelli</t>
        </is>
      </c>
      <c r="J466" s="4" t="n">
        <v>45453.62978009259</v>
      </c>
      <c r="K466" s="5" t="n">
        <v>45453.0</v>
      </c>
      <c r="L466" s="5" t="n">
        <v>45449.0</v>
      </c>
      <c r="M466" s="3" t="inlineStr">
        <is>
          <t>Approved</t>
        </is>
      </c>
      <c r="N466" s="3" t="inlineStr">
        <is>
          <t>Study Close, Study Start</t>
        </is>
      </c>
      <c r="O466" s="3" t="inlineStr">
        <is>
          <t>42847922MDD3003</t>
        </is>
      </c>
    </row>
    <row r="467">
      <c r="A467" s="2" t="str">
        <f>HYPERLINK("https://vtmf.veevavault.com/ui/#doc_info/26491082/1/0", "42847922MDD3003---Master Clinical ICF-06 Jun 2024 (v1.0)")</f>
        <v>42847922MDD3003---Master Clinical ICF-06 Jun 2024 (v1.0)</v>
      </c>
      <c r="B467" s="3" t="inlineStr">
        <is>
          <t>Central Trial Documents</t>
        </is>
      </c>
      <c r="C467" s="3" t="inlineStr">
        <is>
          <t>Subject Documents</t>
        </is>
      </c>
      <c r="D467" s="3" t="inlineStr">
        <is>
          <t>Master Clinical ICF</t>
        </is>
      </c>
      <c r="E467" s="3" t="inlineStr">
        <is>
          <t>Master Clinical ICF-Part 2_PA1_TC_v 2.0 to v3.0_ final_06Jun24.</t>
        </is>
      </c>
      <c r="F467" s="2" t="str">
        <f>HYPERLINK("https://vtmf.veevavault.com/ui/#doc_info/26491082/1/0", "VTMF-21209922")</f>
        <v>VTMF-21209922</v>
      </c>
      <c r="G467" s="3" t="inlineStr">
        <is>
          <t/>
        </is>
      </c>
      <c r="H467" s="3" t="inlineStr">
        <is>
          <t>System</t>
        </is>
      </c>
      <c r="I467" s="3" t="inlineStr">
        <is>
          <t>Gina Stefanelli</t>
        </is>
      </c>
      <c r="J467" s="4" t="n">
        <v>45453.631527777776</v>
      </c>
      <c r="K467" s="5" t="n">
        <v>45453.0</v>
      </c>
      <c r="L467" s="5" t="n">
        <v>45449.0</v>
      </c>
      <c r="M467" s="3" t="inlineStr">
        <is>
          <t>Approved</t>
        </is>
      </c>
      <c r="N467" s="3" t="inlineStr">
        <is>
          <t>Study Close, Study Start</t>
        </is>
      </c>
      <c r="O467" s="3" t="inlineStr">
        <is>
          <t>42847922MDD3003</t>
        </is>
      </c>
    </row>
    <row r="468">
      <c r="A468" s="2" t="str">
        <f>HYPERLINK("https://vtmf.veevavault.com/ui/#doc_info/26491090/1/0", "42847922MDD3003---Master Clinical ICF-06 Jun 2024 (v1.0)")</f>
        <v>42847922MDD3003---Master Clinical ICF-06 Jun 2024 (v1.0)</v>
      </c>
      <c r="B468" s="3" t="inlineStr">
        <is>
          <t>Central Trial Documents</t>
        </is>
      </c>
      <c r="C468" s="3" t="inlineStr">
        <is>
          <t>Subject Documents</t>
        </is>
      </c>
      <c r="D468" s="3" t="inlineStr">
        <is>
          <t>Master Clinical ICF</t>
        </is>
      </c>
      <c r="E468" s="3" t="inlineStr">
        <is>
          <t>Master Clinical ICF-Part 2_PA1_v 3.0 final_06Jun24</t>
        </is>
      </c>
      <c r="F468" s="2" t="str">
        <f>HYPERLINK("https://vtmf.veevavault.com/ui/#doc_info/26491090/1/0", "VTMF-21209941")</f>
        <v>VTMF-21209941</v>
      </c>
      <c r="G468" s="3" t="inlineStr">
        <is>
          <t/>
        </is>
      </c>
      <c r="H468" s="3" t="inlineStr">
        <is>
          <t>System</t>
        </is>
      </c>
      <c r="I468" s="3" t="inlineStr">
        <is>
          <t>Gina Stefanelli</t>
        </is>
      </c>
      <c r="J468" s="4" t="n">
        <v>45453.63324074074</v>
      </c>
      <c r="K468" s="5" t="n">
        <v>45453.0</v>
      </c>
      <c r="L468" s="5" t="n">
        <v>45449.0</v>
      </c>
      <c r="M468" s="3" t="inlineStr">
        <is>
          <t>Approved</t>
        </is>
      </c>
      <c r="N468" s="3" t="inlineStr">
        <is>
          <t>Study Close, Study Start</t>
        </is>
      </c>
      <c r="O468" s="3" t="inlineStr">
        <is>
          <t>42847922MDD3003</t>
        </is>
      </c>
    </row>
    <row r="469">
      <c r="A469" s="2" t="str">
        <f>HYPERLINK("https://vtmf.veevavault.com/ui/#doc_info/26491098/1/0", "42847922MDD3003---Master Clinical ICF-06 Jun 2024 (v1.0)")</f>
        <v>42847922MDD3003---Master Clinical ICF-06 Jun 2024 (v1.0)</v>
      </c>
      <c r="B469" s="3" t="inlineStr">
        <is>
          <t>Central Trial Documents</t>
        </is>
      </c>
      <c r="C469" s="3" t="inlineStr">
        <is>
          <t>Subject Documents</t>
        </is>
      </c>
      <c r="D469" s="3" t="inlineStr">
        <is>
          <t>Master Clinical ICF</t>
        </is>
      </c>
      <c r="E469" s="3" t="inlineStr">
        <is>
          <t>Master Clinical ICF-Part 2_PA1_v 3.0 final_06Jun24</t>
        </is>
      </c>
      <c r="F469" s="2" t="str">
        <f>HYPERLINK("https://vtmf.veevavault.com/ui/#doc_info/26491098/1/0", "VTMF-21209953")</f>
        <v>VTMF-21209953</v>
      </c>
      <c r="G469" s="3" t="inlineStr">
        <is>
          <t/>
        </is>
      </c>
      <c r="H469" s="3" t="inlineStr">
        <is>
          <t>System</t>
        </is>
      </c>
      <c r="I469" s="3" t="inlineStr">
        <is>
          <t>Gina Stefanelli</t>
        </is>
      </c>
      <c r="J469" s="4" t="n">
        <v>45453.63452546296</v>
      </c>
      <c r="K469" s="5" t="n">
        <v>45453.0</v>
      </c>
      <c r="L469" s="5" t="n">
        <v>45449.0</v>
      </c>
      <c r="M469" s="3" t="inlineStr">
        <is>
          <t>Approved</t>
        </is>
      </c>
      <c r="N469" s="3" t="inlineStr">
        <is>
          <t>Study Close, Study Start</t>
        </is>
      </c>
      <c r="O469" s="3" t="inlineStr">
        <is>
          <t>42847922MDD3003</t>
        </is>
      </c>
    </row>
    <row r="470">
      <c r="A470" s="2" t="str">
        <f>HYPERLINK("https://vtmf.veevavault.com/ui/#doc_info/29560319/1/0", "42847922MDD3003---Master Clinical ICF-15 Jul 2025 (v1.0)")</f>
        <v>42847922MDD3003---Master Clinical ICF-15 Jul 2025 (v1.0)</v>
      </c>
      <c r="B470" s="3" t="inlineStr">
        <is>
          <t>Central Trial Documents</t>
        </is>
      </c>
      <c r="C470" s="3" t="inlineStr">
        <is>
          <t>Subject Documents</t>
        </is>
      </c>
      <c r="D470" s="3" t="inlineStr">
        <is>
          <t>Master Clinical ICF</t>
        </is>
      </c>
      <c r="E470" s="3" t="inlineStr">
        <is>
          <t>Master Clinical ICF for Participant of Part 1 and Part 2_V6</t>
        </is>
      </c>
      <c r="F470" s="2" t="str">
        <f>HYPERLINK("https://vtmf.veevavault.com/ui/#doc_info/29560319/1/0", "VTMF-23776093")</f>
        <v>VTMF-23776093</v>
      </c>
      <c r="G470" s="3" t="inlineStr">
        <is>
          <t/>
        </is>
      </c>
      <c r="H470" s="3" t="inlineStr">
        <is>
          <t>System</t>
        </is>
      </c>
      <c r="I470" s="3" t="inlineStr">
        <is>
          <t>Kristina Ruzinska</t>
        </is>
      </c>
      <c r="J470" s="4" t="n">
        <v>45853.67391203704</v>
      </c>
      <c r="K470" s="5" t="n">
        <v>45853.0</v>
      </c>
      <c r="L470" s="5" t="n">
        <v>45853.0</v>
      </c>
      <c r="M470" s="3" t="inlineStr">
        <is>
          <t>Approved</t>
        </is>
      </c>
      <c r="N470" s="3" t="inlineStr">
        <is>
          <t>Study Close, Study Start</t>
        </is>
      </c>
      <c r="O470" s="3" t="inlineStr">
        <is>
          <t>42847922MDD3003</t>
        </is>
      </c>
    </row>
    <row r="471">
      <c r="A471" s="2" t="str">
        <f>HYPERLINK("https://vtmf.veevavault.com/ui/#doc_info/29560329/1/0", "42847922MDD3003---Master Clinical ICF-15 Jul 2025 (v1.0)")</f>
        <v>42847922MDD3003---Master Clinical ICF-15 Jul 2025 (v1.0)</v>
      </c>
      <c r="B471" s="3" t="inlineStr">
        <is>
          <t>Central Trial Documents</t>
        </is>
      </c>
      <c r="C471" s="3" t="inlineStr">
        <is>
          <t>Subject Documents</t>
        </is>
      </c>
      <c r="D471" s="3" t="inlineStr">
        <is>
          <t>Master Clinical ICF</t>
        </is>
      </c>
      <c r="E471" s="3" t="inlineStr">
        <is>
          <t>Master Clinical ICF for Participant of Part 2_V6</t>
        </is>
      </c>
      <c r="F471" s="2" t="str">
        <f>HYPERLINK("https://vtmf.veevavault.com/ui/#doc_info/29560329/1/0", "VTMF-23776113")</f>
        <v>VTMF-23776113</v>
      </c>
      <c r="G471" s="3" t="inlineStr">
        <is>
          <t/>
        </is>
      </c>
      <c r="H471" s="3" t="inlineStr">
        <is>
          <t>System</t>
        </is>
      </c>
      <c r="I471" s="3" t="inlineStr">
        <is>
          <t>Kristina Ruzinska</t>
        </is>
      </c>
      <c r="J471" s="4" t="n">
        <v>45853.67674768518</v>
      </c>
      <c r="K471" s="5" t="n">
        <v>45853.0</v>
      </c>
      <c r="L471" s="5" t="n">
        <v>45853.0</v>
      </c>
      <c r="M471" s="3" t="inlineStr">
        <is>
          <t>Approved</t>
        </is>
      </c>
      <c r="N471" s="3" t="inlineStr">
        <is>
          <t>Study Close, Study Start</t>
        </is>
      </c>
      <c r="O471" s="3" t="inlineStr">
        <is>
          <t>42847922MDD3003</t>
        </is>
      </c>
    </row>
    <row r="472">
      <c r="A472" s="2" t="str">
        <f>HYPERLINK("https://vtmf.veevavault.com/ui/#doc_info/25993559/1/0", "42847922MDD3003---Master Clinical ICF-21 Mar 2024 (v1.0)")</f>
        <v>42847922MDD3003---Master Clinical ICF-21 Mar 2024 (v1.0)</v>
      </c>
      <c r="B472" s="3" t="inlineStr">
        <is>
          <t>Central Trial Documents</t>
        </is>
      </c>
      <c r="C472" s="3" t="inlineStr">
        <is>
          <t>Subject Documents</t>
        </is>
      </c>
      <c r="D472" s="3" t="inlineStr">
        <is>
          <t>Master Clinical ICF</t>
        </is>
      </c>
      <c r="E472" s="3" t="inlineStr">
        <is>
          <t>42847922MDD3003: Master Clinical ICF Study Part 1 and Part 2_21-Mar-2024_V2.0_Word</t>
        </is>
      </c>
      <c r="F472" s="2" t="str">
        <f>HYPERLINK("https://vtmf.veevavault.com/ui/#doc_info/25993559/1/0", "VTMF-20773907")</f>
        <v>VTMF-20773907</v>
      </c>
      <c r="G472" s="3" t="inlineStr">
        <is>
          <t/>
        </is>
      </c>
      <c r="H472" s="3" t="inlineStr">
        <is>
          <t>System</t>
        </is>
      </c>
      <c r="I472" s="3" t="inlineStr">
        <is>
          <t>Arturo Munguia</t>
        </is>
      </c>
      <c r="J472" s="4" t="n">
        <v>45376.66291666667</v>
      </c>
      <c r="K472" s="5" t="n">
        <v>45376.0</v>
      </c>
      <c r="L472" s="5" t="n">
        <v>45372.0</v>
      </c>
      <c r="M472" s="3" t="inlineStr">
        <is>
          <t>Approved</t>
        </is>
      </c>
      <c r="N472" s="3" t="inlineStr">
        <is>
          <t>Study Close, Study Start</t>
        </is>
      </c>
      <c r="O472" s="3" t="inlineStr">
        <is>
          <t>42847922MDD3003</t>
        </is>
      </c>
    </row>
    <row r="473">
      <c r="A473" s="2" t="str">
        <f>HYPERLINK("https://vtmf.veevavault.com/ui/#doc_info/25993561/1/0", "42847922MDD3003---Master Clinical ICF-21 Mar 2024 (v1.0)")</f>
        <v>42847922MDD3003---Master Clinical ICF-21 Mar 2024 (v1.0)</v>
      </c>
      <c r="B473" s="3" t="inlineStr">
        <is>
          <t>Central Trial Documents</t>
        </is>
      </c>
      <c r="C473" s="3" t="inlineStr">
        <is>
          <t>Subject Documents</t>
        </is>
      </c>
      <c r="D473" s="3" t="inlineStr">
        <is>
          <t>Master Clinical ICF</t>
        </is>
      </c>
      <c r="E473" s="3" t="inlineStr">
        <is>
          <t>42847922MDD3003: Master Clinical ICF Study Part 1 and Part 2_21-Mar-2024_V2.0_PDF</t>
        </is>
      </c>
      <c r="F473" s="2" t="str">
        <f>HYPERLINK("https://vtmf.veevavault.com/ui/#doc_info/25993561/1/0", "VTMF-20773909")</f>
        <v>VTMF-20773909</v>
      </c>
      <c r="G473" s="3" t="inlineStr">
        <is>
          <t/>
        </is>
      </c>
      <c r="H473" s="3" t="inlineStr">
        <is>
          <t>System</t>
        </is>
      </c>
      <c r="I473" s="3" t="inlineStr">
        <is>
          <t>Arturo Munguia</t>
        </is>
      </c>
      <c r="J473" s="4" t="n">
        <v>45376.66291666667</v>
      </c>
      <c r="K473" s="5" t="n">
        <v>45376.0</v>
      </c>
      <c r="L473" s="5" t="n">
        <v>45372.0</v>
      </c>
      <c r="M473" s="3" t="inlineStr">
        <is>
          <t>Approved</t>
        </is>
      </c>
      <c r="N473" s="3" t="inlineStr">
        <is>
          <t>Study Close, Study Start</t>
        </is>
      </c>
      <c r="O473" s="3" t="inlineStr">
        <is>
          <t>42847922MDD3003</t>
        </is>
      </c>
    </row>
    <row r="474">
      <c r="A474" s="2" t="str">
        <f>HYPERLINK("https://vtmf.veevavault.com/ui/#doc_info/25993562/1/0", "42847922MDD3003---Master Clinical ICF-21 Mar 2024 (v1.0)")</f>
        <v>42847922MDD3003---Master Clinical ICF-21 Mar 2024 (v1.0)</v>
      </c>
      <c r="B474" s="3" t="inlineStr">
        <is>
          <t>Central Trial Documents</t>
        </is>
      </c>
      <c r="C474" s="3" t="inlineStr">
        <is>
          <t>Subject Documents</t>
        </is>
      </c>
      <c r="D474" s="3" t="inlineStr">
        <is>
          <t>Master Clinical ICF</t>
        </is>
      </c>
      <c r="E474" s="3" t="inlineStr">
        <is>
          <t>42847922MDD3003: Master Clinical ICF Study Part 2_21-Mar-2024_V2.0_Word</t>
        </is>
      </c>
      <c r="F474" s="2" t="str">
        <f>HYPERLINK("https://vtmf.veevavault.com/ui/#doc_info/25993562/1/0", "VTMF-20773910")</f>
        <v>VTMF-20773910</v>
      </c>
      <c r="G474" s="3" t="inlineStr">
        <is>
          <t/>
        </is>
      </c>
      <c r="H474" s="3" t="inlineStr">
        <is>
          <t>System</t>
        </is>
      </c>
      <c r="I474" s="3" t="inlineStr">
        <is>
          <t>Arturo Munguia</t>
        </is>
      </c>
      <c r="J474" s="4" t="n">
        <v>45376.66291666667</v>
      </c>
      <c r="K474" s="5" t="n">
        <v>45376.0</v>
      </c>
      <c r="L474" s="5" t="n">
        <v>45372.0</v>
      </c>
      <c r="M474" s="3" t="inlineStr">
        <is>
          <t>Approved</t>
        </is>
      </c>
      <c r="N474" s="3" t="inlineStr">
        <is>
          <t>Study Close, Study Start</t>
        </is>
      </c>
      <c r="O474" s="3" t="inlineStr">
        <is>
          <t>42847922MDD3003</t>
        </is>
      </c>
    </row>
    <row r="475">
      <c r="A475" s="2" t="str">
        <f>HYPERLINK("https://vtmf.veevavault.com/ui/#doc_info/25993563/1/0", "42847922MDD3003---Master Clinical ICF-21 Mar 2024 (v1.0)")</f>
        <v>42847922MDD3003---Master Clinical ICF-21 Mar 2024 (v1.0)</v>
      </c>
      <c r="B475" s="3" t="inlineStr">
        <is>
          <t>Central Trial Documents</t>
        </is>
      </c>
      <c r="C475" s="3" t="inlineStr">
        <is>
          <t>Subject Documents</t>
        </is>
      </c>
      <c r="D475" s="3" t="inlineStr">
        <is>
          <t>Master Clinical ICF</t>
        </is>
      </c>
      <c r="E475" s="3" t="inlineStr">
        <is>
          <t>42847922MDD3003: Master Clinical ICF Study Part 2_21-Mar-2024_V2.0_PDF</t>
        </is>
      </c>
      <c r="F475" s="2" t="str">
        <f>HYPERLINK("https://vtmf.veevavault.com/ui/#doc_info/25993563/1/0", "VTMF-20773911")</f>
        <v>VTMF-20773911</v>
      </c>
      <c r="G475" s="3" t="inlineStr">
        <is>
          <t/>
        </is>
      </c>
      <c r="H475" s="3" t="inlineStr">
        <is>
          <t>System</t>
        </is>
      </c>
      <c r="I475" s="3" t="inlineStr">
        <is>
          <t>Arturo Munguia</t>
        </is>
      </c>
      <c r="J475" s="4" t="n">
        <v>45376.66291666667</v>
      </c>
      <c r="K475" s="5" t="n">
        <v>45376.0</v>
      </c>
      <c r="L475" s="5" t="n">
        <v>45372.0</v>
      </c>
      <c r="M475" s="3" t="inlineStr">
        <is>
          <t>Approved</t>
        </is>
      </c>
      <c r="N475" s="3" t="inlineStr">
        <is>
          <t>Study Close, Study Start</t>
        </is>
      </c>
      <c r="O475" s="3" t="inlineStr">
        <is>
          <t>42847922MDD3003</t>
        </is>
      </c>
    </row>
    <row r="476">
      <c r="A476" s="2" t="str">
        <f>HYPERLINK("https://vtmf.veevavault.com/ui/#doc_info/25800820/1/0", "42847922MDD3003---Master Clinical ICF-22 Feb 2024 (v1.0)")</f>
        <v>42847922MDD3003---Master Clinical ICF-22 Feb 2024 (v1.0)</v>
      </c>
      <c r="B476" s="3" t="inlineStr">
        <is>
          <t>Central Trial Documents</t>
        </is>
      </c>
      <c r="C476" s="3" t="inlineStr">
        <is>
          <t>Subject Documents</t>
        </is>
      </c>
      <c r="D476" s="3" t="inlineStr">
        <is>
          <t>Master Clinical ICF</t>
        </is>
      </c>
      <c r="E476" s="3" t="inlineStr">
        <is>
          <t>42847922MDD3003: Pregnancy in Clinical Study ICF_22-Feb-2024_V1.0_Word</t>
        </is>
      </c>
      <c r="F476" s="2" t="str">
        <f>HYPERLINK("https://vtmf.veevavault.com/ui/#doc_info/25800820/1/0", "VTMF-20603195")</f>
        <v>VTMF-20603195</v>
      </c>
      <c r="G476" s="3" t="inlineStr">
        <is>
          <t/>
        </is>
      </c>
      <c r="H476" s="3" t="inlineStr">
        <is>
          <t>System</t>
        </is>
      </c>
      <c r="I476" s="3" t="inlineStr">
        <is>
          <t>Arturo Munguia</t>
        </is>
      </c>
      <c r="J476" s="4" t="n">
        <v>45349.66271990741</v>
      </c>
      <c r="K476" s="5" t="n">
        <v>45349.0</v>
      </c>
      <c r="L476" s="5" t="n">
        <v>45344.0</v>
      </c>
      <c r="M476" s="3" t="inlineStr">
        <is>
          <t>Approved</t>
        </is>
      </c>
      <c r="N476" s="3" t="inlineStr">
        <is>
          <t>Study Close, Study Start</t>
        </is>
      </c>
      <c r="O476" s="3" t="inlineStr">
        <is>
          <t>42847922MDD3003</t>
        </is>
      </c>
    </row>
    <row r="477">
      <c r="A477" s="2" t="str">
        <f>HYPERLINK("https://vtmf.veevavault.com/ui/#doc_info/25800821/1/0", "42847922MDD3003---Master Clinical ICF-22 Feb 2024 (v1.0)")</f>
        <v>42847922MDD3003---Master Clinical ICF-22 Feb 2024 (v1.0)</v>
      </c>
      <c r="B477" s="3" t="inlineStr">
        <is>
          <t>Central Trial Documents</t>
        </is>
      </c>
      <c r="C477" s="3" t="inlineStr">
        <is>
          <t>Subject Documents</t>
        </is>
      </c>
      <c r="D477" s="3" t="inlineStr">
        <is>
          <t>Master Clinical ICF</t>
        </is>
      </c>
      <c r="E477" s="3" t="inlineStr">
        <is>
          <t>42847922MDD3003: Pregnancy in Clinical Study ICF_22-Feb-2024_V1.0_PDF</t>
        </is>
      </c>
      <c r="F477" s="2" t="str">
        <f>HYPERLINK("https://vtmf.veevavault.com/ui/#doc_info/25800821/1/0", "VTMF-20603196")</f>
        <v>VTMF-20603196</v>
      </c>
      <c r="G477" s="3" t="inlineStr">
        <is>
          <t/>
        </is>
      </c>
      <c r="H477" s="3" t="inlineStr">
        <is>
          <t>System</t>
        </is>
      </c>
      <c r="I477" s="3" t="inlineStr">
        <is>
          <t>Arturo Munguia</t>
        </is>
      </c>
      <c r="J477" s="4" t="n">
        <v>45349.66271990741</v>
      </c>
      <c r="K477" s="5" t="n">
        <v>45349.0</v>
      </c>
      <c r="L477" s="5" t="n">
        <v>45344.0</v>
      </c>
      <c r="M477" s="3" t="inlineStr">
        <is>
          <t>Approved</t>
        </is>
      </c>
      <c r="N477" s="3" t="inlineStr">
        <is>
          <t>Study Close, Study Start</t>
        </is>
      </c>
      <c r="O477" s="3" t="inlineStr">
        <is>
          <t>42847922MDD3003</t>
        </is>
      </c>
    </row>
    <row r="478">
      <c r="A478" s="2" t="str">
        <f>HYPERLINK("https://vtmf.veevavault.com/ui/#doc_info/26071712/7/0", "42847922MDD3003---Master Clinical ICF-23 Jul 2025 (v7.0)")</f>
        <v>42847922MDD3003---Master Clinical ICF-23 Jul 2025 (v7.0)</v>
      </c>
      <c r="B478" s="3" t="inlineStr">
        <is>
          <t>Central Trial Documents</t>
        </is>
      </c>
      <c r="C478" s="3" t="inlineStr">
        <is>
          <t>Subject Documents</t>
        </is>
      </c>
      <c r="D478" s="3" t="inlineStr">
        <is>
          <t>Master Clinical ICF</t>
        </is>
      </c>
      <c r="E478" s="3" t="inlineStr">
        <is>
          <t>Redacted-Master ICF-Clinical_Part2-42847922MDD3003-1269120</t>
        </is>
      </c>
      <c r="F478" s="2" t="str">
        <f>HYPERLINK("https://vtmf.veevavault.com/ui/#doc_info/26071712/7/0", "VTMF-20843075")</f>
        <v>VTMF-20843075</v>
      </c>
      <c r="G478" s="3" t="inlineStr">
        <is>
          <t>RIMDOCS</t>
        </is>
      </c>
      <c r="H478" s="3" t="inlineStr">
        <is>
          <t>System</t>
        </is>
      </c>
      <c r="I478" s="3" t="inlineStr">
        <is>
          <t>Integration RIM Docs</t>
        </is>
      </c>
      <c r="J478" s="4" t="n">
        <v>45861.91339120371</v>
      </c>
      <c r="K478" s="5" t="n">
        <v>45861.0</v>
      </c>
      <c r="L478" s="5" t="n">
        <v>45861.0</v>
      </c>
      <c r="M478" s="3" t="inlineStr">
        <is>
          <t>Approved</t>
        </is>
      </c>
      <c r="N478" s="3" t="inlineStr">
        <is>
          <t>Study Close, Study Start</t>
        </is>
      </c>
      <c r="O478" s="3" t="inlineStr">
        <is>
          <t>42847922MDD3003</t>
        </is>
      </c>
    </row>
    <row r="479">
      <c r="A479" s="2" t="str">
        <f>HYPERLINK("https://vtmf.veevavault.com/ui/#doc_info/27130408/1/0", "42847922MDD3003---Master Clinical ICF-23 Sep 2024 (v1.0)")</f>
        <v>42847922MDD3003---Master Clinical ICF-23 Sep 2024 (v1.0)</v>
      </c>
      <c r="B479" s="3" t="inlineStr">
        <is>
          <t>Central Trial Documents</t>
        </is>
      </c>
      <c r="C479" s="3" t="inlineStr">
        <is>
          <t>Subject Documents</t>
        </is>
      </c>
      <c r="D479" s="3" t="inlineStr">
        <is>
          <t>Master Clinical ICF</t>
        </is>
      </c>
      <c r="E479" s="3" t="inlineStr">
        <is>
          <t>Master Clinical ICF for Participant of Part 1 and part 2_V4_23Sep24</t>
        </is>
      </c>
      <c r="F479" s="2" t="str">
        <f>HYPERLINK("https://vtmf.veevavault.com/ui/#doc_info/27130408/1/0", "VTMF-21750065")</f>
        <v>VTMF-21750065</v>
      </c>
      <c r="G479" s="3" t="inlineStr">
        <is>
          <t/>
        </is>
      </c>
      <c r="H479" s="3" t="inlineStr">
        <is>
          <t>Anthony Suarez (veeva.com)</t>
        </is>
      </c>
      <c r="I479" s="3" t="inlineStr">
        <is>
          <t>Kristina Ruzinska</t>
        </is>
      </c>
      <c r="J479" s="4" t="n">
        <v>45559.46079861111</v>
      </c>
      <c r="K479" s="5" t="n">
        <v>45559.0</v>
      </c>
      <c r="L479" s="5" t="n">
        <v>45558.0</v>
      </c>
      <c r="M479" s="3" t="inlineStr">
        <is>
          <t>Approved</t>
        </is>
      </c>
      <c r="N479" s="3" t="inlineStr">
        <is>
          <t>Study Close, Study Start</t>
        </is>
      </c>
      <c r="O479" s="3" t="inlineStr">
        <is>
          <t>42847922MDD3003</t>
        </is>
      </c>
    </row>
    <row r="480">
      <c r="A480" s="2" t="str">
        <f>HYPERLINK("https://vtmf.veevavault.com/ui/#doc_info/27130431/1/0", "42847922MDD3003---Master Clinical ICF-23 Sep 2024 (v1.0)")</f>
        <v>42847922MDD3003---Master Clinical ICF-23 Sep 2024 (v1.0)</v>
      </c>
      <c r="B480" s="3" t="inlineStr">
        <is>
          <t>Central Trial Documents</t>
        </is>
      </c>
      <c r="C480" s="3" t="inlineStr">
        <is>
          <t>Subject Documents</t>
        </is>
      </c>
      <c r="D480" s="3" t="inlineStr">
        <is>
          <t>Master Clinical ICF</t>
        </is>
      </c>
      <c r="E480" s="3" t="inlineStr">
        <is>
          <t>Master Clinical ICF-For participants of Part 2 _v4.0_23Sep24</t>
        </is>
      </c>
      <c r="F480" s="2" t="str">
        <f>HYPERLINK("https://vtmf.veevavault.com/ui/#doc_info/27130431/1/0", "VTMF-21750094")</f>
        <v>VTMF-21750094</v>
      </c>
      <c r="G480" s="3" t="inlineStr">
        <is>
          <t/>
        </is>
      </c>
      <c r="H480" s="3" t="inlineStr">
        <is>
          <t>Anthony Suarez (veeva.com)</t>
        </is>
      </c>
      <c r="I480" s="3" t="inlineStr">
        <is>
          <t>Kristina Ruzinska</t>
        </is>
      </c>
      <c r="J480" s="4" t="n">
        <v>45559.46362268519</v>
      </c>
      <c r="K480" s="5" t="n">
        <v>45559.0</v>
      </c>
      <c r="L480" s="5" t="n">
        <v>45558.0</v>
      </c>
      <c r="M480" s="3" t="inlineStr">
        <is>
          <t>Approved</t>
        </is>
      </c>
      <c r="N480" s="3" t="inlineStr">
        <is>
          <t>Study Close, Study Start</t>
        </is>
      </c>
      <c r="O480" s="3" t="inlineStr">
        <is>
          <t>42847922MDD3003</t>
        </is>
      </c>
    </row>
    <row r="481">
      <c r="A481" s="2" t="str">
        <f>HYPERLINK("https://vtmf.veevavault.com/ui/#doc_info/25802321/1/0", "42847922MDD3003---Master Clinical ICF-26 Feb 2024 (v1.0)")</f>
        <v>42847922MDD3003---Master Clinical ICF-26 Feb 2024 (v1.0)</v>
      </c>
      <c r="B481" s="3" t="inlineStr">
        <is>
          <t>Central Trial Documents</t>
        </is>
      </c>
      <c r="C481" s="3" t="inlineStr">
        <is>
          <t>Subject Documents</t>
        </is>
      </c>
      <c r="D481" s="3" t="inlineStr">
        <is>
          <t>Master Clinical ICF</t>
        </is>
      </c>
      <c r="E481" s="3" t="inlineStr">
        <is>
          <t>42847922MDD3003: Master Clinical ICF Study Part 1 and Part 2_26-Feb-2024_V1.0_Word</t>
        </is>
      </c>
      <c r="F481" s="2" t="str">
        <f>HYPERLINK("https://vtmf.veevavault.com/ui/#doc_info/25802321/1/0", "VTMF-20604502")</f>
        <v>VTMF-20604502</v>
      </c>
      <c r="G481" s="3" t="inlineStr">
        <is>
          <t/>
        </is>
      </c>
      <c r="H481" s="3" t="inlineStr">
        <is>
          <t>System</t>
        </is>
      </c>
      <c r="I481" s="3" t="inlineStr">
        <is>
          <t>Arturo Munguia</t>
        </is>
      </c>
      <c r="J481" s="4" t="n">
        <v>45349.793657407405</v>
      </c>
      <c r="K481" s="5" t="n">
        <v>45349.0</v>
      </c>
      <c r="L481" s="5" t="n">
        <v>45348.0</v>
      </c>
      <c r="M481" s="3" t="inlineStr">
        <is>
          <t>Approved</t>
        </is>
      </c>
      <c r="N481" s="3" t="inlineStr">
        <is>
          <t>Study Close, Study Start</t>
        </is>
      </c>
      <c r="O481" s="3" t="inlineStr">
        <is>
          <t>42847922MDD3003</t>
        </is>
      </c>
    </row>
    <row r="482">
      <c r="A482" s="2" t="str">
        <f>HYPERLINK("https://vtmf.veevavault.com/ui/#doc_info/25802322/1/0", "42847922MDD3003---Master Clinical ICF-26 Feb 2024 (v1.0)")</f>
        <v>42847922MDD3003---Master Clinical ICF-26 Feb 2024 (v1.0)</v>
      </c>
      <c r="B482" s="3" t="inlineStr">
        <is>
          <t>Central Trial Documents</t>
        </is>
      </c>
      <c r="C482" s="3" t="inlineStr">
        <is>
          <t>Subject Documents</t>
        </is>
      </c>
      <c r="D482" s="3" t="inlineStr">
        <is>
          <t>Master Clinical ICF</t>
        </is>
      </c>
      <c r="E482" s="3" t="inlineStr">
        <is>
          <t>42847922MDD3003: Master Clinical ICF Study Part 1 and Part 2_26-Feb-2024_V1.0_PDF</t>
        </is>
      </c>
      <c r="F482" s="2" t="str">
        <f>HYPERLINK("https://vtmf.veevavault.com/ui/#doc_info/25802322/1/0", "VTMF-20604503")</f>
        <v>VTMF-20604503</v>
      </c>
      <c r="G482" s="3" t="inlineStr">
        <is>
          <t/>
        </is>
      </c>
      <c r="H482" s="3" t="inlineStr">
        <is>
          <t>System</t>
        </is>
      </c>
      <c r="I482" s="3" t="inlineStr">
        <is>
          <t>Arturo Munguia</t>
        </is>
      </c>
      <c r="J482" s="4" t="n">
        <v>45349.793657407405</v>
      </c>
      <c r="K482" s="5" t="n">
        <v>45349.0</v>
      </c>
      <c r="L482" s="5" t="n">
        <v>45348.0</v>
      </c>
      <c r="M482" s="3" t="inlineStr">
        <is>
          <t>Approved</t>
        </is>
      </c>
      <c r="N482" s="3" t="inlineStr">
        <is>
          <t>Study Close, Study Start</t>
        </is>
      </c>
      <c r="O482" s="3" t="inlineStr">
        <is>
          <t>42847922MDD3003</t>
        </is>
      </c>
    </row>
    <row r="483">
      <c r="A483" s="2" t="str">
        <f>HYPERLINK("https://vtmf.veevavault.com/ui/#doc_info/25802323/1/0", "42847922MDD3003---Master Clinical ICF-26 Feb 2024 (v1.0)")</f>
        <v>42847922MDD3003---Master Clinical ICF-26 Feb 2024 (v1.0)</v>
      </c>
      <c r="B483" s="3" t="inlineStr">
        <is>
          <t>Central Trial Documents</t>
        </is>
      </c>
      <c r="C483" s="3" t="inlineStr">
        <is>
          <t>Subject Documents</t>
        </is>
      </c>
      <c r="D483" s="3" t="inlineStr">
        <is>
          <t>Master Clinical ICF</t>
        </is>
      </c>
      <c r="E483" s="3" t="inlineStr">
        <is>
          <t>42847922MDD3003: Master Clinical ICF Study Part 2_26-Feb-2024_V1.0_Word</t>
        </is>
      </c>
      <c r="F483" s="2" t="str">
        <f>HYPERLINK("https://vtmf.veevavault.com/ui/#doc_info/25802323/1/0", "VTMF-20604504")</f>
        <v>VTMF-20604504</v>
      </c>
      <c r="G483" s="3" t="inlineStr">
        <is>
          <t/>
        </is>
      </c>
      <c r="H483" s="3" t="inlineStr">
        <is>
          <t>System</t>
        </is>
      </c>
      <c r="I483" s="3" t="inlineStr">
        <is>
          <t>Arturo Munguia</t>
        </is>
      </c>
      <c r="J483" s="4" t="n">
        <v>45349.793657407405</v>
      </c>
      <c r="K483" s="5" t="n">
        <v>45349.0</v>
      </c>
      <c r="L483" s="5" t="n">
        <v>45348.0</v>
      </c>
      <c r="M483" s="3" t="inlineStr">
        <is>
          <t>Approved</t>
        </is>
      </c>
      <c r="N483" s="3" t="inlineStr">
        <is>
          <t>Study Close, Study Start</t>
        </is>
      </c>
      <c r="O483" s="3" t="inlineStr">
        <is>
          <t>42847922MDD3003</t>
        </is>
      </c>
    </row>
    <row r="484">
      <c r="A484" s="2" t="str">
        <f>HYPERLINK("https://vtmf.veevavault.com/ui/#doc_info/25802324/1/0", "42847922MDD3003---Master Clinical ICF-26 Feb 2024 (v1.0)")</f>
        <v>42847922MDD3003---Master Clinical ICF-26 Feb 2024 (v1.0)</v>
      </c>
      <c r="B484" s="3" t="inlineStr">
        <is>
          <t>Central Trial Documents</t>
        </is>
      </c>
      <c r="C484" s="3" t="inlineStr">
        <is>
          <t>Subject Documents</t>
        </is>
      </c>
      <c r="D484" s="3" t="inlineStr">
        <is>
          <t>Master Clinical ICF</t>
        </is>
      </c>
      <c r="E484" s="3" t="inlineStr">
        <is>
          <t>42847922MDD3003: Master Clinical ICF Study Part 2_26-Feb-2024_V1.0_PDF</t>
        </is>
      </c>
      <c r="F484" s="2" t="str">
        <f>HYPERLINK("https://vtmf.veevavault.com/ui/#doc_info/25802324/1/0", "VTMF-20604505")</f>
        <v>VTMF-20604505</v>
      </c>
      <c r="G484" s="3" t="inlineStr">
        <is>
          <t/>
        </is>
      </c>
      <c r="H484" s="3" t="inlineStr">
        <is>
          <t>System</t>
        </is>
      </c>
      <c r="I484" s="3" t="inlineStr">
        <is>
          <t>Arturo Munguia</t>
        </is>
      </c>
      <c r="J484" s="4" t="n">
        <v>45349.793657407405</v>
      </c>
      <c r="K484" s="5" t="n">
        <v>45349.0</v>
      </c>
      <c r="L484" s="5" t="n">
        <v>45348.0</v>
      </c>
      <c r="M484" s="3" t="inlineStr">
        <is>
          <t>Approved</t>
        </is>
      </c>
      <c r="N484" s="3" t="inlineStr">
        <is>
          <t>Study Close, Study Start</t>
        </is>
      </c>
      <c r="O484" s="3" t="inlineStr">
        <is>
          <t>42847922MDD3003</t>
        </is>
      </c>
    </row>
    <row r="485">
      <c r="A485" s="2" t="str">
        <f>HYPERLINK("https://vtmf.veevavault.com/ui/#doc_info/26071709/3/0", "42847922MDD3003---Master Clinical ICF-26 Mar 2025 (v3.0)")</f>
        <v>42847922MDD3003---Master Clinical ICF-26 Mar 2025 (v3.0)</v>
      </c>
      <c r="B485" s="3" t="inlineStr">
        <is>
          <t>Central Trial Documents</t>
        </is>
      </c>
      <c r="C485" s="3" t="inlineStr">
        <is>
          <t>Subject Documents</t>
        </is>
      </c>
      <c r="D485" s="3" t="inlineStr">
        <is>
          <t>Master Clinical ICF</t>
        </is>
      </c>
      <c r="E485" s="3" t="inlineStr">
        <is>
          <t>Redacted-Master ICF-Recruitment-procedure template -42847922MDD3003-1283294</t>
        </is>
      </c>
      <c r="F485" s="2" t="str">
        <f>HYPERLINK("https://vtmf.veevavault.com/ui/#doc_info/26071709/3/0", "VTMF-20843072")</f>
        <v>VTMF-20843072</v>
      </c>
      <c r="G485" s="3" t="inlineStr">
        <is>
          <t>RIMDOCS</t>
        </is>
      </c>
      <c r="H485" s="3" t="inlineStr">
        <is>
          <t>System</t>
        </is>
      </c>
      <c r="I485" s="3" t="inlineStr">
        <is>
          <t>Integration RIM Docs</t>
        </is>
      </c>
      <c r="J485" s="4" t="n">
        <v>45742.618113425924</v>
      </c>
      <c r="K485" s="5" t="n">
        <v>45387.0</v>
      </c>
      <c r="L485" s="5" t="n">
        <v>45742.0</v>
      </c>
      <c r="M485" s="3" t="inlineStr">
        <is>
          <t>Approved</t>
        </is>
      </c>
      <c r="N485" s="3" t="inlineStr">
        <is>
          <t>Study Close, Study Start</t>
        </is>
      </c>
      <c r="O485" s="3" t="inlineStr">
        <is>
          <t>42847922MDD3003</t>
        </is>
      </c>
    </row>
    <row r="486">
      <c r="A486" s="2" t="str">
        <f>HYPERLINK("https://vtmf.veevavault.com/ui/#doc_info/28200820/1/0", "42847922MDD3003---Master Clinical ICF-29 Jan 2025 (v1.0)")</f>
        <v>42847922MDD3003---Master Clinical ICF-29 Jan 2025 (v1.0)</v>
      </c>
      <c r="B486" s="3" t="inlineStr">
        <is>
          <t>Central Trial Documents</t>
        </is>
      </c>
      <c r="C486" s="3" t="inlineStr">
        <is>
          <t>Subject Documents</t>
        </is>
      </c>
      <c r="D486" s="3" t="inlineStr">
        <is>
          <t>Master Clinical ICF</t>
        </is>
      </c>
      <c r="E486" s="3" t="inlineStr">
        <is>
          <t>Master Clinical ICF for Participant of Part 1 and part 2_V5_29Jan25</t>
        </is>
      </c>
      <c r="F486" s="2" t="str">
        <f>HYPERLINK("https://vtmf.veevavault.com/ui/#doc_info/28200820/1/0", "VTMF-22616815")</f>
        <v>VTMF-22616815</v>
      </c>
      <c r="G486" s="3" t="inlineStr">
        <is>
          <t/>
        </is>
      </c>
      <c r="H486" s="3" t="inlineStr">
        <is>
          <t>Anthony Suarez (veeva.com)</t>
        </is>
      </c>
      <c r="I486" s="3" t="inlineStr">
        <is>
          <t>Kristina Ruzinska</t>
        </is>
      </c>
      <c r="J486" s="4" t="n">
        <v>45688.534421296295</v>
      </c>
      <c r="K486" s="5" t="n">
        <v>45688.0</v>
      </c>
      <c r="L486" s="5" t="n">
        <v>45686.0</v>
      </c>
      <c r="M486" s="3" t="inlineStr">
        <is>
          <t>Approved</t>
        </is>
      </c>
      <c r="N486" s="3" t="inlineStr">
        <is>
          <t>Study Close, Study Start</t>
        </is>
      </c>
      <c r="O486" s="3" t="inlineStr">
        <is>
          <t>42847922MDD3003</t>
        </is>
      </c>
    </row>
    <row r="487">
      <c r="A487" s="2" t="str">
        <f>HYPERLINK("https://vtmf.veevavault.com/ui/#doc_info/28200827/1/0", "42847922MDD3003---Master Clinical ICF-29 Jan 2025 (v1.0)")</f>
        <v>42847922MDD3003---Master Clinical ICF-29 Jan 2025 (v1.0)</v>
      </c>
      <c r="B487" s="3" t="inlineStr">
        <is>
          <t>Central Trial Documents</t>
        </is>
      </c>
      <c r="C487" s="3" t="inlineStr">
        <is>
          <t>Subject Documents</t>
        </is>
      </c>
      <c r="D487" s="3" t="inlineStr">
        <is>
          <t>Master Clinical ICF</t>
        </is>
      </c>
      <c r="E487" s="3" t="inlineStr">
        <is>
          <t>Master Clinical ICF for Participant of Part 2_V5_29Jan25</t>
        </is>
      </c>
      <c r="F487" s="2" t="str">
        <f>HYPERLINK("https://vtmf.veevavault.com/ui/#doc_info/28200827/1/0", "VTMF-22616827")</f>
        <v>VTMF-22616827</v>
      </c>
      <c r="G487" s="3" t="inlineStr">
        <is>
          <t/>
        </is>
      </c>
      <c r="H487" s="3" t="inlineStr">
        <is>
          <t>Anthony Suarez (veeva.com)</t>
        </is>
      </c>
      <c r="I487" s="3" t="inlineStr">
        <is>
          <t>Kristina Ruzinska</t>
        </is>
      </c>
      <c r="J487" s="4" t="n">
        <v>45688.53565972222</v>
      </c>
      <c r="K487" s="5" t="n">
        <v>45688.0</v>
      </c>
      <c r="L487" s="5" t="n">
        <v>45686.0</v>
      </c>
      <c r="M487" s="3" t="inlineStr">
        <is>
          <t>Approved</t>
        </is>
      </c>
      <c r="N487" s="3" t="inlineStr">
        <is>
          <t>Study Close, Study Start</t>
        </is>
      </c>
      <c r="O487" s="3" t="inlineStr">
        <is>
          <t>42847922MDD3003</t>
        </is>
      </c>
    </row>
    <row r="488">
      <c r="A488" s="2" t="str">
        <f>HYPERLINK("https://vtmf.veevavault.com/ui/#doc_info/26071711/9/0", "42847922MDD3003---Master Clinical ICF-31 Jul 2025 (v9.0)")</f>
        <v>42847922MDD3003---Master Clinical ICF-31 Jul 2025 (v9.0)</v>
      </c>
      <c r="B488" s="3" t="inlineStr">
        <is>
          <t>Central Trial Documents</t>
        </is>
      </c>
      <c r="C488" s="3" t="inlineStr">
        <is>
          <t>Subject Documents</t>
        </is>
      </c>
      <c r="D488" s="3" t="inlineStr">
        <is>
          <t>Master Clinical ICF</t>
        </is>
      </c>
      <c r="E488" s="3" t="inlineStr">
        <is>
          <t>Redacted-Master ICF-Clinical-Part 1 and part 2_42847922MDD3003-1269119</t>
        </is>
      </c>
      <c r="F488" s="2" t="str">
        <f>HYPERLINK("https://vtmf.veevavault.com/ui/#doc_info/26071711/9/0", "VTMF-20843074")</f>
        <v>VTMF-20843074</v>
      </c>
      <c r="G488" s="3" t="inlineStr">
        <is>
          <t>RIMDOCS</t>
        </is>
      </c>
      <c r="H488" s="3" t="inlineStr">
        <is>
          <t>System</t>
        </is>
      </c>
      <c r="I488" s="3" t="inlineStr">
        <is>
          <t>Integration RIM Docs</t>
        </is>
      </c>
      <c r="J488" s="4" t="n">
        <v>45869.57991898148</v>
      </c>
      <c r="K488" s="5" t="n">
        <v>45869.0</v>
      </c>
      <c r="L488" s="5" t="n">
        <v>45869.0</v>
      </c>
      <c r="M488" s="3" t="inlineStr">
        <is>
          <t>Approved</t>
        </is>
      </c>
      <c r="N488" s="3" t="inlineStr">
        <is>
          <t>Study Close, Study Start</t>
        </is>
      </c>
      <c r="O488" s="3" t="inlineStr">
        <is>
          <t>42847922MDD3003</t>
        </is>
      </c>
    </row>
    <row r="489">
      <c r="A489" s="2" t="str">
        <f>HYPERLINK("https://vtmf.veevavault.com/ui/#doc_info/26491217/1/0", "42847922MDD3003---Master ICF Review and Approval Form-06 Jun 2024 (v1.0)")</f>
        <v>42847922MDD3003---Master ICF Review and Approval Form-06 Jun 2024 (v1.0)</v>
      </c>
      <c r="B489" s="3" t="inlineStr">
        <is>
          <t>Central Trial Documents</t>
        </is>
      </c>
      <c r="C489" s="3" t="inlineStr">
        <is>
          <t>Subject Documents</t>
        </is>
      </c>
      <c r="D489" s="3" t="inlineStr">
        <is>
          <t>Master ICF Review and Approval Form</t>
        </is>
      </c>
      <c r="E489" s="3" t="inlineStr">
        <is>
          <t>ICF Review/Approval form_Part 1 and 2_v3.0_06 Jun 2024_FS.</t>
        </is>
      </c>
      <c r="F489" s="2" t="str">
        <f>HYPERLINK("https://vtmf.veevavault.com/ui/#doc_info/26491217/1/0", "VTMF-21209973")</f>
        <v>VTMF-21209973</v>
      </c>
      <c r="G489" s="3" t="inlineStr">
        <is>
          <t/>
        </is>
      </c>
      <c r="H489" s="3" t="inlineStr">
        <is>
          <t>Gina Stefanelli</t>
        </is>
      </c>
      <c r="I489" s="3" t="inlineStr">
        <is>
          <t>Gina Stefanelli</t>
        </is>
      </c>
      <c r="J489" s="4" t="n">
        <v>45453.63594907407</v>
      </c>
      <c r="K489" s="5" t="n">
        <v>45453.0</v>
      </c>
      <c r="L489" s="5" t="n">
        <v>45449.0</v>
      </c>
      <c r="M489" s="3" t="inlineStr">
        <is>
          <t>Approved</t>
        </is>
      </c>
      <c r="N489" s="3" t="inlineStr">
        <is>
          <t>Study Close, Study Start</t>
        </is>
      </c>
      <c r="O489" s="3" t="inlineStr">
        <is>
          <t>42847922MDD3003</t>
        </is>
      </c>
    </row>
    <row r="490">
      <c r="A490" s="2" t="str">
        <f>HYPERLINK("https://vtmf.veevavault.com/ui/#doc_info/26491228/1/0", "42847922MDD3003---Master ICF Review and Approval Form-06 Jun 2024 (v1.0)")</f>
        <v>42847922MDD3003---Master ICF Review and Approval Form-06 Jun 2024 (v1.0)</v>
      </c>
      <c r="B490" s="3" t="inlineStr">
        <is>
          <t>Central Trial Documents</t>
        </is>
      </c>
      <c r="C490" s="3" t="inlineStr">
        <is>
          <t>Subject Documents</t>
        </is>
      </c>
      <c r="D490" s="3" t="inlineStr">
        <is>
          <t>Master ICF Review and Approval Form</t>
        </is>
      </c>
      <c r="E490" s="3" t="inlineStr">
        <is>
          <t>ICF Review/Approval form_Part 2_06 Jun 2024_v3.0</t>
        </is>
      </c>
      <c r="F490" s="2" t="str">
        <f>HYPERLINK("https://vtmf.veevavault.com/ui/#doc_info/26491228/1/0", "VTMF-21209995")</f>
        <v>VTMF-21209995</v>
      </c>
      <c r="G490" s="3" t="inlineStr">
        <is>
          <t/>
        </is>
      </c>
      <c r="H490" s="3" t="inlineStr">
        <is>
          <t>Gina Stefanelli</t>
        </is>
      </c>
      <c r="I490" s="3" t="inlineStr">
        <is>
          <t>Gina Stefanelli</t>
        </is>
      </c>
      <c r="J490" s="4" t="n">
        <v>45453.63761574074</v>
      </c>
      <c r="K490" s="5" t="n">
        <v>45453.0</v>
      </c>
      <c r="L490" s="5" t="n">
        <v>45449.0</v>
      </c>
      <c r="M490" s="3" t="inlineStr">
        <is>
          <t>Approved</t>
        </is>
      </c>
      <c r="N490" s="3" t="inlineStr">
        <is>
          <t>Study Close, Study Start</t>
        </is>
      </c>
      <c r="O490" s="3" t="inlineStr">
        <is>
          <t>42847922MDD3003</t>
        </is>
      </c>
    </row>
    <row r="491">
      <c r="A491" s="2" t="str">
        <f>HYPERLINK("https://vtmf.veevavault.com/ui/#doc_info/29560368/1/0", "42847922MDD3003---Master ICF Review and Approval Form-15 Jul 2025 (v1.0)")</f>
        <v>42847922MDD3003---Master ICF Review and Approval Form-15 Jul 2025 (v1.0)</v>
      </c>
      <c r="B491" s="3" t="inlineStr">
        <is>
          <t>Central Trial Documents</t>
        </is>
      </c>
      <c r="C491" s="3" t="inlineStr">
        <is>
          <t>Subject Documents</t>
        </is>
      </c>
      <c r="D491" s="3" t="inlineStr">
        <is>
          <t>Master ICF Review and Approval Form</t>
        </is>
      </c>
      <c r="E491" s="3" t="inlineStr">
        <is>
          <t>Master ICF Part 1 and Part 2 participants_v6_approval form</t>
        </is>
      </c>
      <c r="F491" s="2" t="str">
        <f>HYPERLINK("https://vtmf.veevavault.com/ui/#doc_info/29560368/1/0", "VTMF-23776161")</f>
        <v>VTMF-23776161</v>
      </c>
      <c r="G491" s="3" t="inlineStr">
        <is>
          <t/>
        </is>
      </c>
      <c r="H491" s="3" t="inlineStr">
        <is>
          <t>Kristina Ruzinska</t>
        </is>
      </c>
      <c r="I491" s="3" t="inlineStr">
        <is>
          <t>Kristina Ruzinska</t>
        </is>
      </c>
      <c r="J491" s="4" t="n">
        <v>45853.68168981482</v>
      </c>
      <c r="K491" s="5" t="n">
        <v>45853.0</v>
      </c>
      <c r="L491" s="5" t="n">
        <v>45853.0</v>
      </c>
      <c r="M491" s="3" t="inlineStr">
        <is>
          <t>Approved</t>
        </is>
      </c>
      <c r="N491" s="3" t="inlineStr">
        <is>
          <t>Study Close, Study Start</t>
        </is>
      </c>
      <c r="O491" s="3" t="inlineStr">
        <is>
          <t>42847922MDD3003</t>
        </is>
      </c>
    </row>
    <row r="492">
      <c r="A492" s="2" t="str">
        <f>HYPERLINK("https://vtmf.veevavault.com/ui/#doc_info/29560381/1/0", "42847922MDD3003---Master ICF Review and Approval Form-15 Jul 2025 (v1.0)")</f>
        <v>42847922MDD3003---Master ICF Review and Approval Form-15 Jul 2025 (v1.0)</v>
      </c>
      <c r="B492" s="3" t="inlineStr">
        <is>
          <t>Central Trial Documents</t>
        </is>
      </c>
      <c r="C492" s="3" t="inlineStr">
        <is>
          <t>Subject Documents</t>
        </is>
      </c>
      <c r="D492" s="3" t="inlineStr">
        <is>
          <t>Master ICF Review and Approval Form</t>
        </is>
      </c>
      <c r="E492" s="3" t="inlineStr">
        <is>
          <t>Master ICF Part 2 participants_v6_approval form</t>
        </is>
      </c>
      <c r="F492" s="2" t="str">
        <f>HYPERLINK("https://vtmf.veevavault.com/ui/#doc_info/29560381/1/0", "VTMF-23776182")</f>
        <v>VTMF-23776182</v>
      </c>
      <c r="G492" s="3" t="inlineStr">
        <is>
          <t/>
        </is>
      </c>
      <c r="H492" s="3" t="inlineStr">
        <is>
          <t>Kristina Ruzinska</t>
        </is>
      </c>
      <c r="I492" s="3" t="inlineStr">
        <is>
          <t>Kristina Ruzinska</t>
        </is>
      </c>
      <c r="J492" s="4" t="n">
        <v>45853.6830787037</v>
      </c>
      <c r="K492" s="5" t="n">
        <v>45853.0</v>
      </c>
      <c r="L492" s="5" t="n">
        <v>45853.0</v>
      </c>
      <c r="M492" s="3" t="inlineStr">
        <is>
          <t>Approved</t>
        </is>
      </c>
      <c r="N492" s="3" t="inlineStr">
        <is>
          <t>Study Close, Study Start</t>
        </is>
      </c>
      <c r="O492" s="3" t="inlineStr">
        <is>
          <t>42847922MDD3003</t>
        </is>
      </c>
    </row>
    <row r="493">
      <c r="A493" s="2" t="str">
        <f>HYPERLINK("https://vtmf.veevavault.com/ui/#doc_info/25800818/1/0", "42847922MDD3003---Master ICF Review and Approval Form-22 Feb 2024 (v1.0)")</f>
        <v>42847922MDD3003---Master ICF Review and Approval Form-22 Feb 2024 (v1.0)</v>
      </c>
      <c r="B493" s="3" t="inlineStr">
        <is>
          <t>Central Trial Documents</t>
        </is>
      </c>
      <c r="C493" s="3" t="inlineStr">
        <is>
          <t>Subject Documents</t>
        </is>
      </c>
      <c r="D493" s="3" t="inlineStr">
        <is>
          <t>Master ICF Review and Approval Form</t>
        </is>
      </c>
      <c r="E493" s="3" t="inlineStr">
        <is>
          <t>42847922MDD3003: Master/Assent Review Approval Form_Master Pregnancy in Clinical Study_22-Feb-2024_V1.0</t>
        </is>
      </c>
      <c r="F493" s="2" t="str">
        <f>HYPERLINK("https://vtmf.veevavault.com/ui/#doc_info/25800818/1/0", "VTMF-20603193")</f>
        <v>VTMF-20603193</v>
      </c>
      <c r="G493" s="3" t="inlineStr">
        <is>
          <t/>
        </is>
      </c>
      <c r="H493" s="3" t="inlineStr">
        <is>
          <t>Debhora Garcia</t>
        </is>
      </c>
      <c r="I493" s="3" t="inlineStr">
        <is>
          <t>Arturo Munguia</t>
        </is>
      </c>
      <c r="J493" s="4" t="n">
        <v>45349.66271990741</v>
      </c>
      <c r="K493" s="5" t="n">
        <v>45349.0</v>
      </c>
      <c r="L493" s="5" t="n">
        <v>45344.0</v>
      </c>
      <c r="M493" s="3" t="inlineStr">
        <is>
          <t>Approved</t>
        </is>
      </c>
      <c r="N493" s="3" t="inlineStr">
        <is>
          <t>Study Close, Study Start</t>
        </is>
      </c>
      <c r="O493" s="3" t="inlineStr">
        <is>
          <t>42847922MDD3003</t>
        </is>
      </c>
    </row>
    <row r="494">
      <c r="A494" s="2" t="str">
        <f>HYPERLINK("https://vtmf.veevavault.com/ui/#doc_info/27130465/1/0", "42847922MDD3003---Master ICF Review and Approval Form-24 Sep 2024 (v1.0)")</f>
        <v>42847922MDD3003---Master ICF Review and Approval Form-24 Sep 2024 (v1.0)</v>
      </c>
      <c r="B494" s="3" t="inlineStr">
        <is>
          <t>Central Trial Documents</t>
        </is>
      </c>
      <c r="C494" s="3" t="inlineStr">
        <is>
          <t>Subject Documents</t>
        </is>
      </c>
      <c r="D494" s="3" t="inlineStr">
        <is>
          <t>Master ICF Review and Approval Form</t>
        </is>
      </c>
      <c r="E494" s="3" t="inlineStr">
        <is>
          <t>Master ICF Part 1 and 2 participants_v4_approval form 24Sep24</t>
        </is>
      </c>
      <c r="F494" s="2" t="str">
        <f>HYPERLINK("https://vtmf.veevavault.com/ui/#doc_info/27130465/1/0", "VTMF-21750160")</f>
        <v>VTMF-21750160</v>
      </c>
      <c r="G494" s="3" t="inlineStr">
        <is>
          <t/>
        </is>
      </c>
      <c r="H494" s="3" t="inlineStr">
        <is>
          <t>Anthony Suarez (veeva.com)</t>
        </is>
      </c>
      <c r="I494" s="3" t="inlineStr">
        <is>
          <t>Kristina Ruzinska</t>
        </is>
      </c>
      <c r="J494" s="4" t="n">
        <v>45559.471712962964</v>
      </c>
      <c r="K494" s="5" t="n">
        <v>45559.0</v>
      </c>
      <c r="L494" s="5" t="n">
        <v>45559.0</v>
      </c>
      <c r="M494" s="3" t="inlineStr">
        <is>
          <t>Approved</t>
        </is>
      </c>
      <c r="N494" s="3" t="inlineStr">
        <is>
          <t>Study Close, Study Start</t>
        </is>
      </c>
      <c r="O494" s="3" t="inlineStr">
        <is>
          <t>42847922MDD3003</t>
        </is>
      </c>
    </row>
    <row r="495">
      <c r="A495" s="2" t="str">
        <f>HYPERLINK("https://vtmf.veevavault.com/ui/#doc_info/27130469/1/0", "42847922MDD3003---Master ICF Review and Approval Form-24 Sep 2024 (v1.0)")</f>
        <v>42847922MDD3003---Master ICF Review and Approval Form-24 Sep 2024 (v1.0)</v>
      </c>
      <c r="B495" s="3" t="inlineStr">
        <is>
          <t>Central Trial Documents</t>
        </is>
      </c>
      <c r="C495" s="3" t="inlineStr">
        <is>
          <t>Subject Documents</t>
        </is>
      </c>
      <c r="D495" s="3" t="inlineStr">
        <is>
          <t>Master ICF Review and Approval Form</t>
        </is>
      </c>
      <c r="E495" s="3" t="inlineStr">
        <is>
          <t>Approval form_ICF Direct entry part 2 _v4.0_24Sep24</t>
        </is>
      </c>
      <c r="F495" s="2" t="str">
        <f>HYPERLINK("https://vtmf.veevavault.com/ui/#doc_info/27130469/1/0", "VTMF-21750170")</f>
        <v>VTMF-21750170</v>
      </c>
      <c r="G495" s="3" t="inlineStr">
        <is>
          <t/>
        </is>
      </c>
      <c r="H495" s="3" t="inlineStr">
        <is>
          <t>Anthony Suarez (veeva.com)</t>
        </is>
      </c>
      <c r="I495" s="3" t="inlineStr">
        <is>
          <t>Kristina Ruzinska</t>
        </is>
      </c>
      <c r="J495" s="4" t="n">
        <v>45559.473229166666</v>
      </c>
      <c r="K495" s="5" t="n">
        <v>45559.0</v>
      </c>
      <c r="L495" s="5" t="n">
        <v>45559.0</v>
      </c>
      <c r="M495" s="3" t="inlineStr">
        <is>
          <t>Approved</t>
        </is>
      </c>
      <c r="N495" s="3" t="inlineStr">
        <is>
          <t>Study Close, Study Start</t>
        </is>
      </c>
      <c r="O495" s="3" t="inlineStr">
        <is>
          <t>42847922MDD3003</t>
        </is>
      </c>
    </row>
    <row r="496">
      <c r="A496" s="2" t="str">
        <f>HYPERLINK("https://vtmf.veevavault.com/ui/#doc_info/26058107/1/0", "42847922MDD3003---Master ICF Review and Approval Form-25 Mar 2024 (v1.0)")</f>
        <v>42847922MDD3003---Master ICF Review and Approval Form-25 Mar 2024 (v1.0)</v>
      </c>
      <c r="B496" s="3" t="inlineStr">
        <is>
          <t>Central Trial Documents</t>
        </is>
      </c>
      <c r="C496" s="3" t="inlineStr">
        <is>
          <t>Subject Documents</t>
        </is>
      </c>
      <c r="D496" s="3" t="inlineStr">
        <is>
          <t>Master ICF Review and Approval Form</t>
        </is>
      </c>
      <c r="E496" s="3" t="inlineStr">
        <is>
          <t>42847922MDD3003: Master/Assent Review Approval Form_Master ICF for Part 2 participants_25-Mar-2024_V2.0</t>
        </is>
      </c>
      <c r="F496" s="2" t="str">
        <f>HYPERLINK("https://vtmf.veevavault.com/ui/#doc_info/26058107/1/0", "VTMF-20831101")</f>
        <v>VTMF-20831101</v>
      </c>
      <c r="G496" s="3" t="inlineStr">
        <is>
          <t/>
        </is>
      </c>
      <c r="H496" s="3" t="inlineStr">
        <is>
          <t>Debhora Garcia</t>
        </is>
      </c>
      <c r="I496" s="3" t="inlineStr">
        <is>
          <t>Arturo Munguia</t>
        </is>
      </c>
      <c r="J496" s="4" t="n">
        <v>45385.77287037037</v>
      </c>
      <c r="K496" s="5" t="n">
        <v>45385.0</v>
      </c>
      <c r="L496" s="5" t="n">
        <v>45376.0</v>
      </c>
      <c r="M496" s="3" t="inlineStr">
        <is>
          <t>Approved</t>
        </is>
      </c>
      <c r="N496" s="3" t="inlineStr">
        <is>
          <t>Study Close, Study Start</t>
        </is>
      </c>
      <c r="O496" s="3" t="inlineStr">
        <is>
          <t>42847922MDD3003</t>
        </is>
      </c>
    </row>
    <row r="497">
      <c r="A497" s="2" t="str">
        <f>HYPERLINK("https://vtmf.veevavault.com/ui/#doc_info/25802319/1/0", "42847922MDD3003---Master ICF Review and Approval Form-26 Feb 2024 (v1.0)")</f>
        <v>42847922MDD3003---Master ICF Review and Approval Form-26 Feb 2024 (v1.0)</v>
      </c>
      <c r="B497" s="3" t="inlineStr">
        <is>
          <t>Central Trial Documents</t>
        </is>
      </c>
      <c r="C497" s="3" t="inlineStr">
        <is>
          <t>Subject Documents</t>
        </is>
      </c>
      <c r="D497" s="3" t="inlineStr">
        <is>
          <t>Master ICF Review and Approval Form</t>
        </is>
      </c>
      <c r="E497" s="3" t="inlineStr">
        <is>
          <t>42847922MDD3003: Master/Assent Review Approval Form_Master ICF for Part 1 and Part 2 participants_26-Feb-2024_V1.0</t>
        </is>
      </c>
      <c r="F497" s="2" t="str">
        <f>HYPERLINK("https://vtmf.veevavault.com/ui/#doc_info/25802319/1/0", "VTMF-20604500")</f>
        <v>VTMF-20604500</v>
      </c>
      <c r="G497" s="3" t="inlineStr">
        <is>
          <t/>
        </is>
      </c>
      <c r="H497" s="3" t="inlineStr">
        <is>
          <t>Debhora Garcia</t>
        </is>
      </c>
      <c r="I497" s="3" t="inlineStr">
        <is>
          <t>Arturo Munguia</t>
        </is>
      </c>
      <c r="J497" s="4" t="n">
        <v>45349.793657407405</v>
      </c>
      <c r="K497" s="5" t="n">
        <v>45349.0</v>
      </c>
      <c r="L497" s="5" t="n">
        <v>45348.0</v>
      </c>
      <c r="M497" s="3" t="inlineStr">
        <is>
          <t>Approved</t>
        </is>
      </c>
      <c r="N497" s="3" t="inlineStr">
        <is>
          <t>Study Close, Study Start</t>
        </is>
      </c>
      <c r="O497" s="3" t="inlineStr">
        <is>
          <t>42847922MDD3003</t>
        </is>
      </c>
    </row>
    <row r="498">
      <c r="A498" s="2" t="str">
        <f>HYPERLINK("https://vtmf.veevavault.com/ui/#doc_info/25802320/1/0", "42847922MDD3003---Master ICF Review and Approval Form-26 Feb 2024 (v1.0)")</f>
        <v>42847922MDD3003---Master ICF Review and Approval Form-26 Feb 2024 (v1.0)</v>
      </c>
      <c r="B498" s="3" t="inlineStr">
        <is>
          <t>Central Trial Documents</t>
        </is>
      </c>
      <c r="C498" s="3" t="inlineStr">
        <is>
          <t>Subject Documents</t>
        </is>
      </c>
      <c r="D498" s="3" t="inlineStr">
        <is>
          <t>Master ICF Review and Approval Form</t>
        </is>
      </c>
      <c r="E498" s="3" t="inlineStr">
        <is>
          <t>42847922MDD3003: Master/Assent Review Approval Form_Master ICF for Part 2 participants_26-Feb-2024_V1.0</t>
        </is>
      </c>
      <c r="F498" s="2" t="str">
        <f>HYPERLINK("https://vtmf.veevavault.com/ui/#doc_info/25802320/1/0", "VTMF-20604501")</f>
        <v>VTMF-20604501</v>
      </c>
      <c r="G498" s="3" t="inlineStr">
        <is>
          <t/>
        </is>
      </c>
      <c r="H498" s="3" t="inlineStr">
        <is>
          <t>Debhora Garcia</t>
        </is>
      </c>
      <c r="I498" s="3" t="inlineStr">
        <is>
          <t>Arturo Munguia</t>
        </is>
      </c>
      <c r="J498" s="4" t="n">
        <v>45349.793657407405</v>
      </c>
      <c r="K498" s="5" t="n">
        <v>45349.0</v>
      </c>
      <c r="L498" s="5" t="n">
        <v>45348.0</v>
      </c>
      <c r="M498" s="3" t="inlineStr">
        <is>
          <t>Approved</t>
        </is>
      </c>
      <c r="N498" s="3" t="inlineStr">
        <is>
          <t>Study Close, Study Start</t>
        </is>
      </c>
      <c r="O498" s="3" t="inlineStr">
        <is>
          <t>42847922MDD3003</t>
        </is>
      </c>
    </row>
    <row r="499">
      <c r="A499" s="2" t="str">
        <f>HYPERLINK("https://vtmf.veevavault.com/ui/#doc_info/26050149/1/0", "42847922MDD3003---Master ICF Review and Approval Form-27 Mar 2024 (v1.0)")</f>
        <v>42847922MDD3003---Master ICF Review and Approval Form-27 Mar 2024 (v1.0)</v>
      </c>
      <c r="B499" s="3" t="inlineStr">
        <is>
          <t>Central Trial Documents</t>
        </is>
      </c>
      <c r="C499" s="3" t="inlineStr">
        <is>
          <t>Subject Documents</t>
        </is>
      </c>
      <c r="D499" s="3" t="inlineStr">
        <is>
          <t>Master ICF Review and Approval Form</t>
        </is>
      </c>
      <c r="E499" s="3" t="inlineStr">
        <is>
          <t>42847922MDD3003: Master/Assent Review Approval Form_Master ICF for Part 1 and Part 2 participants_27-Mar-2024_V2.0</t>
        </is>
      </c>
      <c r="F499" s="2" t="str">
        <f>HYPERLINK("https://vtmf.veevavault.com/ui/#doc_info/26050149/1/0", "VTMF-20824126")</f>
        <v>VTMF-20824126</v>
      </c>
      <c r="G499" s="3" t="inlineStr">
        <is>
          <t/>
        </is>
      </c>
      <c r="H499" s="3" t="inlineStr">
        <is>
          <t>Debhora Garcia</t>
        </is>
      </c>
      <c r="I499" s="3" t="inlineStr">
        <is>
          <t>Arturo Munguia</t>
        </is>
      </c>
      <c r="J499" s="4" t="n">
        <v>45384.84627314815</v>
      </c>
      <c r="K499" s="5" t="n">
        <v>45384.0</v>
      </c>
      <c r="L499" s="5" t="n">
        <v>45378.0</v>
      </c>
      <c r="M499" s="3" t="inlineStr">
        <is>
          <t>Approved</t>
        </is>
      </c>
      <c r="N499" s="3" t="inlineStr">
        <is>
          <t>Study Close, Study Start</t>
        </is>
      </c>
      <c r="O499" s="3" t="inlineStr">
        <is>
          <t>42847922MDD3003</t>
        </is>
      </c>
    </row>
    <row r="500">
      <c r="A500" s="2" t="str">
        <f>HYPERLINK("https://vtmf.veevavault.com/ui/#doc_info/28200766/1/0", "42847922MDD3003---Master ICF Review and Approval Form-31 Jan 2025 (v1.0)")</f>
        <v>42847922MDD3003---Master ICF Review and Approval Form-31 Jan 2025 (v1.0)</v>
      </c>
      <c r="B500" s="3" t="inlineStr">
        <is>
          <t>Central Trial Documents</t>
        </is>
      </c>
      <c r="C500" s="3" t="inlineStr">
        <is>
          <t>Subject Documents</t>
        </is>
      </c>
      <c r="D500" s="3" t="inlineStr">
        <is>
          <t>Master ICF Review and Approval Form</t>
        </is>
      </c>
      <c r="E500" s="3" t="inlineStr">
        <is>
          <t>Master ICF Part 1 and 2 participants_v5_approval form 31Jan2025</t>
        </is>
      </c>
      <c r="F500" s="2" t="str">
        <f>HYPERLINK("https://vtmf.veevavault.com/ui/#doc_info/28200766/1/0", "VTMF-22616871")</f>
        <v>VTMF-22616871</v>
      </c>
      <c r="G500" s="3" t="inlineStr">
        <is>
          <t/>
        </is>
      </c>
      <c r="H500" s="3" t="inlineStr">
        <is>
          <t>Anthony Suarez (veeva.com)</t>
        </is>
      </c>
      <c r="I500" s="3" t="inlineStr">
        <is>
          <t>Kristina Ruzinska</t>
        </is>
      </c>
      <c r="J500" s="4" t="n">
        <v>45688.54136574074</v>
      </c>
      <c r="K500" s="5" t="n">
        <v>45688.0</v>
      </c>
      <c r="L500" s="5" t="n">
        <v>45688.0</v>
      </c>
      <c r="M500" s="3" t="inlineStr">
        <is>
          <t>Approved</t>
        </is>
      </c>
      <c r="N500" s="3" t="inlineStr">
        <is>
          <t>Study Close, Study Start</t>
        </is>
      </c>
      <c r="O500" s="3" t="inlineStr">
        <is>
          <t>42847922MDD3003</t>
        </is>
      </c>
    </row>
    <row r="501">
      <c r="A501" s="2" t="str">
        <f>HYPERLINK("https://vtmf.veevavault.com/ui/#doc_info/28200777/1/0", "42847922MDD3003---Master ICF Review and Approval Form-31 Jan 2025 (v1.0)")</f>
        <v>42847922MDD3003---Master ICF Review and Approval Form-31 Jan 2025 (v1.0)</v>
      </c>
      <c r="B501" s="3" t="inlineStr">
        <is>
          <t>Central Trial Documents</t>
        </is>
      </c>
      <c r="C501" s="3" t="inlineStr">
        <is>
          <t>Subject Documents</t>
        </is>
      </c>
      <c r="D501" s="3" t="inlineStr">
        <is>
          <t>Master ICF Review and Approval Form</t>
        </is>
      </c>
      <c r="E501" s="3" t="inlineStr">
        <is>
          <t>Master ICF Part  2 participants_v5_approval form 31Jan25</t>
        </is>
      </c>
      <c r="F501" s="2" t="str">
        <f>HYPERLINK("https://vtmf.veevavault.com/ui/#doc_info/28200777/1/0", "VTMF-22616879")</f>
        <v>VTMF-22616879</v>
      </c>
      <c r="G501" s="3" t="inlineStr">
        <is>
          <t/>
        </is>
      </c>
      <c r="H501" s="3" t="inlineStr">
        <is>
          <t>Anthony Suarez (veeva.com)</t>
        </is>
      </c>
      <c r="I501" s="3" t="inlineStr">
        <is>
          <t>Kristina Ruzinska</t>
        </is>
      </c>
      <c r="J501" s="4" t="n">
        <v>45688.54243055556</v>
      </c>
      <c r="K501" s="5" t="n">
        <v>45688.0</v>
      </c>
      <c r="L501" s="5" t="n">
        <v>45688.0</v>
      </c>
      <c r="M501" s="3" t="inlineStr">
        <is>
          <t>Approved</t>
        </is>
      </c>
      <c r="N501" s="3" t="inlineStr">
        <is>
          <t>Study Close, Study Start</t>
        </is>
      </c>
      <c r="O501" s="3" t="inlineStr">
        <is>
          <t>42847922MDD3003</t>
        </is>
      </c>
    </row>
    <row r="502">
      <c r="A502" s="2" t="str">
        <f>HYPERLINK("https://vtmf.veevavault.com/ui/#doc_info/26813398/4/0", "42847922MDD3003---Medical Monitoring Plan-26 Mar 2026 (v4.0)")</f>
        <v>42847922MDD3003---Medical Monitoring Plan-26 Mar 2026 (v4.0)</v>
      </c>
      <c r="B502" s="3" t="inlineStr">
        <is>
          <t>Trial Management</t>
        </is>
      </c>
      <c r="C502" s="3" t="inlineStr">
        <is>
          <t>Trial Oversight</t>
        </is>
      </c>
      <c r="D502" s="3" t="inlineStr">
        <is>
          <t>Medical Monitoring Plan</t>
        </is>
      </c>
      <c r="E502" s="3" t="inlineStr">
        <is>
          <t>Medical Review Plan v.3.0  26 March 2026</t>
        </is>
      </c>
      <c r="F502" s="2" t="str">
        <f>HYPERLINK("https://vtmf.veevavault.com/ui/#doc_info/26813398/4/0", "VTMF-21489678")</f>
        <v>VTMF-21489678</v>
      </c>
      <c r="G502" s="3" t="inlineStr">
        <is>
          <t/>
        </is>
      </c>
      <c r="H502" s="3" t="inlineStr">
        <is>
          <t>System</t>
        </is>
      </c>
      <c r="I502" s="3" t="inlineStr">
        <is>
          <t>Debhora Garcia</t>
        </is>
      </c>
      <c r="J502" s="4" t="n">
        <v>46129.71729166667</v>
      </c>
      <c r="K502" s="5" t="n">
        <v>46129.0</v>
      </c>
      <c r="L502" s="5" t="n">
        <v>46107.0</v>
      </c>
      <c r="M502" s="3" t="inlineStr">
        <is>
          <t>Approved</t>
        </is>
      </c>
      <c r="N502" s="3" t="inlineStr">
        <is>
          <t>Study Start</t>
        </is>
      </c>
      <c r="O502" s="3" t="inlineStr">
        <is>
          <t>42847922MDD3003</t>
        </is>
      </c>
    </row>
    <row r="503">
      <c r="A503" s="2" t="str">
        <f>HYPERLINK("https://vtmf.veevavault.com/ui/#doc_info/28788119/1/0", "42847922MDD3003---Meeting Material-01 Apr 2025 (v1.0)")</f>
        <v>42847922MDD3003---Meeting Material-01 Apr 2025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Labcorp Weekly Meeting | ADI Log</t>
        </is>
      </c>
      <c r="F503" s="2" t="str">
        <f>HYPERLINK("https://vtmf.veevavault.com/ui/#doc_info/28788119/1/0", "VTMF-23129298")</f>
        <v>VTMF-23129298</v>
      </c>
      <c r="G503" s="3" t="inlineStr">
        <is>
          <t/>
        </is>
      </c>
      <c r="H503" s="3" t="inlineStr">
        <is>
          <t>Anthony Suarez (veeva.com)</t>
        </is>
      </c>
      <c r="I503" s="3" t="inlineStr">
        <is>
          <t>Debhora Garcia</t>
        </is>
      </c>
      <c r="J503" s="4" t="n">
        <v>45748.91810185185</v>
      </c>
      <c r="K503" s="5" t="n">
        <v>45748.0</v>
      </c>
      <c r="L503" s="5" t="n">
        <v>45748.0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42847922MDD3003</t>
        </is>
      </c>
    </row>
    <row r="504">
      <c r="A504" s="2" t="str">
        <f>HYPERLINK("https://vtmf.veevavault.com/ui/#doc_info/25629427/1/0", "42847922MDD3003---Meeting Material-01 Feb 2024 (v1.0)")</f>
        <v>42847922MDD3003---Meeting Material-01 Feb 2024 (v1.0)</v>
      </c>
      <c r="B504" s="3" t="inlineStr">
        <is>
          <t>Data Management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DM-CM Kick-Off Meeting with CFST_01Feb2024_Minutes</t>
        </is>
      </c>
      <c r="F504" s="2" t="str">
        <f>HYPERLINK("https://vtmf.veevavault.com/ui/#doc_info/25629427/1/0", "VTMF-20452324")</f>
        <v>VTMF-20452324</v>
      </c>
      <c r="G504" s="3" t="inlineStr">
        <is>
          <t/>
        </is>
      </c>
      <c r="H504" s="3" t="inlineStr">
        <is>
          <t>Anthony Suarez (veeva.com)</t>
        </is>
      </c>
      <c r="I504" s="3" t="inlineStr">
        <is>
          <t>Amrita Trueblood</t>
        </is>
      </c>
      <c r="J504" s="4" t="n">
        <v>45323.93525462963</v>
      </c>
      <c r="K504" s="5" t="n">
        <v>45323.0</v>
      </c>
      <c r="L504" s="5" t="n">
        <v>45323.0</v>
      </c>
      <c r="M504" s="3" t="inlineStr">
        <is>
          <t>Approved</t>
        </is>
      </c>
      <c r="N504" s="3" t="inlineStr">
        <is>
          <t>Study Start</t>
        </is>
      </c>
      <c r="O504" s="3" t="inlineStr">
        <is>
          <t>42847922MDD3003</t>
        </is>
      </c>
    </row>
    <row r="505">
      <c r="A505" s="2" t="str">
        <f>HYPERLINK("https://vtmf.veevavault.com/ui/#doc_info/26643666/1/0", "42847922MDD3003---Meeting Material-01 Jul 2024 (v1.0)")</f>
        <v>42847922MDD3003---Meeting Material-01 Jul 2024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4G IRT  Maintenance_Project_Management_Tracker</t>
        </is>
      </c>
      <c r="F505" s="2" t="str">
        <f>HYPERLINK("https://vtmf.veevavault.com/ui/#doc_info/26643666/1/0", "VTMF-21343450")</f>
        <v>VTMF-21343450</v>
      </c>
      <c r="G505" s="3" t="inlineStr">
        <is>
          <t/>
        </is>
      </c>
      <c r="H505" s="3" t="inlineStr">
        <is>
          <t>Gina Stefanelli</t>
        </is>
      </c>
      <c r="I505" s="3" t="inlineStr">
        <is>
          <t>Gina Stefanelli</t>
        </is>
      </c>
      <c r="J505" s="4" t="n">
        <v>45476.70365740741</v>
      </c>
      <c r="K505" s="5" t="n">
        <v>45476.0</v>
      </c>
      <c r="L505" s="5" t="n">
        <v>45474.0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42847922MDD3003</t>
        </is>
      </c>
    </row>
    <row r="506">
      <c r="A506" s="2" t="str">
        <f>HYPERLINK("https://vtmf.veevavault.com/ui/#doc_info/31789418/1/0", "42847922MDD3003---Meeting Material-01 Jun 2026 (v1.0)")</f>
        <v>42847922MDD3003---Meeting Material-01 Jun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4G IRT Maintenance_Project_Management_Tracker</t>
        </is>
      </c>
      <c r="F506" s="2" t="str">
        <f>HYPERLINK("https://vtmf.veevavault.com/ui/#doc_info/31789418/1/0", "VTMF-25660114")</f>
        <v>VTMF-25660114</v>
      </c>
      <c r="G506" s="3" t="inlineStr">
        <is>
          <t/>
        </is>
      </c>
      <c r="H506" s="3" t="inlineStr">
        <is>
          <t>System</t>
        </is>
      </c>
      <c r="I506" s="3" t="inlineStr">
        <is>
          <t>Aurora Barbera</t>
        </is>
      </c>
      <c r="J506" s="4" t="n">
        <v>46174.67841435185</v>
      </c>
      <c r="K506" s="5" t="n">
        <v>46174.0</v>
      </c>
      <c r="L506" s="5" t="n">
        <v>46174.0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42847922MDD3003</t>
        </is>
      </c>
    </row>
    <row r="507">
      <c r="A507" s="2" t="str">
        <f>HYPERLINK("https://vtmf.veevavault.com/ui/#doc_info/31871902/1/0", "42847922MDD3003---Meeting Material-01 Jun 2026 (v1.0)")</f>
        <v>42847922MDD3003---Meeting Material-01 Jun 2026 (v1.0)</v>
      </c>
      <c r="B507" s="3" t="inlineStr">
        <is>
          <t>Data Management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Meeting Minutes DM-CDA/GDM</t>
        </is>
      </c>
      <c r="F507" s="2" t="str">
        <f>HYPERLINK("https://vtmf.veevavault.com/ui/#doc_info/31871902/1/0", "VTMF-25729998")</f>
        <v>VTMF-25729998</v>
      </c>
      <c r="G507" s="3" t="inlineStr">
        <is>
          <t/>
        </is>
      </c>
      <c r="H507" s="3" t="inlineStr">
        <is>
          <t>System</t>
        </is>
      </c>
      <c r="I507" s="3" t="inlineStr">
        <is>
          <t>Ilona Panis</t>
        </is>
      </c>
      <c r="J507" s="4" t="n">
        <v>46185.680347222224</v>
      </c>
      <c r="K507" s="5" t="n">
        <v>46185.0</v>
      </c>
      <c r="L507" s="5" t="n">
        <v>46174.0</v>
      </c>
      <c r="M507" s="3" t="inlineStr">
        <is>
          <t>Approved</t>
        </is>
      </c>
      <c r="N507" s="3" t="inlineStr">
        <is>
          <t>Study Start</t>
        </is>
      </c>
      <c r="O507" s="3" t="inlineStr">
        <is>
          <t>42847922MDD3003</t>
        </is>
      </c>
    </row>
    <row r="508">
      <c r="A508" s="2" t="str">
        <f>HYPERLINK("https://vtmf.veevavault.com/ui/#doc_info/27875433/1/0", "42847922MDD3003---Meeting Material-01 Nov 2024 (v1.0)")</f>
        <v>42847922MDD3003---Meeting Material-01 Nov 2024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Cronos Data Monitoring Reports</t>
        </is>
      </c>
      <c r="F508" s="2" t="str">
        <f>HYPERLINK("https://vtmf.veevavault.com/ui/#doc_info/27875433/1/0", "VTMF-22353787")</f>
        <v>VTMF-22353787</v>
      </c>
      <c r="G508" s="3" t="inlineStr">
        <is>
          <t/>
        </is>
      </c>
      <c r="H508" s="3" t="inlineStr">
        <is>
          <t>Anthony Suarez (veeva.com)</t>
        </is>
      </c>
      <c r="I508" s="3" t="inlineStr">
        <is>
          <t>Gina Stefanelli</t>
        </is>
      </c>
      <c r="J508" s="4" t="n">
        <v>45639.676574074074</v>
      </c>
      <c r="K508" s="5" t="n">
        <v>45639.0</v>
      </c>
      <c r="L508" s="5" t="n">
        <v>45597.0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42847922MDD3003</t>
        </is>
      </c>
    </row>
    <row r="509">
      <c r="A509" s="2" t="str">
        <f>HYPERLINK("https://vtmf.veevavault.com/ui/#doc_info/27185486/1/0", "42847922MDD3003---Meeting Material-01 Oct 2024 (v1.0)")</f>
        <v>42847922MDD3003---Meeting Material-01 Oct 2024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Labcorp Weekly Meeting_ADI log</t>
        </is>
      </c>
      <c r="F509" s="2" t="str">
        <f>HYPERLINK("https://vtmf.veevavault.com/ui/#doc_info/27185486/1/0", "VTMF-21798291")</f>
        <v>VTMF-21798291</v>
      </c>
      <c r="G509" s="3" t="inlineStr">
        <is>
          <t/>
        </is>
      </c>
      <c r="H509" s="3" t="inlineStr">
        <is>
          <t>Anthony Suarez (veeva.com)</t>
        </is>
      </c>
      <c r="I509" s="3" t="inlineStr">
        <is>
          <t>Debhora Garcia</t>
        </is>
      </c>
      <c r="J509" s="4" t="n">
        <v>45567.833645833336</v>
      </c>
      <c r="K509" s="5" t="n">
        <v>45567.0</v>
      </c>
      <c r="L509" s="5" t="n">
        <v>45566.0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42847922MDD3003</t>
        </is>
      </c>
    </row>
    <row r="510">
      <c r="A510" s="2" t="str">
        <f>HYPERLINK("https://vtmf.veevavault.com/ui/#doc_info/26048513/1/0", "42847922MDD3003---Meeting Material-02 Apr 2024 (v1.0)")</f>
        <v>42847922MDD3003---Meeting Material-02 Apr 2024 (v1.0)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LabCorp Weekly Meeting ADI Log</t>
        </is>
      </c>
      <c r="F510" s="2" t="str">
        <f>HYPERLINK("https://vtmf.veevavault.com/ui/#doc_info/26048513/1/0", "VTMF-20822657")</f>
        <v>VTMF-20822657</v>
      </c>
      <c r="G510" s="3" t="inlineStr">
        <is>
          <t/>
        </is>
      </c>
      <c r="H510" s="3" t="inlineStr">
        <is>
          <t>Anthony Suarez (veeva.com)</t>
        </is>
      </c>
      <c r="I510" s="3" t="inlineStr">
        <is>
          <t>Jamie Hardy</t>
        </is>
      </c>
      <c r="J510" s="4" t="n">
        <v>45384.67872685185</v>
      </c>
      <c r="K510" s="5" t="n">
        <v>45384.0</v>
      </c>
      <c r="L510" s="5" t="n">
        <v>45384.0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42847922MDD3003</t>
        </is>
      </c>
    </row>
    <row r="511">
      <c r="A511" s="2" t="str">
        <f>HYPERLINK("https://vtmf.veevavault.com/ui/#doc_info/31390730/1/0", "42847922MDD3003---Meeting Material-02 Apr 2026 (v1.0)")</f>
        <v>42847922MDD3003---Meeting Material-02 Apr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ECG Study Status Meeting Agenda/ Minutes General</t>
        </is>
      </c>
      <c r="F511" s="2" t="str">
        <f>HYPERLINK("https://vtmf.veevavault.com/ui/#doc_info/31390730/1/0", "VTMF-25325345")</f>
        <v>VTMF-25325345</v>
      </c>
      <c r="G511" s="3" t="inlineStr">
        <is>
          <t/>
        </is>
      </c>
      <c r="H511" s="3" t="inlineStr">
        <is>
          <t>System</t>
        </is>
      </c>
      <c r="I511" s="3" t="inlineStr">
        <is>
          <t>Debhora Garcia</t>
        </is>
      </c>
      <c r="J511" s="4" t="n">
        <v>46119.11479166667</v>
      </c>
      <c r="K511" s="5" t="n">
        <v>46118.0</v>
      </c>
      <c r="L511" s="5" t="n">
        <v>46114.0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42847922MDD3003</t>
        </is>
      </c>
    </row>
    <row r="512">
      <c r="A512" s="2" t="str">
        <f>HYPERLINK("https://vtmf.veevavault.com/ui/#doc_info/27790358/1/0", "42847922MDD3003---Meeting Material-02 Dec 2024 (v1.0)")</f>
        <v>42847922MDD3003---Meeting Material-02 Dec 2024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4G IRT Maintenance Project Management Tracker</t>
        </is>
      </c>
      <c r="F512" s="2" t="str">
        <f>HYPERLINK("https://vtmf.veevavault.com/ui/#doc_info/27790358/1/0", "VTMF-22283262")</f>
        <v>VTMF-22283262</v>
      </c>
      <c r="G512" s="3" t="inlineStr">
        <is>
          <t/>
        </is>
      </c>
      <c r="H512" s="3" t="inlineStr">
        <is>
          <t>Anthony Suarez (veeva.com)</t>
        </is>
      </c>
      <c r="I512" s="3" t="inlineStr">
        <is>
          <t>Gina Stefanelli</t>
        </is>
      </c>
      <c r="J512" s="4" t="n">
        <v>45629.59226851852</v>
      </c>
      <c r="K512" s="5" t="n">
        <v>45629.0</v>
      </c>
      <c r="L512" s="5" t="n">
        <v>45628.0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42847922MDD3003</t>
        </is>
      </c>
    </row>
    <row r="513">
      <c r="A513" s="2" t="str">
        <f>HYPERLINK("https://vtmf.veevavault.com/ui/#doc_info/30517340/1/0", "42847922MDD3003---Meeting Material-02 Dec 2025 (v1.0)")</f>
        <v>42847922MDD3003---Meeting Material-02 Dec 2025 (v1.0)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Clario Janssen ALL-Team Meeting</t>
        </is>
      </c>
      <c r="F513" s="2" t="str">
        <f>HYPERLINK("https://vtmf.veevavault.com/ui/#doc_info/30517340/1/0", "VTMF-24587918")</f>
        <v>VTMF-24587918</v>
      </c>
      <c r="G513" s="3" t="inlineStr">
        <is>
          <t/>
        </is>
      </c>
      <c r="H513" s="3" t="inlineStr">
        <is>
          <t>System</t>
        </is>
      </c>
      <c r="I513" s="3" t="inlineStr">
        <is>
          <t>Debhora Garcia</t>
        </is>
      </c>
      <c r="J513" s="4" t="n">
        <v>45993.929872685185</v>
      </c>
      <c r="K513" s="5" t="n">
        <v>45994.0</v>
      </c>
      <c r="L513" s="5" t="n">
        <v>45993.0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42847922MDD3003</t>
        </is>
      </c>
    </row>
    <row r="514">
      <c r="A514" s="2" t="str">
        <f>HYPERLINK("https://vtmf.veevavault.com/ui/#doc_info/30529858/1/0", "42847922MDD3003---Meeting Material-02 Dec 2025 (v1.0)")</f>
        <v>42847922MDD3003---Meeting Material-02 Dec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LabCorp Weekly Meeting ADI Log</t>
        </is>
      </c>
      <c r="F514" s="2" t="str">
        <f>HYPERLINK("https://vtmf.veevavault.com/ui/#doc_info/30529858/1/0", "VTMF-24595984")</f>
        <v>VTMF-24595984</v>
      </c>
      <c r="G514" s="3" t="inlineStr">
        <is>
          <t/>
        </is>
      </c>
      <c r="H514" s="3" t="inlineStr">
        <is>
          <t>System</t>
        </is>
      </c>
      <c r="I514" s="3" t="inlineStr">
        <is>
          <t>Debhora Garcia</t>
        </is>
      </c>
      <c r="J514" s="4" t="n">
        <v>45995.034907407404</v>
      </c>
      <c r="K514" s="5" t="n">
        <v>45995.0</v>
      </c>
      <c r="L514" s="5" t="n">
        <v>45993.0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42847922MDD3003</t>
        </is>
      </c>
    </row>
    <row r="515">
      <c r="A515" s="2" t="str">
        <f>HYPERLINK("https://vtmf.veevavault.com/ui/#doc_info/31202957/1/0", "42847922MDD3003---Meeting Material-02 Feb 2026 (v1.0)")</f>
        <v>42847922MDD3003---Meeting Material-02 Feb 2026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Cronos Actions Log</t>
        </is>
      </c>
      <c r="F515" s="2" t="str">
        <f>HYPERLINK("https://vtmf.veevavault.com/ui/#doc_info/31202957/1/0", "VTMF-25160243")</f>
        <v>VTMF-25160243</v>
      </c>
      <c r="G515" s="3" t="inlineStr">
        <is>
          <t/>
        </is>
      </c>
      <c r="H515" s="3" t="inlineStr">
        <is>
          <t>System</t>
        </is>
      </c>
      <c r="I515" s="3" t="inlineStr">
        <is>
          <t>Amelie Fauveau</t>
        </is>
      </c>
      <c r="J515" s="4" t="n">
        <v>46099.49104166667</v>
      </c>
      <c r="K515" s="5" t="n">
        <v>46099.0</v>
      </c>
      <c r="L515" s="5" t="n">
        <v>46055.0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42847922MDD3003</t>
        </is>
      </c>
    </row>
    <row r="516">
      <c r="A516" s="2" t="str">
        <f>HYPERLINK("https://vtmf.veevavault.com/ui/#doc_info/30723723/1/0", "42847922MDD3003---Meeting Material-02 Jan 2026 (v1.0)")</f>
        <v>42847922MDD3003---Meeting Material-02 Jan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Cronos Actions Log</t>
        </is>
      </c>
      <c r="F516" s="2" t="str">
        <f>HYPERLINK("https://vtmf.veevavault.com/ui/#doc_info/30723723/1/0", "VTMF-24757080")</f>
        <v>VTMF-24757080</v>
      </c>
      <c r="G516" s="3" t="inlineStr">
        <is>
          <t/>
        </is>
      </c>
      <c r="H516" s="3" t="inlineStr">
        <is>
          <t>System</t>
        </is>
      </c>
      <c r="I516" s="3" t="inlineStr">
        <is>
          <t>Gina Stefanelli</t>
        </is>
      </c>
      <c r="J516" s="4" t="n">
        <v>46028.709502314814</v>
      </c>
      <c r="K516" s="5" t="n">
        <v>46028.0</v>
      </c>
      <c r="L516" s="5" t="n">
        <v>46024.0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42847922MDD3003</t>
        </is>
      </c>
    </row>
    <row r="517">
      <c r="A517" s="2" t="str">
        <f>HYPERLINK("https://vtmf.veevavault.com/ui/#doc_info/26637042/1/0", "42847922MDD3003---Meeting Material-02 Jul 2024 (v1.0)")</f>
        <v>42847922MDD3003---Meeting Material-02 Jul 2024 (v1.0)</v>
      </c>
      <c r="B517" s="3" t="inlineStr">
        <is>
          <t>Third Parties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LabCorp Weekly Meeting ADI Log</t>
        </is>
      </c>
      <c r="F517" s="2" t="str">
        <f>HYPERLINK("https://vtmf.veevavault.com/ui/#doc_info/26637042/1/0", "VTMF-21337523")</f>
        <v>VTMF-21337523</v>
      </c>
      <c r="G517" s="3" t="inlineStr">
        <is>
          <t/>
        </is>
      </c>
      <c r="H517" s="3" t="inlineStr">
        <is>
          <t>Anthony Suarez (veeva.com)</t>
        </is>
      </c>
      <c r="I517" s="3" t="inlineStr">
        <is>
          <t>Debhora Garcia</t>
        </is>
      </c>
      <c r="J517" s="4" t="n">
        <v>45476.161087962966</v>
      </c>
      <c r="K517" s="5" t="n">
        <v>45475.0</v>
      </c>
      <c r="L517" s="5" t="n">
        <v>45475.0</v>
      </c>
      <c r="M517" s="3" t="inlineStr">
        <is>
          <t>Approved</t>
        </is>
      </c>
      <c r="N517" s="3" t="inlineStr">
        <is>
          <t>Study Close</t>
        </is>
      </c>
      <c r="O517" s="3" t="inlineStr">
        <is>
          <t>42847922MDD3003</t>
        </is>
      </c>
    </row>
    <row r="518">
      <c r="A518" s="2" t="str">
        <f>HYPERLINK("https://vtmf.veevavault.com/ui/#doc_info/26693000/1/0", "42847922MDD3003---Meeting Material-02 Jul 2024 (v1.0)")</f>
        <v>42847922MDD3003---Meeting Material-02 Jul 2024 (v1.0)</v>
      </c>
      <c r="B518" s="3" t="inlineStr">
        <is>
          <t>Data Management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Data Plan Meeting Minutes_02Jul2024</t>
        </is>
      </c>
      <c r="F518" s="2" t="str">
        <f>HYPERLINK("https://vtmf.veevavault.com/ui/#doc_info/26693000/1/0", "VTMF-21386408")</f>
        <v>VTMF-21386408</v>
      </c>
      <c r="G518" s="3" t="inlineStr">
        <is>
          <t/>
        </is>
      </c>
      <c r="H518" s="3" t="inlineStr">
        <is>
          <t>Anthony Suarez (veeva.com)</t>
        </is>
      </c>
      <c r="I518" s="3" t="inlineStr">
        <is>
          <t>Laree LaPierre</t>
        </is>
      </c>
      <c r="J518" s="4" t="n">
        <v>45484.79959490741</v>
      </c>
      <c r="K518" s="5" t="n">
        <v>45484.0</v>
      </c>
      <c r="L518" s="5" t="n">
        <v>45475.0</v>
      </c>
      <c r="M518" s="3" t="inlineStr">
        <is>
          <t>Approved</t>
        </is>
      </c>
      <c r="N518" s="3" t="inlineStr">
        <is>
          <t>Study Start</t>
        </is>
      </c>
      <c r="O518" s="3" t="inlineStr">
        <is>
          <t>42847922MDD3003</t>
        </is>
      </c>
    </row>
    <row r="519">
      <c r="A519" s="2" t="str">
        <f>HYPERLINK("https://vtmf.veevavault.com/ui/#doc_info/29245347/1/0", "42847922MDD3003---Meeting Material-02 Jun 2025 (v1.0)")</f>
        <v>42847922MDD3003---Meeting Material-02 Jun 2025 (v1.0)</v>
      </c>
      <c r="B519" s="3" t="inlineStr">
        <is>
          <t>Third Parties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4G IRT_Maintenance_Project_Management_Tracker</t>
        </is>
      </c>
      <c r="F519" s="2" t="str">
        <f>HYPERLINK("https://vtmf.veevavault.com/ui/#doc_info/29245347/1/0", "VTMF-23507356")</f>
        <v>VTMF-23507356</v>
      </c>
      <c r="G519" s="3" t="inlineStr">
        <is>
          <t/>
        </is>
      </c>
      <c r="H519" s="3" t="inlineStr">
        <is>
          <t>Gina Stefanelli</t>
        </is>
      </c>
      <c r="I519" s="3" t="inlineStr">
        <is>
          <t>Gina Stefanelli</t>
        </is>
      </c>
      <c r="J519" s="4" t="n">
        <v>45810.67403935185</v>
      </c>
      <c r="K519" s="5" t="n">
        <v>45810.0</v>
      </c>
      <c r="L519" s="5" t="n">
        <v>45810.0</v>
      </c>
      <c r="M519" s="3" t="inlineStr">
        <is>
          <t>Approved</t>
        </is>
      </c>
      <c r="N519" s="3" t="inlineStr">
        <is>
          <t>Study Close</t>
        </is>
      </c>
      <c r="O519" s="3" t="inlineStr">
        <is>
          <t>42847922MDD3003</t>
        </is>
      </c>
    </row>
    <row r="520">
      <c r="A520" s="2" t="str">
        <f>HYPERLINK("https://vtmf.veevavault.com/ui/#doc_info/29270270/1/0", "42847922MDD3003---Meeting Material-02 Jun 2025 (v1.0)")</f>
        <v>42847922MDD3003---Meeting Material-02 Jun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Cronos Monthly Clinical Oversight Meeting Slides</t>
        </is>
      </c>
      <c r="F520" s="2" t="str">
        <f>HYPERLINK("https://vtmf.veevavault.com/ui/#doc_info/29270270/1/0", "VTMF-23523925")</f>
        <v>VTMF-23523925</v>
      </c>
      <c r="G520" s="3" t="inlineStr">
        <is>
          <t/>
        </is>
      </c>
      <c r="H520" s="3" t="inlineStr">
        <is>
          <t>Gina Stefanelli</t>
        </is>
      </c>
      <c r="I520" s="3" t="inlineStr">
        <is>
          <t>Gina Stefanelli</t>
        </is>
      </c>
      <c r="J520" s="4" t="n">
        <v>45812.7540625</v>
      </c>
      <c r="K520" s="5" t="n">
        <v>45812.0</v>
      </c>
      <c r="L520" s="5" t="n">
        <v>45810.0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42847922MDD3003</t>
        </is>
      </c>
    </row>
    <row r="521">
      <c r="A521" s="2" t="str">
        <f>HYPERLINK("https://vtmf.veevavault.com/ui/#doc_info/31827147/1/0", "42847922MDD3003---Meeting Material-02 Jun 2026 (v1.0)")</f>
        <v>42847922MDD3003---Meeting Material-02 Jun 2026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LabCorp Weekly Meeting ADI Log</t>
        </is>
      </c>
      <c r="F521" s="2" t="str">
        <f>HYPERLINK("https://vtmf.veevavault.com/ui/#doc_info/31827147/1/0", "VTMF-25692568")</f>
        <v>VTMF-25692568</v>
      </c>
      <c r="G521" s="3" t="inlineStr">
        <is>
          <t/>
        </is>
      </c>
      <c r="H521" s="3" t="inlineStr">
        <is>
          <t>System</t>
        </is>
      </c>
      <c r="I521" s="3" t="inlineStr">
        <is>
          <t>Debhora Garcia</t>
        </is>
      </c>
      <c r="J521" s="4" t="n">
        <v>46179.10747685185</v>
      </c>
      <c r="K521" s="5" t="n">
        <v>46178.0</v>
      </c>
      <c r="L521" s="5" t="n">
        <v>46175.0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42847922MDD3003</t>
        </is>
      </c>
    </row>
    <row r="522">
      <c r="A522" s="2" t="str">
        <f>HYPERLINK("https://vtmf.veevavault.com/ui/#doc_info/29039383/1/0", "42847922MDD3003---Meeting Material-02 May 2025 (v1.0)")</f>
        <v>42847922MDD3003---Meeting Material-02 May 2025 (v1.0)</v>
      </c>
      <c r="B522" s="3" t="inlineStr">
        <is>
          <t>Third Parties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Labcorp Weekly Meeting_ADI Log</t>
        </is>
      </c>
      <c r="F522" s="2" t="str">
        <f>HYPERLINK("https://vtmf.veevavault.com/ui/#doc_info/29039383/1/0", "VTMF-23332175")</f>
        <v>VTMF-23332175</v>
      </c>
      <c r="G522" s="3" t="inlineStr">
        <is>
          <t/>
        </is>
      </c>
      <c r="H522" s="3" t="inlineStr">
        <is>
          <t>Anthony Suarez (veeva.com)</t>
        </is>
      </c>
      <c r="I522" s="3" t="inlineStr">
        <is>
          <t>Debhora Garcia</t>
        </is>
      </c>
      <c r="J522" s="4" t="n">
        <v>45782.87195601852</v>
      </c>
      <c r="K522" s="5" t="n">
        <v>45782.0</v>
      </c>
      <c r="L522" s="5" t="n">
        <v>45779.0</v>
      </c>
      <c r="M522" s="3" t="inlineStr">
        <is>
          <t>Approved</t>
        </is>
      </c>
      <c r="N522" s="3" t="inlineStr">
        <is>
          <t>Study Close</t>
        </is>
      </c>
      <c r="O522" s="3" t="inlineStr">
        <is>
          <t>42847922MDD3003</t>
        </is>
      </c>
    </row>
    <row r="523">
      <c r="A523" s="2" t="str">
        <f>HYPERLINK("https://vtmf.veevavault.com/ui/#doc_info/27266294/1/0", "42847922MDD3003---Meeting Material-02 Oct 2024 (v1.0)")</f>
        <v>42847922MDD3003---Meeting Material-02 Oct 2024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4G IWRS Status Meeting Study Project Tracker</t>
        </is>
      </c>
      <c r="F523" s="2" t="str">
        <f>HYPERLINK("https://vtmf.veevavault.com/ui/#doc_info/27266294/1/0", "VTMF-21867153")</f>
        <v>VTMF-21867153</v>
      </c>
      <c r="G523" s="3" t="inlineStr">
        <is>
          <t/>
        </is>
      </c>
      <c r="H523" s="3" t="inlineStr">
        <is>
          <t>Anthony Suarez (veeva.com)</t>
        </is>
      </c>
      <c r="I523" s="3" t="inlineStr">
        <is>
          <t>Gina Stefanelli</t>
        </is>
      </c>
      <c r="J523" s="4" t="n">
        <v>45581.617372685185</v>
      </c>
      <c r="K523" s="5" t="n">
        <v>45581.0</v>
      </c>
      <c r="L523" s="5" t="n">
        <v>45567.0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42847922MDD3003</t>
        </is>
      </c>
    </row>
    <row r="524">
      <c r="A524" s="2" t="str">
        <f>HYPERLINK("https://vtmf.veevavault.com/ui/#doc_info/29895529/1/0", "42847922MDD3003---Meeting Material-02 Sep 2025 (v1.0)")</f>
        <v>42847922MDD3003---Meeting Material-02 Sep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MGH CTNI Bi-Weekly Call Minutes</t>
        </is>
      </c>
      <c r="F524" s="2" t="str">
        <f>HYPERLINK("https://vtmf.veevavault.com/ui/#doc_info/29895529/1/0", "VTMF-24063744")</f>
        <v>VTMF-24063744</v>
      </c>
      <c r="G524" s="3" t="inlineStr">
        <is>
          <t/>
        </is>
      </c>
      <c r="H524" s="3" t="inlineStr">
        <is>
          <t>Gina Stefanelli</t>
        </is>
      </c>
      <c r="I524" s="3" t="inlineStr">
        <is>
          <t>Gina Stefanelli</t>
        </is>
      </c>
      <c r="J524" s="4" t="n">
        <v>45904.86371527778</v>
      </c>
      <c r="K524" s="5" t="n">
        <v>45904.0</v>
      </c>
      <c r="L524" s="5" t="n">
        <v>45902.0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42847922MDD3003</t>
        </is>
      </c>
    </row>
    <row r="525">
      <c r="A525" s="2" t="str">
        <f>HYPERLINK("https://vtmf.veevavault.com/ui/#doc_info/28347794/1/0", "42847922MDD3003---Meeting Material-03 Feb 2025 (v1.0)")</f>
        <v>42847922MDD3003---Meeting Material-03 Feb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MGH CTNI- Bi-Weekly Call Minutes</t>
        </is>
      </c>
      <c r="F525" s="2" t="str">
        <f>HYPERLINK("https://vtmf.veevavault.com/ui/#doc_info/28347794/1/0", "VTMF-22744193")</f>
        <v>VTMF-22744193</v>
      </c>
      <c r="G525" s="3" t="inlineStr">
        <is>
          <t/>
        </is>
      </c>
      <c r="H525" s="3" t="inlineStr">
        <is>
          <t>Anthony Suarez (veeva.com)</t>
        </is>
      </c>
      <c r="I525" s="3" t="inlineStr">
        <is>
          <t>Gina Stefanelli</t>
        </is>
      </c>
      <c r="J525" s="4" t="n">
        <v>45709.562581018516</v>
      </c>
      <c r="K525" s="5" t="n">
        <v>45709.0</v>
      </c>
      <c r="L525" s="5" t="n">
        <v>45691.0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42847922MDD3003</t>
        </is>
      </c>
    </row>
    <row r="526">
      <c r="A526" s="2" t="str">
        <f>HYPERLINK("https://vtmf.veevavault.com/ui/#doc_info/29495302/1/0", "42847922MDD3003---Meeting Material-03 Jul 2025 (v1.0)")</f>
        <v>42847922MDD3003---Meeting Material-03 Jul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Clario Janssen ALL-Team Meeting</t>
        </is>
      </c>
      <c r="F526" s="2" t="str">
        <f>HYPERLINK("https://vtmf.veevavault.com/ui/#doc_info/29495302/1/0", "VTMF-23721500")</f>
        <v>VTMF-23721500</v>
      </c>
      <c r="G526" s="3" t="inlineStr">
        <is>
          <t/>
        </is>
      </c>
      <c r="H526" s="3" t="inlineStr">
        <is>
          <t>Debhora Garcia</t>
        </is>
      </c>
      <c r="I526" s="3" t="inlineStr">
        <is>
          <t>Debhora Garcia</t>
        </is>
      </c>
      <c r="J526" s="4" t="n">
        <v>45841.962696759256</v>
      </c>
      <c r="K526" s="5" t="n">
        <v>45842.0</v>
      </c>
      <c r="L526" s="5" t="n">
        <v>45841.0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42847922MDD3003, 89495120MDD2001</t>
        </is>
      </c>
    </row>
    <row r="527">
      <c r="A527" s="2" t="str">
        <f>HYPERLINK("https://vtmf.veevavault.com/ui/#doc_info/30136990/1/0", "42847922MDD3003---Meeting Material-03 Jul 2025 (v1.0)")</f>
        <v>42847922MDD3003---Meeting Material-03 Jul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11162_JJClarivate - Sleep disturbance in MDD Meeting minutes and actions (3rd July 2025)</t>
        </is>
      </c>
      <c r="F527" s="2" t="str">
        <f>HYPERLINK("https://vtmf.veevavault.com/ui/#doc_info/30136990/1/0", "VTMF-24261397")</f>
        <v>VTMF-24261397</v>
      </c>
      <c r="G527" s="3" t="inlineStr">
        <is>
          <t/>
        </is>
      </c>
      <c r="H527" s="3" t="inlineStr">
        <is>
          <t>Gina Stefanelli</t>
        </is>
      </c>
      <c r="I527" s="3" t="inlineStr">
        <is>
          <t>Debhora Garcia</t>
        </is>
      </c>
      <c r="J527" s="4" t="n">
        <v>45940.88545138889</v>
      </c>
      <c r="K527" s="5" t="n">
        <v>45940.0</v>
      </c>
      <c r="L527" s="5" t="n">
        <v>45841.0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42847922MDD3003</t>
        </is>
      </c>
    </row>
    <row r="528">
      <c r="A528" s="2" t="str">
        <f>HYPERLINK("https://vtmf.veevavault.com/ui/#doc_info/28749380/1/0", "42847922MDD3003---Meeting Material-03 Mar 2025 (v1.0)")</f>
        <v>42847922MDD3003---Meeting Material-03 Mar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ECG Study Status Meeting Agenda/ Minutes General</t>
        </is>
      </c>
      <c r="F528" s="2" t="str">
        <f>HYPERLINK("https://vtmf.veevavault.com/ui/#doc_info/28749380/1/0", "VTMF-23097521")</f>
        <v>VTMF-23097521</v>
      </c>
      <c r="G528" s="3" t="inlineStr">
        <is>
          <t/>
        </is>
      </c>
      <c r="H528" s="3" t="inlineStr">
        <is>
          <t>Anthony Suarez (veeva.com)</t>
        </is>
      </c>
      <c r="I528" s="3" t="inlineStr">
        <is>
          <t>Gina Stefanelli</t>
        </is>
      </c>
      <c r="J528" s="4" t="n">
        <v>45742.79929398148</v>
      </c>
      <c r="K528" s="5" t="n">
        <v>45742.0</v>
      </c>
      <c r="L528" s="5" t="n">
        <v>45719.0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42847922MDD3003, 67953964MDD3007</t>
        </is>
      </c>
    </row>
    <row r="529">
      <c r="A529" s="2" t="str">
        <f>HYPERLINK("https://vtmf.veevavault.com/ui/#doc_info/30318084/1/0", "42847922MDD3003---Meeting Material-03 Nov 2025 (v1.0)")</f>
        <v>42847922MDD3003---Meeting Material-03 Nov 2025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Cronos Actions Log</t>
        </is>
      </c>
      <c r="F529" s="2" t="str">
        <f>HYPERLINK("https://vtmf.veevavault.com/ui/#doc_info/30318084/1/0", "VTMF-24415384")</f>
        <v>VTMF-24415384</v>
      </c>
      <c r="G529" s="3" t="inlineStr">
        <is>
          <t/>
        </is>
      </c>
      <c r="H529" s="3" t="inlineStr">
        <is>
          <t>System</t>
        </is>
      </c>
      <c r="I529" s="3" t="inlineStr">
        <is>
          <t>Gina Stefanelli</t>
        </is>
      </c>
      <c r="J529" s="4" t="n">
        <v>45967.58956018519</v>
      </c>
      <c r="K529" s="5" t="n">
        <v>45967.0</v>
      </c>
      <c r="L529" s="5" t="n">
        <v>45964.0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42847922MDD3003</t>
        </is>
      </c>
    </row>
    <row r="530">
      <c r="A530" s="2" t="str">
        <f>HYPERLINK("https://vtmf.veevavault.com/ui/#doc_info/27085220/1/0", "42847922MDD3003---Meeting Material-03 Sep 2024 (v1.0)")</f>
        <v>42847922MDD3003---Meeting Material-03 Sep 2024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MGH CTNI Bi-Weekly Call Minutes</t>
        </is>
      </c>
      <c r="F530" s="2" t="str">
        <f>HYPERLINK("https://vtmf.veevavault.com/ui/#doc_info/27085220/1/0", "VTMF-21712401")</f>
        <v>VTMF-21712401</v>
      </c>
      <c r="G530" s="3" t="inlineStr">
        <is>
          <t/>
        </is>
      </c>
      <c r="H530" s="3" t="inlineStr">
        <is>
          <t>Anthony Suarez (veeva.com)</t>
        </is>
      </c>
      <c r="I530" s="3" t="inlineStr">
        <is>
          <t>Gina Stefanelli</t>
        </is>
      </c>
      <c r="J530" s="4" t="n">
        <v>45551.76834490741</v>
      </c>
      <c r="K530" s="5" t="n">
        <v>45551.0</v>
      </c>
      <c r="L530" s="5" t="n">
        <v>45538.0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42847922MDD3003</t>
        </is>
      </c>
    </row>
    <row r="531">
      <c r="A531" s="2" t="str">
        <f>HYPERLINK("https://vtmf.veevavault.com/ui/#doc_info/27143093/1/0", "42847922MDD3003---Meeting Material-03 Sep 2024 (v1.0)")</f>
        <v>42847922MDD3003---Meeting Material-03 Sep 2024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MGH CTNI Bi-Weekly Call Agenda</t>
        </is>
      </c>
      <c r="F531" s="2" t="str">
        <f>HYPERLINK("https://vtmf.veevavault.com/ui/#doc_info/27143093/1/0", "VTMF-21760906")</f>
        <v>VTMF-21760906</v>
      </c>
      <c r="G531" s="3" t="inlineStr">
        <is>
          <t/>
        </is>
      </c>
      <c r="H531" s="3" t="inlineStr">
        <is>
          <t>Anthony Suarez (veeva.com)</t>
        </is>
      </c>
      <c r="I531" s="3" t="inlineStr">
        <is>
          <t>Debhora Garcia</t>
        </is>
      </c>
      <c r="J531" s="4" t="n">
        <v>45561.159953703704</v>
      </c>
      <c r="K531" s="5" t="n">
        <v>45561.0</v>
      </c>
      <c r="L531" s="5" t="n">
        <v>45538.0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42847922MDD3003</t>
        </is>
      </c>
    </row>
    <row r="532">
      <c r="A532" s="2" t="str">
        <f>HYPERLINK("https://vtmf.veevavault.com/ui/#doc_info/28824393/1/0", "42847922MDD3003---Meeting Material-04 Apr 2025 (v1.0)")</f>
        <v>42847922MDD3003---Meeting Material-04 Apr 2025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Cronos Selto Data Monitoring Reports</t>
        </is>
      </c>
      <c r="F532" s="2" t="str">
        <f>HYPERLINK("https://vtmf.veevavault.com/ui/#doc_info/28824393/1/0", "VTMF-23159857")</f>
        <v>VTMF-23159857</v>
      </c>
      <c r="G532" s="3" t="inlineStr">
        <is>
          <t/>
        </is>
      </c>
      <c r="H532" s="3" t="inlineStr">
        <is>
          <t>Anthony Suarez (veeva.com)</t>
        </is>
      </c>
      <c r="I532" s="3" t="inlineStr">
        <is>
          <t>Gina Stefanelli</t>
        </is>
      </c>
      <c r="J532" s="4" t="n">
        <v>45754.600381944445</v>
      </c>
      <c r="K532" s="5" t="n">
        <v>45754.0</v>
      </c>
      <c r="L532" s="5" t="n">
        <v>45751.0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42847922MDD3003</t>
        </is>
      </c>
    </row>
    <row r="533">
      <c r="A533" s="2" t="str">
        <f>HYPERLINK("https://vtmf.veevavault.com/ui/#doc_info/26453219/1/0", "42847922MDD3003---Meeting Material-04 Jun 2024 (v1.0)")</f>
        <v>42847922MDD3003---Meeting Material-04 Jun 2024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LabCorp Weekly Meeting ADI Log</t>
        </is>
      </c>
      <c r="F533" s="2" t="str">
        <f>HYPERLINK("https://vtmf.veevavault.com/ui/#doc_info/26453219/1/0", "VTMF-21176051")</f>
        <v>VTMF-21176051</v>
      </c>
      <c r="G533" s="3" t="inlineStr">
        <is>
          <t/>
        </is>
      </c>
      <c r="H533" s="3" t="inlineStr">
        <is>
          <t>Anthony Suarez (veeva.com)</t>
        </is>
      </c>
      <c r="I533" s="3" t="inlineStr">
        <is>
          <t>Jamie Hardy</t>
        </is>
      </c>
      <c r="J533" s="4" t="n">
        <v>45447.67454861111</v>
      </c>
      <c r="K533" s="5" t="n">
        <v>45447.0</v>
      </c>
      <c r="L533" s="5" t="n">
        <v>45447.0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42847922MDD3003</t>
        </is>
      </c>
    </row>
    <row r="534">
      <c r="A534" s="2" t="str">
        <f>HYPERLINK("https://vtmf.veevavault.com/ui/#doc_info/26455173/1/0", "42847922MDD3003---Meeting Material-04 Jun 2024 (v1.0)")</f>
        <v>42847922MDD3003---Meeting Material-04 Jun 2024 (v1.0)</v>
      </c>
      <c r="B534" s="3" t="inlineStr">
        <is>
          <t>Data Management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Data Plan Meeting Minutes_04Jun2024</t>
        </is>
      </c>
      <c r="F534" s="2" t="str">
        <f>HYPERLINK("https://vtmf.veevavault.com/ui/#doc_info/26455173/1/0", "VTMF-21177845")</f>
        <v>VTMF-21177845</v>
      </c>
      <c r="G534" s="3" t="inlineStr">
        <is>
          <t/>
        </is>
      </c>
      <c r="H534" s="3" t="inlineStr">
        <is>
          <t>Anthony Suarez (veeva.com)</t>
        </is>
      </c>
      <c r="I534" s="3" t="inlineStr">
        <is>
          <t>Laree LaPierre</t>
        </is>
      </c>
      <c r="J534" s="4" t="n">
        <v>45447.903645833336</v>
      </c>
      <c r="K534" s="5" t="n">
        <v>45447.0</v>
      </c>
      <c r="L534" s="5" t="n">
        <v>45447.0</v>
      </c>
      <c r="M534" s="3" t="inlineStr">
        <is>
          <t>Approved</t>
        </is>
      </c>
      <c r="N534" s="3" t="inlineStr">
        <is>
          <t>Study Start</t>
        </is>
      </c>
      <c r="O534" s="3" t="inlineStr">
        <is>
          <t>42847922MDD3003</t>
        </is>
      </c>
    </row>
    <row r="535">
      <c r="A535" s="2" t="str">
        <f>HYPERLINK("https://vtmf.veevavault.com/ui/#doc_info/25913558/1/0", "42847922MDD3003---Meeting Material-04 Mar 2024 (v1.0)")</f>
        <v>42847922MDD3003---Meeting Material-04 Mar 2024 (v1.0)</v>
      </c>
      <c r="B535" s="3" t="inlineStr">
        <is>
          <t>Data Management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eCRF Pre-Build Meeting Minutes_04Mar2024</t>
        </is>
      </c>
      <c r="F535" s="2" t="str">
        <f>HYPERLINK("https://vtmf.veevavault.com/ui/#doc_info/25913558/1/0", "VTMF-20703103")</f>
        <v>VTMF-20703103</v>
      </c>
      <c r="G535" s="3" t="inlineStr">
        <is>
          <t/>
        </is>
      </c>
      <c r="H535" s="3" t="inlineStr">
        <is>
          <t>Anthony Suarez (veeva.com)</t>
        </is>
      </c>
      <c r="I535" s="3" t="inlineStr">
        <is>
          <t>Laree LaPierre</t>
        </is>
      </c>
      <c r="J535" s="4" t="n">
        <v>45364.7687037037</v>
      </c>
      <c r="K535" s="5" t="n">
        <v>45364.0</v>
      </c>
      <c r="L535" s="5" t="n">
        <v>45355.0</v>
      </c>
      <c r="M535" s="3" t="inlineStr">
        <is>
          <t>Approved</t>
        </is>
      </c>
      <c r="N535" s="3" t="inlineStr">
        <is>
          <t>Study Start</t>
        </is>
      </c>
      <c r="O535" s="3" t="inlineStr">
        <is>
          <t>42847922MDD3003</t>
        </is>
      </c>
    </row>
    <row r="536">
      <c r="A536" s="2" t="str">
        <f>HYPERLINK("https://vtmf.veevavault.com/ui/#doc_info/28597692/1/0", "42847922MDD3003---Meeting Material-04 Mar 2025 (v1.0)")</f>
        <v>42847922MDD3003---Meeting Material-04 Mar 2025 (v1.0)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Labcorp Weekly Meeting | ADI Log</t>
        </is>
      </c>
      <c r="F536" s="2" t="str">
        <f>HYPERLINK("https://vtmf.veevavault.com/ui/#doc_info/28597692/1/0", "VTMF-22968036")</f>
        <v>VTMF-22968036</v>
      </c>
      <c r="G536" s="3" t="inlineStr">
        <is>
          <t/>
        </is>
      </c>
      <c r="H536" s="3" t="inlineStr">
        <is>
          <t>Anthony Suarez (veeva.com)</t>
        </is>
      </c>
      <c r="I536" s="3" t="inlineStr">
        <is>
          <t>Debhora Garcia</t>
        </is>
      </c>
      <c r="J536" s="4" t="n">
        <v>45721.164872685185</v>
      </c>
      <c r="K536" s="5" t="n">
        <v>45721.0</v>
      </c>
      <c r="L536" s="5" t="n">
        <v>45720.0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42847922MDD3003</t>
        </is>
      </c>
    </row>
    <row r="537">
      <c r="A537" s="2" t="str">
        <f>HYPERLINK("https://vtmf.veevavault.com/ui/#doc_info/27486505/1/0", "42847922MDD3003---Meeting Material-04 Nov 2024 (v1.0)")</f>
        <v>42847922MDD3003---Meeting Material-04 Nov 2024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4G IRT _Maintenance_Project_Management_Tracker</t>
        </is>
      </c>
      <c r="F537" s="2" t="str">
        <f>HYPERLINK("https://vtmf.veevavault.com/ui/#doc_info/27486505/1/0", "VTMF-22045253")</f>
        <v>VTMF-22045253</v>
      </c>
      <c r="G537" s="3" t="inlineStr">
        <is>
          <t/>
        </is>
      </c>
      <c r="H537" s="3" t="inlineStr">
        <is>
          <t>Anthony Suarez (veeva.com)</t>
        </is>
      </c>
      <c r="I537" s="3" t="inlineStr">
        <is>
          <t>Gina Stefanelli</t>
        </is>
      </c>
      <c r="J537" s="4" t="n">
        <v>45610.62164351852</v>
      </c>
      <c r="K537" s="5" t="n">
        <v>45610.0</v>
      </c>
      <c r="L537" s="5" t="n">
        <v>45600.0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42847922MDD3003</t>
        </is>
      </c>
    </row>
    <row r="538">
      <c r="A538" s="2" t="str">
        <f>HYPERLINK("https://vtmf.veevavault.com/ui/#doc_info/27875426/1/0", "42847922MDD3003---Meeting Material-04 Nov 2024 (v1.0)")</f>
        <v>42847922MDD3003---Meeting Material-04 Nov 2024 (v1.0)</v>
      </c>
      <c r="B538" s="3" t="inlineStr">
        <is>
          <t>Third Parties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Cronos Operations Meeting Minutes Actions Log</t>
        </is>
      </c>
      <c r="F538" s="2" t="str">
        <f>HYPERLINK("https://vtmf.veevavault.com/ui/#doc_info/27875426/1/0", "VTMF-22353771")</f>
        <v>VTMF-22353771</v>
      </c>
      <c r="G538" s="3" t="inlineStr">
        <is>
          <t/>
        </is>
      </c>
      <c r="H538" s="3" t="inlineStr">
        <is>
          <t>Anthony Suarez (veeva.com)</t>
        </is>
      </c>
      <c r="I538" s="3" t="inlineStr">
        <is>
          <t>Gina Stefanelli</t>
        </is>
      </c>
      <c r="J538" s="4" t="n">
        <v>45639.67519675926</v>
      </c>
      <c r="K538" s="5" t="n">
        <v>45639.0</v>
      </c>
      <c r="L538" s="5" t="n">
        <v>45600.0</v>
      </c>
      <c r="M538" s="3" t="inlineStr">
        <is>
          <t>Approved</t>
        </is>
      </c>
      <c r="N538" s="3" t="inlineStr">
        <is>
          <t>Study Close</t>
        </is>
      </c>
      <c r="O538" s="3" t="inlineStr">
        <is>
          <t>42847922MDD3003</t>
        </is>
      </c>
    </row>
    <row r="539">
      <c r="A539" s="2" t="str">
        <f>HYPERLINK("https://vtmf.veevavault.com/ui/#doc_info/27210012/1/0", "42847922MDD3003---Meeting Material-04 Oct 2024 (v1.0)")</f>
        <v>42847922MDD3003---Meeting Material-04 Oct 2024 (v1.0)</v>
      </c>
      <c r="B539" s="3" t="inlineStr">
        <is>
          <t>Third Parties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Cronos Operations Meeting Minutes Actions Log</t>
        </is>
      </c>
      <c r="F539" s="2" t="str">
        <f>HYPERLINK("https://vtmf.veevavault.com/ui/#doc_info/27210012/1/0", "VTMF-21819298")</f>
        <v>VTMF-21819298</v>
      </c>
      <c r="G539" s="3" t="inlineStr">
        <is>
          <t/>
        </is>
      </c>
      <c r="H539" s="3" t="inlineStr">
        <is>
          <t>Anthony Suarez (veeva.com)</t>
        </is>
      </c>
      <c r="I539" s="3" t="inlineStr">
        <is>
          <t>Gina Stefanelli</t>
        </is>
      </c>
      <c r="J539" s="4" t="n">
        <v>45572.78596064815</v>
      </c>
      <c r="K539" s="5" t="n">
        <v>45572.0</v>
      </c>
      <c r="L539" s="5" t="n">
        <v>45569.0</v>
      </c>
      <c r="M539" s="3" t="inlineStr">
        <is>
          <t>Approved</t>
        </is>
      </c>
      <c r="N539" s="3" t="inlineStr">
        <is>
          <t>Study Close</t>
        </is>
      </c>
      <c r="O539" s="3" t="inlineStr">
        <is>
          <t>42847922MDD3003</t>
        </is>
      </c>
    </row>
    <row r="540">
      <c r="A540" s="2" t="str">
        <f>HYPERLINK("https://vtmf.veevavault.com/ui/#doc_info/26930871/1/0", "42847922MDD3003---Meeting Material-05 Aug 2024 (v1.0)")</f>
        <v>42847922MDD3003---Meeting Material-05 Aug 2024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Janssen (seltorexant) 3003_MGH CTNI Bi-weekly call minutes_05Aug2024</t>
        </is>
      </c>
      <c r="F540" s="2" t="str">
        <f>HYPERLINK("https://vtmf.veevavault.com/ui/#doc_info/26930871/1/0", "VTMF-21588167")</f>
        <v>VTMF-21588167</v>
      </c>
      <c r="G540" s="3" t="inlineStr">
        <is>
          <t/>
        </is>
      </c>
      <c r="H540" s="3" t="inlineStr">
        <is>
          <t>Anthony Suarez (veeva.com)</t>
        </is>
      </c>
      <c r="I540" s="3" t="inlineStr">
        <is>
          <t>Debhora Garcia</t>
        </is>
      </c>
      <c r="J540" s="4" t="n">
        <v>45526.075277777774</v>
      </c>
      <c r="K540" s="5" t="n">
        <v>45525.0</v>
      </c>
      <c r="L540" s="5" t="n">
        <v>45509.0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42847922MDD3003</t>
        </is>
      </c>
    </row>
    <row r="541">
      <c r="A541" s="2" t="str">
        <f>HYPERLINK("https://vtmf.veevavault.com/ui/#doc_info/27820554/1/0", "42847922MDD3003---Meeting Material-05 Dec 2024 (v1.0)")</f>
        <v>42847922MDD3003---Meeting Material-05 Dec 2024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Cronos_Data Monitoring Reports</t>
        </is>
      </c>
      <c r="F541" s="2" t="str">
        <f>HYPERLINK("https://vtmf.veevavault.com/ui/#doc_info/27820554/1/0", "VTMF-22307598")</f>
        <v>VTMF-22307598</v>
      </c>
      <c r="G541" s="3" t="inlineStr">
        <is>
          <t/>
        </is>
      </c>
      <c r="H541" s="3" t="inlineStr">
        <is>
          <t>Gina Stefanelli</t>
        </is>
      </c>
      <c r="I541" s="3" t="inlineStr">
        <is>
          <t>Gina Stefanelli</t>
        </is>
      </c>
      <c r="J541" s="4" t="n">
        <v>45632.90052083333</v>
      </c>
      <c r="K541" s="5" t="n">
        <v>45632.0</v>
      </c>
      <c r="L541" s="5" t="n">
        <v>45631.0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42847922MDD3003</t>
        </is>
      </c>
    </row>
    <row r="542">
      <c r="A542" s="2" t="str">
        <f>HYPERLINK("https://vtmf.veevavault.com/ui/#doc_info/30943591/1/0", "42847922MDD3003---Meeting Material-05 Feb 2026 (v1.0)")</f>
        <v>42847922MDD3003---Meeting Material-05 Feb 2026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Clario ECG Study Status Meeting Agenda/ Minutes General</t>
        </is>
      </c>
      <c r="F542" s="2" t="str">
        <f>HYPERLINK("https://vtmf.veevavault.com/ui/#doc_info/30943591/1/0", "VTMF-24940758")</f>
        <v>VTMF-24940758</v>
      </c>
      <c r="G542" s="3" t="inlineStr">
        <is>
          <t/>
        </is>
      </c>
      <c r="H542" s="3" t="inlineStr">
        <is>
          <t>System</t>
        </is>
      </c>
      <c r="I542" s="3" t="inlineStr">
        <is>
          <t>Debhora Garcia</t>
        </is>
      </c>
      <c r="J542" s="4" t="n">
        <v>46060.007581018515</v>
      </c>
      <c r="K542" s="5" t="n">
        <v>46059.0</v>
      </c>
      <c r="L542" s="5" t="n">
        <v>46058.0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42847922MDD3003</t>
        </is>
      </c>
    </row>
    <row r="543">
      <c r="A543" s="2" t="str">
        <f>HYPERLINK("https://vtmf.veevavault.com/ui/#doc_info/26707754/1/0", "42847922MDD3003---Meeting Material-05 Jul 2024 (v1.0)")</f>
        <v>42847922MDD3003---Meeting Material-05 Jul 2024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Cronos Operations Meeting Minutes Actions Log</t>
        </is>
      </c>
      <c r="F543" s="2" t="str">
        <f>HYPERLINK("https://vtmf.veevavault.com/ui/#doc_info/26707754/1/0", "VTMF-21399562")</f>
        <v>VTMF-21399562</v>
      </c>
      <c r="G543" s="3" t="inlineStr">
        <is>
          <t/>
        </is>
      </c>
      <c r="H543" s="3" t="inlineStr">
        <is>
          <t>Gina Stefanelli</t>
        </is>
      </c>
      <c r="I543" s="3" t="inlineStr">
        <is>
          <t>Kristina Ruzinska</t>
        </is>
      </c>
      <c r="J543" s="4" t="n">
        <v>45488.49438657407</v>
      </c>
      <c r="K543" s="5" t="n">
        <v>45488.0</v>
      </c>
      <c r="L543" s="5" t="n">
        <v>45478.0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42847922MDD3003</t>
        </is>
      </c>
    </row>
    <row r="544">
      <c r="A544" s="2" t="str">
        <f>HYPERLINK("https://vtmf.veevavault.com/ui/#doc_info/29352958/1/0", "42847922MDD3003---Meeting Material-05 Jun 2025 (v1.0)")</f>
        <v>42847922MDD3003---Meeting Material-05 Jun 2025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Clario Janssen ALL-Team Meeting</t>
        </is>
      </c>
      <c r="F544" s="2" t="str">
        <f>HYPERLINK("https://vtmf.veevavault.com/ui/#doc_info/29352958/1/0", "VTMF-23596647")</f>
        <v>VTMF-23596647</v>
      </c>
      <c r="G544" s="3" t="inlineStr">
        <is>
          <t/>
        </is>
      </c>
      <c r="H544" s="3" t="inlineStr">
        <is>
          <t>Debhora Garcia</t>
        </is>
      </c>
      <c r="I544" s="3" t="inlineStr">
        <is>
          <t>Debhora Garcia</t>
        </is>
      </c>
      <c r="J544" s="4" t="n">
        <v>45821.74356481482</v>
      </c>
      <c r="K544" s="5" t="n">
        <v>45821.0</v>
      </c>
      <c r="L544" s="5" t="n">
        <v>45813.0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42847922MDD3003</t>
        </is>
      </c>
    </row>
    <row r="545">
      <c r="A545" s="2" t="str">
        <f>HYPERLINK("https://vtmf.veevavault.com/ui/#doc_info/28638616/1/0", "42847922MDD3003---Meeting Material-05 Mar 2025 (v1.0)")</f>
        <v>42847922MDD3003---Meeting Material-05 Mar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MGH CTNI Bi-Weekly Call Minutes</t>
        </is>
      </c>
      <c r="F545" s="2" t="str">
        <f>HYPERLINK("https://vtmf.veevavault.com/ui/#doc_info/28638616/1/0", "VTMF-23003993")</f>
        <v>VTMF-23003993</v>
      </c>
      <c r="G545" s="3" t="inlineStr">
        <is>
          <t/>
        </is>
      </c>
      <c r="H545" s="3" t="inlineStr">
        <is>
          <t>Anthony Suarez (veeva.com)</t>
        </is>
      </c>
      <c r="I545" s="3" t="inlineStr">
        <is>
          <t>Gina Stefanelli</t>
        </is>
      </c>
      <c r="J545" s="4" t="n">
        <v>45726.99288194445</v>
      </c>
      <c r="K545" s="5" t="n">
        <v>45726.0</v>
      </c>
      <c r="L545" s="5" t="n">
        <v>45721.0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42847922MDD3003</t>
        </is>
      </c>
    </row>
    <row r="546">
      <c r="A546" s="2" t="str">
        <f>HYPERLINK("https://vtmf.veevavault.com/ui/#doc_info/29090606/1/0", "42847922MDD3003---Meeting Material-05 May 2025 (v1.0)")</f>
        <v>42847922MDD3003---Meeting Material-05 May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4G IRT Maintenance_Project_Management_Tracker</t>
        </is>
      </c>
      <c r="F546" s="2" t="str">
        <f>HYPERLINK("https://vtmf.veevavault.com/ui/#doc_info/29090606/1/0", "VTMF-23375389")</f>
        <v>VTMF-23375389</v>
      </c>
      <c r="G546" s="3" t="inlineStr">
        <is>
          <t/>
        </is>
      </c>
      <c r="H546" s="3" t="inlineStr">
        <is>
          <t>Anthony Suarez (veeva.com)</t>
        </is>
      </c>
      <c r="I546" s="3" t="inlineStr">
        <is>
          <t>Gina Stefanelli</t>
        </is>
      </c>
      <c r="J546" s="4" t="n">
        <v>45789.63350694445</v>
      </c>
      <c r="K546" s="5" t="n">
        <v>45789.0</v>
      </c>
      <c r="L546" s="5" t="n">
        <v>45782.0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42847922MDD3003</t>
        </is>
      </c>
    </row>
    <row r="547">
      <c r="A547" s="2" t="str">
        <f>HYPERLINK("https://vtmf.veevavault.com/ui/#doc_info/31595726/1/0", "42847922MDD3003---Meeting Material-05 May 2026 (v1.0)")</f>
        <v>42847922MDD3003---Meeting Material-05 May 2026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4G IRT Maintenance_Project_Management_Tracker</t>
        </is>
      </c>
      <c r="F547" s="2" t="str">
        <f>HYPERLINK("https://vtmf.veevavault.com/ui/#doc_info/31595726/1/0", "VTMF-25500001")</f>
        <v>VTMF-25500001</v>
      </c>
      <c r="G547" s="3" t="inlineStr">
        <is>
          <t/>
        </is>
      </c>
      <c r="H547" s="3" t="inlineStr">
        <is>
          <t>System</t>
        </is>
      </c>
      <c r="I547" s="3" t="inlineStr">
        <is>
          <t>Aurora Barbera</t>
        </is>
      </c>
      <c r="J547" s="4" t="n">
        <v>46148.484606481485</v>
      </c>
      <c r="K547" s="5" t="n">
        <v>46148.0</v>
      </c>
      <c r="L547" s="5" t="n">
        <v>46147.0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42847922MDD3003</t>
        </is>
      </c>
    </row>
    <row r="548">
      <c r="A548" s="2" t="str">
        <f>HYPERLINK("https://vtmf.veevavault.com/ui/#doc_info/31618252/1/0", "42847922MDD3003---Meeting Material-05 May 2026 (v1.0)")</f>
        <v>42847922MDD3003---Meeting Material-05 May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CRONOS_Actions Log</t>
        </is>
      </c>
      <c r="F548" s="2" t="str">
        <f>HYPERLINK("https://vtmf.veevavault.com/ui/#doc_info/31618252/1/0", "VTMF-25516912")</f>
        <v>VTMF-25516912</v>
      </c>
      <c r="G548" s="3" t="inlineStr">
        <is>
          <t/>
        </is>
      </c>
      <c r="H548" s="3" t="inlineStr">
        <is>
          <t>System</t>
        </is>
      </c>
      <c r="I548" s="3" t="inlineStr">
        <is>
          <t>Aurora Barbera</t>
        </is>
      </c>
      <c r="J548" s="4" t="n">
        <v>46150.634884259256</v>
      </c>
      <c r="K548" s="5" t="n">
        <v>46150.0</v>
      </c>
      <c r="L548" s="5" t="n">
        <v>46147.0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42847922MDD3003</t>
        </is>
      </c>
    </row>
    <row r="549">
      <c r="A549" s="2" t="str">
        <f>HYPERLINK("https://vtmf.veevavault.com/ui/#doc_info/31631260/1/0", "42847922MDD3003---Meeting Material-05 May 2026 (v1.0)")</f>
        <v>42847922MDD3003---Meeting Material-05 May 2026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LabCorp Weekly Meeting ADI Log</t>
        </is>
      </c>
      <c r="F549" s="2" t="str">
        <f>HYPERLINK("https://vtmf.veevavault.com/ui/#doc_info/31631260/1/0", "VTMF-25528040")</f>
        <v>VTMF-25528040</v>
      </c>
      <c r="G549" s="3" t="inlineStr">
        <is>
          <t/>
        </is>
      </c>
      <c r="H549" s="3" t="inlineStr">
        <is>
          <t>System</t>
        </is>
      </c>
      <c r="I549" s="3" t="inlineStr">
        <is>
          <t>Debhora Garcia</t>
        </is>
      </c>
      <c r="J549" s="4" t="n">
        <v>46154.01553240741</v>
      </c>
      <c r="K549" s="5" t="n">
        <v>46153.0</v>
      </c>
      <c r="L549" s="5" t="n">
        <v>46147.0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42847922MDD3003</t>
        </is>
      </c>
    </row>
    <row r="550">
      <c r="A550" s="2" t="str">
        <f>HYPERLINK("https://vtmf.veevavault.com/ui/#doc_info/27463201/1/0", "42847922MDD3003---Meeting Material-05 Nov 2024 (v1.0)")</f>
        <v>42847922MDD3003---Meeting Material-05 Nov 2024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LabCorp Weekly Meeting ADI Log</t>
        </is>
      </c>
      <c r="F550" s="2" t="str">
        <f>HYPERLINK("https://vtmf.veevavault.com/ui/#doc_info/27463201/1/0", "VTMF-22025580")</f>
        <v>VTMF-22025580</v>
      </c>
      <c r="G550" s="3" t="inlineStr">
        <is>
          <t/>
        </is>
      </c>
      <c r="H550" s="3" t="inlineStr">
        <is>
          <t>Anthony Suarez (veeva.com)</t>
        </is>
      </c>
      <c r="I550" s="3" t="inlineStr">
        <is>
          <t>Gina Stefanelli</t>
        </is>
      </c>
      <c r="J550" s="4" t="n">
        <v>45607.86319444444</v>
      </c>
      <c r="K550" s="5" t="n">
        <v>45607.0</v>
      </c>
      <c r="L550" s="5" t="n">
        <v>45601.0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42847922MDD3003</t>
        </is>
      </c>
    </row>
    <row r="551">
      <c r="A551" s="2" t="str">
        <f>HYPERLINK("https://vtmf.veevavault.com/ui/#doc_info/29903850/1/0", "42847922MDD3003---Meeting Material-05 Sep 2025 (v1.0)")</f>
        <v>42847922MDD3003---Meeting Material-05 Sep 2025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ECG Study Status Meeting Agenda/ Minutes General</t>
        </is>
      </c>
      <c r="F551" s="2" t="str">
        <f>HYPERLINK("https://vtmf.veevavault.com/ui/#doc_info/29903850/1/0", "VTMF-24070965")</f>
        <v>VTMF-24070965</v>
      </c>
      <c r="G551" s="3" t="inlineStr">
        <is>
          <t/>
        </is>
      </c>
      <c r="H551" s="3" t="inlineStr">
        <is>
          <t>Gina Stefanelli</t>
        </is>
      </c>
      <c r="I551" s="3" t="inlineStr">
        <is>
          <t>Debhora Garcia</t>
        </is>
      </c>
      <c r="J551" s="4" t="n">
        <v>45905.95520833333</v>
      </c>
      <c r="K551" s="5" t="n">
        <v>45905.0</v>
      </c>
      <c r="L551" s="5" t="n">
        <v>45905.0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42847922MDD3003</t>
        </is>
      </c>
    </row>
    <row r="552">
      <c r="A552" s="2" t="str">
        <f>HYPERLINK("https://vtmf.veevavault.com/ui/#doc_info/27820552/1/0", "42847922MDD3003---Meeting Material-06 Dec 2024 (v1.0)")</f>
        <v>42847922MDD3003---Meeting Material-06 Dec 2024 (v1.0)</v>
      </c>
      <c r="B552" s="3" t="inlineStr">
        <is>
          <t>Third Parties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Cronos Monthly Clinical Oversight Meeting Slides</t>
        </is>
      </c>
      <c r="F552" s="2" t="str">
        <f>HYPERLINK("https://vtmf.veevavault.com/ui/#doc_info/27820552/1/0", "VTMF-22307588")</f>
        <v>VTMF-22307588</v>
      </c>
      <c r="G552" s="3" t="inlineStr">
        <is>
          <t/>
        </is>
      </c>
      <c r="H552" s="3" t="inlineStr">
        <is>
          <t>Anthony Suarez (veeva.com)</t>
        </is>
      </c>
      <c r="I552" s="3" t="inlineStr">
        <is>
          <t>Gina Stefanelli</t>
        </is>
      </c>
      <c r="J552" s="4" t="n">
        <v>45632.89774305555</v>
      </c>
      <c r="K552" s="5" t="n">
        <v>45632.0</v>
      </c>
      <c r="L552" s="5" t="n">
        <v>45632.0</v>
      </c>
      <c r="M552" s="3" t="inlineStr">
        <is>
          <t>Approved</t>
        </is>
      </c>
      <c r="N552" s="3" t="inlineStr">
        <is>
          <t>Study Close</t>
        </is>
      </c>
      <c r="O552" s="3" t="inlineStr">
        <is>
          <t>42847922MDD3003</t>
        </is>
      </c>
    </row>
    <row r="553">
      <c r="A553" s="2" t="str">
        <f>HYPERLINK("https://vtmf.veevavault.com/ui/#doc_info/31080010/1/0", "42847922MDD3003---Meeting Material-06 Feb 2026 (v1.0)")</f>
        <v>42847922MDD3003---Meeting Material-06 Feb 2026 (v1.0)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Clarivate Sleep disturbance in MDD - Recruitment update</t>
        </is>
      </c>
      <c r="F553" s="2" t="str">
        <f>HYPERLINK("https://vtmf.veevavault.com/ui/#doc_info/31080010/1/0", "VTMF-25056784")</f>
        <v>VTMF-25056784</v>
      </c>
      <c r="G553" s="3" t="inlineStr">
        <is>
          <t/>
        </is>
      </c>
      <c r="H553" s="3" t="inlineStr">
        <is>
          <t>System</t>
        </is>
      </c>
      <c r="I553" s="3" t="inlineStr">
        <is>
          <t>Gina Stefanelli</t>
        </is>
      </c>
      <c r="J553" s="4" t="n">
        <v>46080.58069444444</v>
      </c>
      <c r="K553" s="5" t="n">
        <v>46080.0</v>
      </c>
      <c r="L553" s="5" t="n">
        <v>46059.0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42847922MDD3003</t>
        </is>
      </c>
    </row>
    <row r="554">
      <c r="A554" s="2" t="str">
        <f>HYPERLINK("https://vtmf.veevavault.com/ui/#doc_info/28347779/1/0", "42847922MDD3003---Meeting Material-06 Jan 2025 (v1.0)")</f>
        <v>42847922MDD3003---Meeting Material-06 Jan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MGH CTNI- Bi-Weekly Call Minutes</t>
        </is>
      </c>
      <c r="F554" s="2" t="str">
        <f>HYPERLINK("https://vtmf.veevavault.com/ui/#doc_info/28347779/1/0", "VTMF-22744176")</f>
        <v>VTMF-22744176</v>
      </c>
      <c r="G554" s="3" t="inlineStr">
        <is>
          <t/>
        </is>
      </c>
      <c r="H554" s="3" t="inlineStr">
        <is>
          <t>Anthony Suarez (veeva.com)</t>
        </is>
      </c>
      <c r="I554" s="3" t="inlineStr">
        <is>
          <t>Gina Stefanelli</t>
        </is>
      </c>
      <c r="J554" s="4" t="n">
        <v>45709.55978009259</v>
      </c>
      <c r="K554" s="5" t="n">
        <v>45709.0</v>
      </c>
      <c r="L554" s="5" t="n">
        <v>45663.0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42847922MDD3003</t>
        </is>
      </c>
    </row>
    <row r="555">
      <c r="A555" s="2" t="str">
        <f>HYPERLINK("https://vtmf.veevavault.com/ui/#doc_info/30725955/1/0", "42847922MDD3003---Meeting Material-06 Jan 2026 (v1.0)")</f>
        <v>42847922MDD3003---Meeting Material-06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Clario ECG Study Status Meeting Agenda/ Minutes General</t>
        </is>
      </c>
      <c r="F555" s="2" t="str">
        <f>HYPERLINK("https://vtmf.veevavault.com/ui/#doc_info/30725955/1/0", "VTMF-24758829")</f>
        <v>VTMF-24758829</v>
      </c>
      <c r="G555" s="3" t="inlineStr">
        <is>
          <t/>
        </is>
      </c>
      <c r="H555" s="3" t="inlineStr">
        <is>
          <t>System</t>
        </is>
      </c>
      <c r="I555" s="3" t="inlineStr">
        <is>
          <t>Debhora Garcia</t>
        </is>
      </c>
      <c r="J555" s="4" t="n">
        <v>46029.035844907405</v>
      </c>
      <c r="K555" s="5" t="n">
        <v>46028.0</v>
      </c>
      <c r="L555" s="5" t="n">
        <v>46028.0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42847922MDD3003</t>
        </is>
      </c>
    </row>
    <row r="556">
      <c r="A556" s="2" t="str">
        <f>HYPERLINK("https://vtmf.veevavault.com/ui/#doc_info/26338392/1/0", "42847922MDD3003---Meeting Material-06 May 2024 (v1.0)")</f>
        <v>42847922MDD3003---Meeting Material-06 May 2024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Cronos Operations Meeting Minutes Actions Log</t>
        </is>
      </c>
      <c r="F556" s="2" t="str">
        <f>HYPERLINK("https://vtmf.veevavault.com/ui/#doc_info/26338392/1/0", "VTMF-21075497")</f>
        <v>VTMF-21075497</v>
      </c>
      <c r="G556" s="3" t="inlineStr">
        <is>
          <t/>
        </is>
      </c>
      <c r="H556" s="3" t="inlineStr">
        <is>
          <t>Gina Stefanelli</t>
        </is>
      </c>
      <c r="I556" s="3" t="inlineStr">
        <is>
          <t>Gina Stefanelli</t>
        </is>
      </c>
      <c r="J556" s="4" t="n">
        <v>45428.65917824074</v>
      </c>
      <c r="K556" s="5" t="n">
        <v>45428.0</v>
      </c>
      <c r="L556" s="5" t="n">
        <v>45418.0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42847922MDD3003</t>
        </is>
      </c>
    </row>
    <row r="557">
      <c r="A557" s="2" t="str">
        <f>HYPERLINK("https://vtmf.veevavault.com/ui/#doc_info/30323629/1/0", "42847922MDD3003---Meeting Material-06 Nov 2025 (v1.0)")</f>
        <v>42847922MDD3003---Meeting Material-06 Nov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Sleep Disturbance_Meeting Minutes_06Nov25_v1.0</t>
        </is>
      </c>
      <c r="F557" s="2" t="str">
        <f>HYPERLINK("https://vtmf.veevavault.com/ui/#doc_info/30323629/1/0", "VTMF-24420153")</f>
        <v>VTMF-24420153</v>
      </c>
      <c r="G557" s="3" t="inlineStr">
        <is>
          <t/>
        </is>
      </c>
      <c r="H557" s="3" t="inlineStr">
        <is>
          <t>System</t>
        </is>
      </c>
      <c r="I557" s="3" t="inlineStr">
        <is>
          <t>Gina Stefanelli</t>
        </is>
      </c>
      <c r="J557" s="4" t="n">
        <v>45968.012083333335</v>
      </c>
      <c r="K557" s="5" t="n">
        <v>45967.0</v>
      </c>
      <c r="L557" s="5" t="n">
        <v>45967.0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42847922MDD3003</t>
        </is>
      </c>
    </row>
    <row r="558">
      <c r="A558" s="2" t="str">
        <f>HYPERLINK("https://vtmf.veevavault.com/ui/#doc_info/30101478/1/0", "42847922MDD3003---Meeting Material-06 Oct 2025 (v1.0)")</f>
        <v>42847922MDD3003---Meeting Material-06 Oct 2025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Cronos Actions Log</t>
        </is>
      </c>
      <c r="F558" s="2" t="str">
        <f>HYPERLINK("https://vtmf.veevavault.com/ui/#doc_info/30101478/1/0", "VTMF-24230736")</f>
        <v>VTMF-24230736</v>
      </c>
      <c r="G558" s="3" t="inlineStr">
        <is>
          <t/>
        </is>
      </c>
      <c r="H558" s="3" t="inlineStr">
        <is>
          <t>System</t>
        </is>
      </c>
      <c r="I558" s="3" t="inlineStr">
        <is>
          <t>Gina Stefanelli</t>
        </is>
      </c>
      <c r="J558" s="4" t="n">
        <v>45936.641550925924</v>
      </c>
      <c r="K558" s="5" t="n">
        <v>45936.0</v>
      </c>
      <c r="L558" s="5" t="n">
        <v>45936.0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42847922MDD3003</t>
        </is>
      </c>
    </row>
    <row r="559">
      <c r="A559" s="2" t="str">
        <f>HYPERLINK("https://vtmf.veevavault.com/ui/#doc_info/28824382/1/0", "42847922MDD3003---Meeting Material-07 Apr 2025 (v1.0)")</f>
        <v>42847922MDD3003---Meeting Material-07 Apr 2025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Cronos Operations Meeting Minutes Actions Log</t>
        </is>
      </c>
      <c r="F559" s="2" t="str">
        <f>HYPERLINK("https://vtmf.veevavault.com/ui/#doc_info/28824382/1/0", "VTMF-23159831")</f>
        <v>VTMF-23159831</v>
      </c>
      <c r="G559" s="3" t="inlineStr">
        <is>
          <t/>
        </is>
      </c>
      <c r="H559" s="3" t="inlineStr">
        <is>
          <t>Anthony Suarez (veeva.com)</t>
        </is>
      </c>
      <c r="I559" s="3" t="inlineStr">
        <is>
          <t>Gina Stefanelli</t>
        </is>
      </c>
      <c r="J559" s="4" t="n">
        <v>45754.59679398148</v>
      </c>
      <c r="K559" s="5" t="n">
        <v>45754.0</v>
      </c>
      <c r="L559" s="5" t="n">
        <v>45754.0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42847922MDD3003</t>
        </is>
      </c>
    </row>
    <row r="560">
      <c r="A560" s="2" t="str">
        <f>HYPERLINK("https://vtmf.veevavault.com/ui/#doc_info/28842440/1/0", "42847922MDD3003---Meeting Material-07 Apr 2025 (v1.0)")</f>
        <v>42847922MDD3003---Meeting Material-07 Apr 2025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4G IRT_Maintenance_Project_Management_Tracker</t>
        </is>
      </c>
      <c r="F560" s="2" t="str">
        <f>HYPERLINK("https://vtmf.veevavault.com/ui/#doc_info/28842440/1/0", "VTMF-23174827")</f>
        <v>VTMF-23174827</v>
      </c>
      <c r="G560" s="3" t="inlineStr">
        <is>
          <t/>
        </is>
      </c>
      <c r="H560" s="3" t="inlineStr">
        <is>
          <t>Anthony Suarez (veeva.com)</t>
        </is>
      </c>
      <c r="I560" s="3" t="inlineStr">
        <is>
          <t>Gina Stefanelli</t>
        </is>
      </c>
      <c r="J560" s="4" t="n">
        <v>45756.64146990741</v>
      </c>
      <c r="K560" s="5" t="n">
        <v>45756.0</v>
      </c>
      <c r="L560" s="5" t="n">
        <v>45754.0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42847922MDD3003</t>
        </is>
      </c>
    </row>
    <row r="561">
      <c r="A561" s="2" t="str">
        <f>HYPERLINK("https://vtmf.veevavault.com/ui/#doc_info/31397986/1/0", "42847922MDD3003---Meeting Material-07 Apr 2026 (v1.0)")</f>
        <v>42847922MDD3003---Meeting Material-07 Apr 2026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4G IRT Maintenance_Project_Management_</t>
        </is>
      </c>
      <c r="F561" s="2" t="str">
        <f>HYPERLINK("https://vtmf.veevavault.com/ui/#doc_info/31397986/1/0", "VTMF-25331606")</f>
        <v>VTMF-25331606</v>
      </c>
      <c r="G561" s="3" t="inlineStr">
        <is>
          <t/>
        </is>
      </c>
      <c r="H561" s="3" t="inlineStr">
        <is>
          <t>System</t>
        </is>
      </c>
      <c r="I561" s="3" t="inlineStr">
        <is>
          <t>Gina Stefanelli</t>
        </is>
      </c>
      <c r="J561" s="4" t="n">
        <v>46119.737337962964</v>
      </c>
      <c r="K561" s="5" t="n">
        <v>46119.0</v>
      </c>
      <c r="L561" s="5" t="n">
        <v>46119.0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42847922MDD3003</t>
        </is>
      </c>
    </row>
    <row r="562">
      <c r="A562" s="2" t="str">
        <f>HYPERLINK("https://vtmf.veevavault.com/ui/#doc_info/31455377/1/0", "42847922MDD3003---Meeting Material-07 Apr 2026 (v1.0)")</f>
        <v>42847922MDD3003---Meeting Material-07 Apr 2026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LabCorp Weekly Meeting ADI Log</t>
        </is>
      </c>
      <c r="F562" s="2" t="str">
        <f>HYPERLINK("https://vtmf.veevavault.com/ui/#doc_info/31455377/1/0", "VTMF-25381461")</f>
        <v>VTMF-25381461</v>
      </c>
      <c r="G562" s="3" t="inlineStr">
        <is>
          <t/>
        </is>
      </c>
      <c r="H562" s="3" t="inlineStr">
        <is>
          <t>System</t>
        </is>
      </c>
      <c r="I562" s="3" t="inlineStr">
        <is>
          <t>Debhora Garcia</t>
        </is>
      </c>
      <c r="J562" s="4" t="n">
        <v>46127.12383101852</v>
      </c>
      <c r="K562" s="5" t="n">
        <v>46126.0</v>
      </c>
      <c r="L562" s="5" t="n">
        <v>46119.0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42847922MDD3003</t>
        </is>
      </c>
    </row>
    <row r="563">
      <c r="A563" s="2" t="str">
        <f>HYPERLINK("https://vtmf.veevavault.com/ui/#doc_info/28256311/1/0", "42847922MDD3003---Meeting Material-07 Feb 2025 (v1.0)")</f>
        <v>42847922MDD3003---Meeting Material-07 Feb 2025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Labcorp Weekly Meeting_ADI log</t>
        </is>
      </c>
      <c r="F563" s="2" t="str">
        <f>HYPERLINK("https://vtmf.veevavault.com/ui/#doc_info/28256311/1/0", "VTMF-22664701")</f>
        <v>VTMF-22664701</v>
      </c>
      <c r="G563" s="3" t="inlineStr">
        <is>
          <t/>
        </is>
      </c>
      <c r="H563" s="3" t="inlineStr">
        <is>
          <t>Anthony Suarez (veeva.com)</t>
        </is>
      </c>
      <c r="I563" s="3" t="inlineStr">
        <is>
          <t>Debhora Garcia</t>
        </is>
      </c>
      <c r="J563" s="4" t="n">
        <v>45696.173425925925</v>
      </c>
      <c r="K563" s="5" t="n">
        <v>45695.0</v>
      </c>
      <c r="L563" s="5" t="n">
        <v>45695.0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42847922MDD3003</t>
        </is>
      </c>
    </row>
    <row r="564">
      <c r="A564" s="2" t="str">
        <f>HYPERLINK("https://vtmf.veevavault.com/ui/#doc_info/28038839/1/0", "42847922MDD3003---Meeting Material-07 Jan 2025 (v1.0)")</f>
        <v>42847922MDD3003---Meeting Material-07 Jan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Labcorp Weekly Meeting_ADI log</t>
        </is>
      </c>
      <c r="F564" s="2" t="str">
        <f>HYPERLINK("https://vtmf.veevavault.com/ui/#doc_info/28038839/1/0", "VTMF-22485245")</f>
        <v>VTMF-22485245</v>
      </c>
      <c r="G564" s="3" t="inlineStr">
        <is>
          <t/>
        </is>
      </c>
      <c r="H564" s="3" t="inlineStr">
        <is>
          <t>Anthony Suarez (veeva.com)</t>
        </is>
      </c>
      <c r="I564" s="3" t="inlineStr">
        <is>
          <t>Debhora Garcia</t>
        </is>
      </c>
      <c r="J564" s="4" t="n">
        <v>45665.89399305556</v>
      </c>
      <c r="K564" s="5" t="n">
        <v>45665.0</v>
      </c>
      <c r="L564" s="5" t="n">
        <v>45664.0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42847922MDD3003</t>
        </is>
      </c>
    </row>
    <row r="565">
      <c r="A565" s="2" t="str">
        <f>HYPERLINK("https://vtmf.veevavault.com/ui/#doc_info/29630978/1/0", "42847922MDD3003---Meeting Material-07 Jul 2025 (v1.0)")</f>
        <v>42847922MDD3003---Meeting Material-07 Jul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MGH CTNI Bi-Weekly Call Minutes</t>
        </is>
      </c>
      <c r="F565" s="2" t="str">
        <f>HYPERLINK("https://vtmf.veevavault.com/ui/#doc_info/29630978/1/0", "VTMF-23837147")</f>
        <v>VTMF-23837147</v>
      </c>
      <c r="G565" s="3" t="inlineStr">
        <is>
          <t/>
        </is>
      </c>
      <c r="H565" s="3" t="inlineStr">
        <is>
          <t>Gina Stefanelli</t>
        </is>
      </c>
      <c r="I565" s="3" t="inlineStr">
        <is>
          <t>Gina Stefanelli</t>
        </is>
      </c>
      <c r="J565" s="4" t="n">
        <v>45863.61208333333</v>
      </c>
      <c r="K565" s="5" t="n">
        <v>45863.0</v>
      </c>
      <c r="L565" s="5" t="n">
        <v>45845.0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42847922MDD3003</t>
        </is>
      </c>
    </row>
    <row r="566">
      <c r="A566" s="2" t="str">
        <f>HYPERLINK("https://vtmf.veevavault.com/ui/#doc_info/26509607/1/0", "42847922MDD3003---Meeting Material-07 Jun 2024 (v1.0)")</f>
        <v>42847922MDD3003---Meeting Material-07 Jun 2024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Cronos Operations Meeting Minutes Actions Log</t>
        </is>
      </c>
      <c r="F566" s="2" t="str">
        <f>HYPERLINK("https://vtmf.veevavault.com/ui/#doc_info/26509607/1/0", "VTMF-21226169")</f>
        <v>VTMF-21226169</v>
      </c>
      <c r="G566" s="3" t="inlineStr">
        <is>
          <t/>
        </is>
      </c>
      <c r="H566" s="3" t="inlineStr">
        <is>
          <t>Gina Stefanelli</t>
        </is>
      </c>
      <c r="I566" s="3" t="inlineStr">
        <is>
          <t>Gina Stefanelli</t>
        </is>
      </c>
      <c r="J566" s="4" t="n">
        <v>45455.73452546296</v>
      </c>
      <c r="K566" s="5" t="n">
        <v>45455.0</v>
      </c>
      <c r="L566" s="5" t="n">
        <v>45450.0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42847922MDD3003</t>
        </is>
      </c>
    </row>
    <row r="567">
      <c r="A567" s="2" t="str">
        <f>HYPERLINK("https://vtmf.veevavault.com/ui/#doc_info/26277548/1/0", "42847922MDD3003---Meeting Material-07 May 2024 (v1.0)")</f>
        <v>42847922MDD3003---Meeting Material-07 May 2024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LabCorp Weekly Meeting ADI Log</t>
        </is>
      </c>
      <c r="F567" s="2" t="str">
        <f>HYPERLINK("https://vtmf.veevavault.com/ui/#doc_info/26277548/1/0", "VTMF-21021947")</f>
        <v>VTMF-21021947</v>
      </c>
      <c r="G567" s="3" t="inlineStr">
        <is>
          <t/>
        </is>
      </c>
      <c r="H567" s="3" t="inlineStr">
        <is>
          <t>Anthony Suarez (veeva.com)</t>
        </is>
      </c>
      <c r="I567" s="3" t="inlineStr">
        <is>
          <t>Jamie Hardy</t>
        </is>
      </c>
      <c r="J567" s="4" t="n">
        <v>45419.92391203704</v>
      </c>
      <c r="K567" s="5" t="n">
        <v>45419.0</v>
      </c>
      <c r="L567" s="5" t="n">
        <v>45419.0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42847922MDD3003</t>
        </is>
      </c>
    </row>
    <row r="568">
      <c r="A568" s="2" t="str">
        <f>HYPERLINK("https://vtmf.veevavault.com/ui/#doc_info/27208677/1/0", "42847922MDD3003---Meeting Material-07 Oct 2024 (v1.0)")</f>
        <v>42847922MDD3003---Meeting Material-07 Oct 2024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4G IRT_Maintenance_Project_Management_Tracker</t>
        </is>
      </c>
      <c r="F568" s="2" t="str">
        <f>HYPERLINK("https://vtmf.veevavault.com/ui/#doc_info/27208677/1/0", "VTMF-21818420")</f>
        <v>VTMF-21818420</v>
      </c>
      <c r="G568" s="3" t="inlineStr">
        <is>
          <t/>
        </is>
      </c>
      <c r="H568" s="3" t="inlineStr">
        <is>
          <t>Anthony Suarez (veeva.com)</t>
        </is>
      </c>
      <c r="I568" s="3" t="inlineStr">
        <is>
          <t>Gina Stefanelli</t>
        </is>
      </c>
      <c r="J568" s="4" t="n">
        <v>45572.6743287037</v>
      </c>
      <c r="K568" s="5" t="n">
        <v>45572.0</v>
      </c>
      <c r="L568" s="5" t="n">
        <v>45572.0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42847922MDD3003</t>
        </is>
      </c>
    </row>
    <row r="569">
      <c r="A569" s="2" t="str">
        <f>HYPERLINK("https://vtmf.veevavault.com/ui/#doc_info/31412295/1/0", "42847922MDD3003---Meeting Material-08 Apr 2026 (v1.0)")</f>
        <v>42847922MDD3003---Meeting Material-08 Apr 2026 (v1.0)</v>
      </c>
      <c r="B569" s="3" t="inlineStr">
        <is>
          <t>Third Parties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Cronos Actions Log</t>
        </is>
      </c>
      <c r="F569" s="2" t="str">
        <f>HYPERLINK("https://vtmf.veevavault.com/ui/#doc_info/31412295/1/0", "VTMF-25344900")</f>
        <v>VTMF-25344900</v>
      </c>
      <c r="G569" s="3" t="inlineStr">
        <is>
          <t/>
        </is>
      </c>
      <c r="H569" s="3" t="inlineStr">
        <is>
          <t>System</t>
        </is>
      </c>
      <c r="I569" s="3" t="inlineStr">
        <is>
          <t>Gina Stefanelli</t>
        </is>
      </c>
      <c r="J569" s="4" t="n">
        <v>46120.588217592594</v>
      </c>
      <c r="K569" s="5" t="n">
        <v>46120.0</v>
      </c>
      <c r="L569" s="5" t="n">
        <v>46120.0</v>
      </c>
      <c r="M569" s="3" t="inlineStr">
        <is>
          <t>Approved</t>
        </is>
      </c>
      <c r="N569" s="3" t="inlineStr">
        <is>
          <t>Study Close</t>
        </is>
      </c>
      <c r="O569" s="3" t="inlineStr">
        <is>
          <t>42847922MDD3003</t>
        </is>
      </c>
    </row>
    <row r="570">
      <c r="A570" s="2" t="str">
        <f>HYPERLINK("https://vtmf.veevavault.com/ui/#doc_info/25691856/1/0", "42847922MDD3003---Meeting Material-08 Feb 2024 (v1.0)")</f>
        <v>42847922MDD3003---Meeting Material-08 Feb 2024 (v1.0)</v>
      </c>
      <c r="B570" s="3" t="inlineStr">
        <is>
          <t>Data Management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IWRS integration_GDM_DAE_8Feb2024</t>
        </is>
      </c>
      <c r="F570" s="2" t="str">
        <f>HYPERLINK("https://vtmf.veevavault.com/ui/#doc_info/25691856/1/0", "VTMF-20508061")</f>
        <v>VTMF-20508061</v>
      </c>
      <c r="G570" s="3" t="inlineStr">
        <is>
          <t/>
        </is>
      </c>
      <c r="H570" s="3" t="inlineStr">
        <is>
          <t>Anthony Suarez (veeva.com)</t>
        </is>
      </c>
      <c r="I570" s="3" t="inlineStr">
        <is>
          <t>Nicky Pirotte</t>
        </is>
      </c>
      <c r="J570" s="4" t="n">
        <v>45331.69097222222</v>
      </c>
      <c r="K570" s="5" t="n">
        <v>45331.0</v>
      </c>
      <c r="L570" s="5" t="n">
        <v>45330.0</v>
      </c>
      <c r="M570" s="3" t="inlineStr">
        <is>
          <t>Approved</t>
        </is>
      </c>
      <c r="N570" s="3" t="inlineStr">
        <is>
          <t>Study Start</t>
        </is>
      </c>
      <c r="O570" s="3" t="inlineStr">
        <is>
          <t>42847922MDD3003, 67953964MDD3005, 67953964MDD3007</t>
        </is>
      </c>
    </row>
    <row r="571">
      <c r="A571" s="2" t="str">
        <f>HYPERLINK("https://vtmf.veevavault.com/ui/#doc_info/26684952/1/0", "42847922MDD3003---Meeting Material-08 Jul 2024 (v1.0)")</f>
        <v>42847922MDD3003---Meeting Material-08 Jul 2024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MGH CTNI Bi-weekly call minutes</t>
        </is>
      </c>
      <c r="F571" s="2" t="str">
        <f>HYPERLINK("https://vtmf.veevavault.com/ui/#doc_info/26684952/1/0", "VTMF-21379432")</f>
        <v>VTMF-21379432</v>
      </c>
      <c r="G571" s="3" t="inlineStr">
        <is>
          <t/>
        </is>
      </c>
      <c r="H571" s="3" t="inlineStr">
        <is>
          <t>Gina Stefanelli</t>
        </is>
      </c>
      <c r="I571" s="3" t="inlineStr">
        <is>
          <t>Debhora Garcia</t>
        </is>
      </c>
      <c r="J571" s="4" t="n">
        <v>45483.807662037034</v>
      </c>
      <c r="K571" s="5" t="n">
        <v>45483.0</v>
      </c>
      <c r="L571" s="5" t="n">
        <v>45481.0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42847922MDD3003</t>
        </is>
      </c>
    </row>
    <row r="572">
      <c r="A572" s="2" t="str">
        <f>HYPERLINK("https://vtmf.veevavault.com/ui/#doc_info/29517494/1/0", "42847922MDD3003---Meeting Material-08 Jul 2025 (v1.0)")</f>
        <v>42847922MDD3003---Meeting Material-08 Jul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Labcorp Weekly Meeting | ADI Log</t>
        </is>
      </c>
      <c r="F572" s="2" t="str">
        <f>HYPERLINK("https://vtmf.veevavault.com/ui/#doc_info/29517494/1/0", "VTMF-23741090")</f>
        <v>VTMF-23741090</v>
      </c>
      <c r="G572" s="3" t="inlineStr">
        <is>
          <t/>
        </is>
      </c>
      <c r="H572" s="3" t="inlineStr">
        <is>
          <t>System</t>
        </is>
      </c>
      <c r="I572" s="3" t="inlineStr">
        <is>
          <t>Debhora Garcia</t>
        </is>
      </c>
      <c r="J572" s="4" t="n">
        <v>45846.71030092592</v>
      </c>
      <c r="K572" s="5" t="n">
        <v>45846.0</v>
      </c>
      <c r="L572" s="5" t="n">
        <v>45846.0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42847922MDD3003</t>
        </is>
      </c>
    </row>
    <row r="573">
      <c r="A573" s="2" t="str">
        <f>HYPERLINK("https://vtmf.veevavault.com/ui/#doc_info/29117481/1/0", "42847922MDD3003---Meeting Material-08 May 2025 (v1.0)")</f>
        <v>42847922MDD3003---Meeting Material-08 May 2025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ECG Study Status Meeting Agenda/ Minutes General</t>
        </is>
      </c>
      <c r="F573" s="2" t="str">
        <f>HYPERLINK("https://vtmf.veevavault.com/ui/#doc_info/29117481/1/0", "VTMF-23398315")</f>
        <v>VTMF-23398315</v>
      </c>
      <c r="G573" s="3" t="inlineStr">
        <is>
          <t/>
        </is>
      </c>
      <c r="H573" s="3" t="inlineStr">
        <is>
          <t>Anthony Suarez (veeva.com)</t>
        </is>
      </c>
      <c r="I573" s="3" t="inlineStr">
        <is>
          <t>Gina Stefanelli</t>
        </is>
      </c>
      <c r="J573" s="4" t="n">
        <v>45791.718506944446</v>
      </c>
      <c r="K573" s="5" t="n">
        <v>45791.0</v>
      </c>
      <c r="L573" s="5" t="n">
        <v>45785.0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42847922MDD3003</t>
        </is>
      </c>
    </row>
    <row r="574">
      <c r="A574" s="2" t="str">
        <f>HYPERLINK("https://vtmf.veevavault.com/ui/#doc_info/31647718/1/0", "42847922MDD3003---Meeting Material-08 May 2026 (v1.0)")</f>
        <v>42847922MDD3003---Meeting Material-08 May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Clario ECG Meeting Minutes</t>
        </is>
      </c>
      <c r="F574" s="2" t="str">
        <f>HYPERLINK("https://vtmf.veevavault.com/ui/#doc_info/31647718/1/0", "VTMF-25543202")</f>
        <v>VTMF-25543202</v>
      </c>
      <c r="G574" s="3" t="inlineStr">
        <is>
          <t/>
        </is>
      </c>
      <c r="H574" s="3" t="inlineStr">
        <is>
          <t>System</t>
        </is>
      </c>
      <c r="I574" s="3" t="inlineStr">
        <is>
          <t>Debhora Garcia</t>
        </is>
      </c>
      <c r="J574" s="4" t="n">
        <v>46157.80278935185</v>
      </c>
      <c r="K574" s="5" t="n">
        <v>46157.0</v>
      </c>
      <c r="L574" s="5" t="n">
        <v>46150.0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42847922MDD3003</t>
        </is>
      </c>
    </row>
    <row r="575">
      <c r="A575" s="2" t="str">
        <f>HYPERLINK("https://vtmf.veevavault.com/ui/#doc_info/27488815/1/0", "42847922MDD3003---Meeting Material-08 Nov 2024 (v1.0)")</f>
        <v>42847922MDD3003---Meeting Material-08 Nov 2024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Cronos Data Monitoring Report</t>
        </is>
      </c>
      <c r="F575" s="2" t="str">
        <f>HYPERLINK("https://vtmf.veevavault.com/ui/#doc_info/27488815/1/0", "VTMF-22047095")</f>
        <v>VTMF-22047095</v>
      </c>
      <c r="G575" s="3" t="inlineStr">
        <is>
          <t/>
        </is>
      </c>
      <c r="H575" s="3" t="inlineStr">
        <is>
          <t>Anthony Suarez (veeva.com)</t>
        </is>
      </c>
      <c r="I575" s="3" t="inlineStr">
        <is>
          <t>Gina Stefanelli</t>
        </is>
      </c>
      <c r="J575" s="4" t="n">
        <v>45610.84957175926</v>
      </c>
      <c r="K575" s="5" t="n">
        <v>45610.0</v>
      </c>
      <c r="L575" s="5" t="n">
        <v>45604.0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42847922MDD3003</t>
        </is>
      </c>
    </row>
    <row r="576">
      <c r="A576" s="2" t="str">
        <f>HYPERLINK("https://vtmf.veevavault.com/ui/#doc_info/27218984/1/0", "42847922MDD3003---Meeting Material-08 Oct 2024 (v1.0)")</f>
        <v>42847922MDD3003---Meeting Material-08 Oct 2024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Labcorp Weekly Meeting_ADI Log</t>
        </is>
      </c>
      <c r="F576" s="2" t="str">
        <f>HYPERLINK("https://vtmf.veevavault.com/ui/#doc_info/27218984/1/0", "VTMF-21826928")</f>
        <v>VTMF-21826928</v>
      </c>
      <c r="G576" s="3" t="inlineStr">
        <is>
          <t/>
        </is>
      </c>
      <c r="H576" s="3" t="inlineStr">
        <is>
          <t>Anthony Suarez (veeva.com)</t>
        </is>
      </c>
      <c r="I576" s="3" t="inlineStr">
        <is>
          <t>Debhora Garcia</t>
        </is>
      </c>
      <c r="J576" s="4" t="n">
        <v>45573.84699074074</v>
      </c>
      <c r="K576" s="5" t="n">
        <v>45573.0</v>
      </c>
      <c r="L576" s="5" t="n">
        <v>45573.0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42847922MDD3003</t>
        </is>
      </c>
    </row>
    <row r="577">
      <c r="A577" s="2" t="str">
        <f>HYPERLINK("https://vtmf.veevavault.com/ui/#doc_info/30119809/1/0", "42847922MDD3003---Meeting Material-08 Oct 2025 (v1.0)")</f>
        <v>42847922MDD3003---Meeting Material-08 Oct 2025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Labcorp Weekly Meeting_ADI Log</t>
        </is>
      </c>
      <c r="F577" s="2" t="str">
        <f>HYPERLINK("https://vtmf.veevavault.com/ui/#doc_info/30119809/1/0", "VTMF-24246406")</f>
        <v>VTMF-24246406</v>
      </c>
      <c r="G577" s="3" t="inlineStr">
        <is>
          <t/>
        </is>
      </c>
      <c r="H577" s="3" t="inlineStr">
        <is>
          <t>System</t>
        </is>
      </c>
      <c r="I577" s="3" t="inlineStr">
        <is>
          <t>Debhora Garcia</t>
        </is>
      </c>
      <c r="J577" s="4" t="n">
        <v>45938.75189814815</v>
      </c>
      <c r="K577" s="5" t="n">
        <v>45938.0</v>
      </c>
      <c r="L577" s="5" t="n">
        <v>45938.0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42847922MDD3003</t>
        </is>
      </c>
    </row>
    <row r="578">
      <c r="A578" s="2" t="str">
        <f>HYPERLINK("https://vtmf.veevavault.com/ui/#doc_info/28347784/1/0", "42847922MDD3003---Meeting Material-09 Dec 2024 (v1.0)")</f>
        <v>42847922MDD3003---Meeting Material-09 Dec 2024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MGH CTNI- Bi-Weekly Call Minutes</t>
        </is>
      </c>
      <c r="F578" s="2" t="str">
        <f>HYPERLINK("https://vtmf.veevavault.com/ui/#doc_info/28347784/1/0", "VTMF-22744182")</f>
        <v>VTMF-22744182</v>
      </c>
      <c r="G578" s="3" t="inlineStr">
        <is>
          <t/>
        </is>
      </c>
      <c r="H578" s="3" t="inlineStr">
        <is>
          <t>Anthony Suarez (veeva.com)</t>
        </is>
      </c>
      <c r="I578" s="3" t="inlineStr">
        <is>
          <t>Gina Stefanelli</t>
        </is>
      </c>
      <c r="J578" s="4" t="n">
        <v>45709.56079861111</v>
      </c>
      <c r="K578" s="5" t="n">
        <v>45709.0</v>
      </c>
      <c r="L578" s="5" t="n">
        <v>45635.0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42847922MDD3003</t>
        </is>
      </c>
    </row>
    <row r="579">
      <c r="A579" s="2" t="str">
        <f>HYPERLINK("https://vtmf.veevavault.com/ui/#doc_info/26676680/1/0", "42847922MDD3003---Meeting Material-09 Jul 2024 (v1.0)")</f>
        <v>42847922MDD3003---Meeting Material-09 Jul 2024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LabCorp Weekly Meeting ADI Log</t>
        </is>
      </c>
      <c r="F579" s="2" t="str">
        <f>HYPERLINK("https://vtmf.veevavault.com/ui/#doc_info/26676680/1/0", "VTMF-21372035")</f>
        <v>VTMF-21372035</v>
      </c>
      <c r="G579" s="3" t="inlineStr">
        <is>
          <t/>
        </is>
      </c>
      <c r="H579" s="3" t="inlineStr">
        <is>
          <t>Anthony Suarez (veeva.com)</t>
        </is>
      </c>
      <c r="I579" s="3" t="inlineStr">
        <is>
          <t>Debhora Garcia</t>
        </is>
      </c>
      <c r="J579" s="4" t="n">
        <v>45482.828877314816</v>
      </c>
      <c r="K579" s="5" t="n">
        <v>45482.0</v>
      </c>
      <c r="L579" s="5" t="n">
        <v>45482.0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42847922MDD3003</t>
        </is>
      </c>
    </row>
    <row r="580">
      <c r="A580" s="2" t="str">
        <f>HYPERLINK("https://vtmf.veevavault.com/ui/#doc_info/29630957/1/0", "42847922MDD3003---Meeting Material-09 Jun 2025 (v1.0)")</f>
        <v>42847922MDD3003---Meeting Material-09 Jun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MGH CTNI Bi-Weekly Call Minutes</t>
        </is>
      </c>
      <c r="F580" s="2" t="str">
        <f>HYPERLINK("https://vtmf.veevavault.com/ui/#doc_info/29630957/1/0", "VTMF-23837099")</f>
        <v>VTMF-23837099</v>
      </c>
      <c r="G580" s="3" t="inlineStr">
        <is>
          <t/>
        </is>
      </c>
      <c r="H580" s="3" t="inlineStr">
        <is>
          <t>Gina Stefanelli</t>
        </is>
      </c>
      <c r="I580" s="3" t="inlineStr">
        <is>
          <t>Gina Stefanelli</t>
        </is>
      </c>
      <c r="J580" s="4" t="n">
        <v>45863.606724537036</v>
      </c>
      <c r="K580" s="5" t="n">
        <v>45863.0</v>
      </c>
      <c r="L580" s="5" t="n">
        <v>45817.0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42847922MDD3003</t>
        </is>
      </c>
    </row>
    <row r="581">
      <c r="A581" s="2" t="str">
        <f>HYPERLINK("https://vtmf.veevavault.com/ui/#doc_info/31141168/1/0", "42847922MDD3003---Meeting Material-09 Mar 2026 (v1.0)")</f>
        <v>42847922MDD3003---Meeting Material-09 Mar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Maintenance_Project_Management_Tracker.</t>
        </is>
      </c>
      <c r="F581" s="2" t="str">
        <f>HYPERLINK("https://vtmf.veevavault.com/ui/#doc_info/31141168/1/0", "VTMF-25108130")</f>
        <v>VTMF-25108130</v>
      </c>
      <c r="G581" s="3" t="inlineStr">
        <is>
          <t/>
        </is>
      </c>
      <c r="H581" s="3" t="inlineStr">
        <is>
          <t>System</t>
        </is>
      </c>
      <c r="I581" s="3" t="inlineStr">
        <is>
          <t>Gina Stefanelli</t>
        </is>
      </c>
      <c r="J581" s="4" t="n">
        <v>46090.737291666665</v>
      </c>
      <c r="K581" s="5" t="n">
        <v>46090.0</v>
      </c>
      <c r="L581" s="5" t="n">
        <v>46090.0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42847922MDD3003</t>
        </is>
      </c>
    </row>
    <row r="582">
      <c r="A582" s="2" t="str">
        <f>HYPERLINK("https://vtmf.veevavault.com/ui/#doc_info/31202213/1/0", "42847922MDD3003---Meeting Material-09 Mar 2026 (v1.0)")</f>
        <v>42847922MDD3003---Meeting Material-09 Mar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Clario ECG Study Status Meeting Agenda/ Minutes General</t>
        </is>
      </c>
      <c r="F582" s="2" t="str">
        <f>HYPERLINK("https://vtmf.veevavault.com/ui/#doc_info/31202213/1/0", "VTMF-25159558")</f>
        <v>VTMF-25159558</v>
      </c>
      <c r="G582" s="3" t="inlineStr">
        <is>
          <t/>
        </is>
      </c>
      <c r="H582" s="3" t="inlineStr">
        <is>
          <t>System</t>
        </is>
      </c>
      <c r="I582" s="3" t="inlineStr">
        <is>
          <t>Kristina Ruzinska</t>
        </is>
      </c>
      <c r="J582" s="4" t="n">
        <v>46099.400358796294</v>
      </c>
      <c r="K582" s="5" t="n">
        <v>46099.0</v>
      </c>
      <c r="L582" s="5" t="n">
        <v>46090.0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42847922MDD3003</t>
        </is>
      </c>
    </row>
    <row r="583">
      <c r="A583" s="2" t="str">
        <f>HYPERLINK("https://vtmf.veevavault.com/ui/#doc_info/29117638/1/0", "42847922MDD3003---Meeting Material-09 May 2025 (v1.0)")</f>
        <v>42847922MDD3003---Meeting Material-09 May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Cronos Operations Meeting Minutes Actions Log</t>
        </is>
      </c>
      <c r="F583" s="2" t="str">
        <f>HYPERLINK("https://vtmf.veevavault.com/ui/#doc_info/29117638/1/0", "VTMF-23398426")</f>
        <v>VTMF-23398426</v>
      </c>
      <c r="G583" s="3" t="inlineStr">
        <is>
          <t/>
        </is>
      </c>
      <c r="H583" s="3" t="inlineStr">
        <is>
          <t>Anthony Suarez (veeva.com)</t>
        </is>
      </c>
      <c r="I583" s="3" t="inlineStr">
        <is>
          <t>Gina Stefanelli</t>
        </is>
      </c>
      <c r="J583" s="4" t="n">
        <v>45791.72851851852</v>
      </c>
      <c r="K583" s="5" t="n">
        <v>45791.0</v>
      </c>
      <c r="L583" s="5" t="n">
        <v>45786.0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42847922MDD3003</t>
        </is>
      </c>
    </row>
    <row r="584">
      <c r="A584" s="2" t="str">
        <f>HYPERLINK("https://vtmf.veevavault.com/ui/#doc_info/27035401/1/0", "42847922MDD3003---Meeting Material-09 Sep 2024 (v1.0)")</f>
        <v>42847922MDD3003---Meeting Material-09 Sep 2024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Cronos Operations Meeting Minutes Actions Log</t>
        </is>
      </c>
      <c r="F584" s="2" t="str">
        <f>HYPERLINK("https://vtmf.veevavault.com/ui/#doc_info/27035401/1/0", "VTMF-21674971")</f>
        <v>VTMF-21674971</v>
      </c>
      <c r="G584" s="3" t="inlineStr">
        <is>
          <t/>
        </is>
      </c>
      <c r="H584" s="3" t="inlineStr">
        <is>
          <t>Anthony Suarez (veeva.com)</t>
        </is>
      </c>
      <c r="I584" s="3" t="inlineStr">
        <is>
          <t>Gina Stefanelli</t>
        </is>
      </c>
      <c r="J584" s="4" t="n">
        <v>45544.59805555556</v>
      </c>
      <c r="K584" s="5" t="n">
        <v>45544.0</v>
      </c>
      <c r="L584" s="5" t="n">
        <v>45544.0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42847922MDD3003</t>
        </is>
      </c>
    </row>
    <row r="585">
      <c r="A585" s="2" t="str">
        <f>HYPERLINK("https://vtmf.veevavault.com/ui/#doc_info/27461858/1/0", "42847922MDD3003---Meeting Material-09 Sep 2024 (v1.0)")</f>
        <v>42847922MDD3003---Meeting Material-09 Sep 2024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4G IRT _Maintenance_Project_Management_Tracker</t>
        </is>
      </c>
      <c r="F585" s="2" t="str">
        <f>HYPERLINK("https://vtmf.veevavault.com/ui/#doc_info/27461858/1/0", "VTMF-22024483")</f>
        <v>VTMF-22024483</v>
      </c>
      <c r="G585" s="3" t="inlineStr">
        <is>
          <t/>
        </is>
      </c>
      <c r="H585" s="3" t="inlineStr">
        <is>
          <t>Anthony Suarez (veeva.com)</t>
        </is>
      </c>
      <c r="I585" s="3" t="inlineStr">
        <is>
          <t>Gina Stefanelli</t>
        </is>
      </c>
      <c r="J585" s="4" t="n">
        <v>45607.72309027778</v>
      </c>
      <c r="K585" s="5" t="n">
        <v>45607.0</v>
      </c>
      <c r="L585" s="5" t="n">
        <v>45544.0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42847922MDD3003</t>
        </is>
      </c>
    </row>
    <row r="586">
      <c r="A586" s="2" t="str">
        <f>HYPERLINK("https://vtmf.veevavault.com/ui/#doc_info/30136965/1/0", "42847922MDD3003---Meeting Material-10 Apr 2025 (v1.0)")</f>
        <v>42847922MDD3003---Meeting Material-10 Apr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11162 Sleep disturbance in MDD - Minutes &amp; actions from meeting on 10th Apr</t>
        </is>
      </c>
      <c r="F586" s="2" t="str">
        <f>HYPERLINK("https://vtmf.veevavault.com/ui/#doc_info/30136965/1/0", "VTMF-24261371")</f>
        <v>VTMF-24261371</v>
      </c>
      <c r="G586" s="3" t="inlineStr">
        <is>
          <t/>
        </is>
      </c>
      <c r="H586" s="3" t="inlineStr">
        <is>
          <t>System</t>
        </is>
      </c>
      <c r="I586" s="3" t="inlineStr">
        <is>
          <t>Debhora Garcia</t>
        </is>
      </c>
      <c r="J586" s="4" t="n">
        <v>45940.879282407404</v>
      </c>
      <c r="K586" s="5" t="n">
        <v>45940.0</v>
      </c>
      <c r="L586" s="5" t="n">
        <v>45757.0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42847922MDD3003</t>
        </is>
      </c>
    </row>
    <row r="587">
      <c r="A587" s="2" t="str">
        <f>HYPERLINK("https://vtmf.veevavault.com/ui/#doc_info/27838094/1/0", "42847922MDD3003---Meeting Material-10 Dec 2024 (v1.0)")</f>
        <v>42847922MDD3003---Meeting Material-10 Dec 2024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Labcorp Weekly Meeting_ADI log</t>
        </is>
      </c>
      <c r="F587" s="2" t="str">
        <f>HYPERLINK("https://vtmf.veevavault.com/ui/#doc_info/27838094/1/0", "VTMF-22321815")</f>
        <v>VTMF-22321815</v>
      </c>
      <c r="G587" s="3" t="inlineStr">
        <is>
          <t/>
        </is>
      </c>
      <c r="H587" s="3" t="inlineStr">
        <is>
          <t>Gina Stefanelli</t>
        </is>
      </c>
      <c r="I587" s="3" t="inlineStr">
        <is>
          <t>Debhora Garcia</t>
        </is>
      </c>
      <c r="J587" s="4" t="n">
        <v>45636.66091435185</v>
      </c>
      <c r="K587" s="5" t="n">
        <v>45636.0</v>
      </c>
      <c r="L587" s="5" t="n">
        <v>45636.0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42847922MDD3003</t>
        </is>
      </c>
    </row>
    <row r="588">
      <c r="A588" s="2" t="str">
        <f>HYPERLINK("https://vtmf.veevavault.com/ui/#doc_info/27840694/1/0", "42847922MDD3003---Meeting Material-10 Dec 2024 (v1.0)")</f>
        <v>42847922MDD3003---Meeting Material-10 Dec 2024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Labcorp Weekly Meeting ADI Log</t>
        </is>
      </c>
      <c r="F588" s="2" t="str">
        <f>HYPERLINK("https://vtmf.veevavault.com/ui/#doc_info/27840694/1/0", "VTMF-22323983")</f>
        <v>VTMF-22323983</v>
      </c>
      <c r="G588" s="3" t="inlineStr">
        <is>
          <t/>
        </is>
      </c>
      <c r="H588" s="3" t="inlineStr">
        <is>
          <t>Gina Stefanelli</t>
        </is>
      </c>
      <c r="I588" s="3" t="inlineStr">
        <is>
          <t>Gina Stefanelli</t>
        </is>
      </c>
      <c r="J588" s="4" t="n">
        <v>45636.907164351855</v>
      </c>
      <c r="K588" s="5" t="n">
        <v>45636.0</v>
      </c>
      <c r="L588" s="5" t="n">
        <v>45636.0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42847922MDD3003</t>
        </is>
      </c>
    </row>
    <row r="589">
      <c r="A589" s="2" t="str">
        <f>HYPERLINK("https://vtmf.veevavault.com/ui/#doc_info/27925175/1/0", "42847922MDD3003---Meeting Material-10 Dec 2024 (v1.0)")</f>
        <v>42847922MDD3003---Meeting Material-10 Dec 2024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4G IRT Inbound EDC Data Processing Error follow up</t>
        </is>
      </c>
      <c r="F589" s="2" t="str">
        <f>HYPERLINK("https://vtmf.veevavault.com/ui/#doc_info/27925175/1/0", "VTMF-22389152")</f>
        <v>VTMF-22389152</v>
      </c>
      <c r="G589" s="3" t="inlineStr">
        <is>
          <t/>
        </is>
      </c>
      <c r="H589" s="3" t="inlineStr">
        <is>
          <t>Anthony Suarez (veeva.com)</t>
        </is>
      </c>
      <c r="I589" s="3" t="inlineStr">
        <is>
          <t>Gina Stefanelli</t>
        </is>
      </c>
      <c r="J589" s="4" t="n">
        <v>45643.697592592594</v>
      </c>
      <c r="K589" s="5" t="n">
        <v>45643.0</v>
      </c>
      <c r="L589" s="5" t="n">
        <v>45636.0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42847922MDD3003</t>
        </is>
      </c>
    </row>
    <row r="590">
      <c r="A590" s="2" t="str">
        <f>HYPERLINK("https://vtmf.veevavault.com/ui/#doc_info/28274100/1/0", "42847922MDD3003---Meeting Material-10 Feb 2025 (v1.0)")</f>
        <v>42847922MDD3003---Meeting Material-10 Feb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4G IRT Maintenance_Project_Management_Tracker</t>
        </is>
      </c>
      <c r="F590" s="2" t="str">
        <f>HYPERLINK("https://vtmf.veevavault.com/ui/#doc_info/28274100/1/0", "VTMF-22680168")</f>
        <v>VTMF-22680168</v>
      </c>
      <c r="G590" s="3" t="inlineStr">
        <is>
          <t/>
        </is>
      </c>
      <c r="H590" s="3" t="inlineStr">
        <is>
          <t>Anthony Suarez (veeva.com)</t>
        </is>
      </c>
      <c r="I590" s="3" t="inlineStr">
        <is>
          <t>Gina Stefanelli</t>
        </is>
      </c>
      <c r="J590" s="4" t="n">
        <v>45699.67265046296</v>
      </c>
      <c r="K590" s="5" t="n">
        <v>45699.0</v>
      </c>
      <c r="L590" s="5" t="n">
        <v>45698.0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42847922MDD3003</t>
        </is>
      </c>
    </row>
    <row r="591">
      <c r="A591" s="2" t="str">
        <f>HYPERLINK("https://vtmf.veevavault.com/ui/#doc_info/30969303/1/0", "42847922MDD3003---Meeting Material-10 Feb 2026 (v1.0)")</f>
        <v>42847922MDD3003---Meeting Material-10 Feb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4G IRT Maintenance_Project_Management</t>
        </is>
      </c>
      <c r="F591" s="2" t="str">
        <f>HYPERLINK("https://vtmf.veevavault.com/ui/#doc_info/30969303/1/0", "VTMF-24962654")</f>
        <v>VTMF-24962654</v>
      </c>
      <c r="G591" s="3" t="inlineStr">
        <is>
          <t/>
        </is>
      </c>
      <c r="H591" s="3" t="inlineStr">
        <is>
          <t>System</t>
        </is>
      </c>
      <c r="I591" s="3" t="inlineStr">
        <is>
          <t>Gina Stefanelli</t>
        </is>
      </c>
      <c r="J591" s="4" t="n">
        <v>46064.716527777775</v>
      </c>
      <c r="K591" s="5" t="n">
        <v>46064.0</v>
      </c>
      <c r="L591" s="5" t="n">
        <v>46063.0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42847922MDD3003</t>
        </is>
      </c>
    </row>
    <row r="592">
      <c r="A592" s="2" t="str">
        <f>HYPERLINK("https://vtmf.veevavault.com/ui/#doc_info/31214852/1/0", "42847922MDD3003---Meeting Material-10 Feb 2026 (v1.0)")</f>
        <v>42847922MDD3003---Meeting Material-10 Feb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LabCorp Weekly Meeting ADI Log</t>
        </is>
      </c>
      <c r="F592" s="2" t="str">
        <f>HYPERLINK("https://vtmf.veevavault.com/ui/#doc_info/31214852/1/0", "VTMF-25170020")</f>
        <v>VTMF-25170020</v>
      </c>
      <c r="G592" s="3" t="inlineStr">
        <is>
          <t/>
        </is>
      </c>
      <c r="H592" s="3" t="inlineStr">
        <is>
          <t>System</t>
        </is>
      </c>
      <c r="I592" s="3" t="inlineStr">
        <is>
          <t>Debhora Garcia</t>
        </is>
      </c>
      <c r="J592" s="4" t="n">
        <v>46100.83143518519</v>
      </c>
      <c r="K592" s="5" t="n">
        <v>46100.0</v>
      </c>
      <c r="L592" s="5" t="n">
        <v>46063.0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42847922MDD3003</t>
        </is>
      </c>
    </row>
    <row r="593">
      <c r="A593" s="2" t="str">
        <f>HYPERLINK("https://vtmf.veevavault.com/ui/#doc_info/28636129/1/0", "42847922MDD3003---Meeting Material-10 Mar 2025 (v1.0)")</f>
        <v>42847922MDD3003---Meeting Material-10 Mar 2025 (v1.0)</v>
      </c>
      <c r="B593" s="3" t="inlineStr">
        <is>
          <t>Third Parties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4G IRT Maintenance_Project_Management_Tracker</t>
        </is>
      </c>
      <c r="F593" s="2" t="str">
        <f>HYPERLINK("https://vtmf.veevavault.com/ui/#doc_info/28636129/1/0", "VTMF-23001793")</f>
        <v>VTMF-23001793</v>
      </c>
      <c r="G593" s="3" t="inlineStr">
        <is>
          <t/>
        </is>
      </c>
      <c r="H593" s="3" t="inlineStr">
        <is>
          <t>Anthony Suarez (veeva.com)</t>
        </is>
      </c>
      <c r="I593" s="3" t="inlineStr">
        <is>
          <t>Gina Stefanelli</t>
        </is>
      </c>
      <c r="J593" s="4" t="n">
        <v>45726.69349537037</v>
      </c>
      <c r="K593" s="5" t="n">
        <v>45726.0</v>
      </c>
      <c r="L593" s="5" t="n">
        <v>45726.0</v>
      </c>
      <c r="M593" s="3" t="inlineStr">
        <is>
          <t>Approved</t>
        </is>
      </c>
      <c r="N593" s="3" t="inlineStr">
        <is>
          <t>Study Close</t>
        </is>
      </c>
      <c r="O593" s="3" t="inlineStr">
        <is>
          <t>42847922MDD3003</t>
        </is>
      </c>
    </row>
    <row r="594">
      <c r="A594" s="2" t="str">
        <f>HYPERLINK("https://vtmf.veevavault.com/ui/#doc_info/28638382/1/0", "42847922MDD3003---Meeting Material-10 Mar 2025 (v1.0)")</f>
        <v>42847922MDD3003---Meeting Material-10 Mar 2025 (v1.0)</v>
      </c>
      <c r="B594" s="3" t="inlineStr">
        <is>
          <t>Third Parties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Cronos Monthly OPS Meeting - Actions Log and Data Monitoring Report</t>
        </is>
      </c>
      <c r="F594" s="2" t="str">
        <f>HYPERLINK("https://vtmf.veevavault.com/ui/#doc_info/28638382/1/0", "VTMF-23003942")</f>
        <v>VTMF-23003942</v>
      </c>
      <c r="G594" s="3" t="inlineStr">
        <is>
          <t/>
        </is>
      </c>
      <c r="H594" s="3" t="inlineStr">
        <is>
          <t>Anthony Suarez (veeva.com)</t>
        </is>
      </c>
      <c r="I594" s="3" t="inlineStr">
        <is>
          <t>Gina Stefanelli</t>
        </is>
      </c>
      <c r="J594" s="4" t="n">
        <v>45726.98335648148</v>
      </c>
      <c r="K594" s="5" t="n">
        <v>45726.0</v>
      </c>
      <c r="L594" s="5" t="n">
        <v>45726.0</v>
      </c>
      <c r="M594" s="3" t="inlineStr">
        <is>
          <t>Approved</t>
        </is>
      </c>
      <c r="N594" s="3" t="inlineStr">
        <is>
          <t>Study Close</t>
        </is>
      </c>
      <c r="O594" s="3" t="inlineStr">
        <is>
          <t>42847922MDD3003</t>
        </is>
      </c>
    </row>
    <row r="595">
      <c r="A595" s="2" t="str">
        <f>HYPERLINK("https://vtmf.veevavault.com/ui/#doc_info/31214878/1/0", "42847922MDD3003---Meeting Material-10 Mar 2026 (v1.0)")</f>
        <v>42847922MDD3003---Meeting Material-10 Mar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LabCorp Weekly Meeting ADI Log</t>
        </is>
      </c>
      <c r="F595" s="2" t="str">
        <f>HYPERLINK("https://vtmf.veevavault.com/ui/#doc_info/31214878/1/0", "VTMF-25170068")</f>
        <v>VTMF-25170068</v>
      </c>
      <c r="G595" s="3" t="inlineStr">
        <is>
          <t/>
        </is>
      </c>
      <c r="H595" s="3" t="inlineStr">
        <is>
          <t>System</t>
        </is>
      </c>
      <c r="I595" s="3" t="inlineStr">
        <is>
          <t>Debhora Garcia</t>
        </is>
      </c>
      <c r="J595" s="4" t="n">
        <v>46100.83614583333</v>
      </c>
      <c r="K595" s="5" t="n">
        <v>46100.0</v>
      </c>
      <c r="L595" s="5" t="n">
        <v>46091.0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42847922MDD3003</t>
        </is>
      </c>
    </row>
    <row r="596">
      <c r="A596" s="2" t="str">
        <f>HYPERLINK("https://vtmf.veevavault.com/ui/#doc_info/26115961/1/0", "42847922MDD3003---Meeting Material-11 Apr 2024 (v1.0)")</f>
        <v>42847922MDD3003---Meeting Material-11 Apr 2024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Labcorp Weekly Meeting_ADI Log</t>
        </is>
      </c>
      <c r="F596" s="2" t="str">
        <f>HYPERLINK("https://vtmf.veevavault.com/ui/#doc_info/26115961/1/0", "VTMF-20882409")</f>
        <v>VTMF-20882409</v>
      </c>
      <c r="G596" s="3" t="inlineStr">
        <is>
          <t/>
        </is>
      </c>
      <c r="H596" s="3" t="inlineStr">
        <is>
          <t>Anthony Suarez (veeva.com)</t>
        </is>
      </c>
      <c r="I596" s="3" t="inlineStr">
        <is>
          <t>Arturo Munguia</t>
        </is>
      </c>
      <c r="J596" s="4" t="n">
        <v>45394.005590277775</v>
      </c>
      <c r="K596" s="5" t="n">
        <v>45394.0</v>
      </c>
      <c r="L596" s="5" t="n">
        <v>45393.0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42847922MDD3003</t>
        </is>
      </c>
    </row>
    <row r="597">
      <c r="A597" s="2" t="str">
        <f>HYPERLINK("https://vtmf.veevavault.com/ui/#doc_info/29829724/1/0", "42847922MDD3003---Meeting Material-11 Aug 2025 (v1.0)")</f>
        <v>42847922MDD3003---Meeting Material-11 Aug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4G IRT_Maintenance_Project_Management_Tracker</t>
        </is>
      </c>
      <c r="F597" s="2" t="str">
        <f>HYPERLINK("https://vtmf.veevavault.com/ui/#doc_info/29829724/1/0", "VTMF-24006945")</f>
        <v>VTMF-24006945</v>
      </c>
      <c r="G597" s="3" t="inlineStr">
        <is>
          <t/>
        </is>
      </c>
      <c r="H597" s="3" t="inlineStr">
        <is>
          <t>System</t>
        </is>
      </c>
      <c r="I597" s="3" t="inlineStr">
        <is>
          <t>Gina Stefanelli</t>
        </is>
      </c>
      <c r="J597" s="4" t="n">
        <v>45895.53939814815</v>
      </c>
      <c r="K597" s="5" t="n">
        <v>45895.0</v>
      </c>
      <c r="L597" s="5" t="n">
        <v>45880.0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42847922MDD3003</t>
        </is>
      </c>
    </row>
    <row r="598">
      <c r="A598" s="2" t="str">
        <f>HYPERLINK("https://vtmf.veevavault.com/ui/#doc_info/27858559/2/0", "42847922MDD3003---Meeting Material-11 Dec 2024 (v2.0)")</f>
        <v>42847922MDD3003---Meeting Material-11 Dec 2024 (v2.0)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Beacon DREEM Kick Off Meeting Deck and Minutes</t>
        </is>
      </c>
      <c r="F598" s="2" t="str">
        <f>HYPERLINK("https://vtmf.veevavault.com/ui/#doc_info/27858559/2/0", "VTMF-22339882")</f>
        <v>VTMF-22339882</v>
      </c>
      <c r="G598" s="3" t="inlineStr">
        <is>
          <t/>
        </is>
      </c>
      <c r="H598" s="3" t="inlineStr">
        <is>
          <t>Anthony Suarez (veeva.com)</t>
        </is>
      </c>
      <c r="I598" s="3" t="inlineStr">
        <is>
          <t>Charles Hayes</t>
        </is>
      </c>
      <c r="J598" s="4" t="n">
        <v>45638.82763888889</v>
      </c>
      <c r="K598" s="5" t="n">
        <v>45638.0</v>
      </c>
      <c r="L598" s="5" t="n">
        <v>45637.0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42847922MDD3003</t>
        </is>
      </c>
    </row>
    <row r="599">
      <c r="A599" s="2" t="str">
        <f>HYPERLINK("https://vtmf.veevavault.com/ui/#doc_info/26499806/1/0", "42847922MDD3003---Meeting Material-11 Jun 2024 (v1.0)")</f>
        <v>42847922MDD3003---Meeting Material-11 Jun 2024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LabCorp Weekly Meeting ADI Log</t>
        </is>
      </c>
      <c r="F599" s="2" t="str">
        <f>HYPERLINK("https://vtmf.veevavault.com/ui/#doc_info/26499806/1/0", "VTMF-21217671")</f>
        <v>VTMF-21217671</v>
      </c>
      <c r="G599" s="3" t="inlineStr">
        <is>
          <t/>
        </is>
      </c>
      <c r="H599" s="3" t="inlineStr">
        <is>
          <t>Anthony Suarez (veeva.com)</t>
        </is>
      </c>
      <c r="I599" s="3" t="inlineStr">
        <is>
          <t>Jamie Hardy</t>
        </is>
      </c>
      <c r="J599" s="4" t="n">
        <v>45454.62923611111</v>
      </c>
      <c r="K599" s="5" t="n">
        <v>45454.0</v>
      </c>
      <c r="L599" s="5" t="n">
        <v>45454.0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42847922MDD3003</t>
        </is>
      </c>
    </row>
    <row r="600">
      <c r="A600" s="2" t="str">
        <f>HYPERLINK("https://vtmf.veevavault.com/ui/#doc_info/31199532/1/0", "42847922MDD3003---Meeting Material-11 Mar 2026 (v1.0)")</f>
        <v>42847922MDD3003---Meeting Material-11 Mar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Sleep Disturbance Trial Interviews- Project Update</t>
        </is>
      </c>
      <c r="F600" s="2" t="str">
        <f>HYPERLINK("https://vtmf.veevavault.com/ui/#doc_info/31199532/1/0", "VTMF-25157215")</f>
        <v>VTMF-25157215</v>
      </c>
      <c r="G600" s="3" t="inlineStr">
        <is>
          <t/>
        </is>
      </c>
      <c r="H600" s="3" t="inlineStr">
        <is>
          <t>System</t>
        </is>
      </c>
      <c r="I600" s="3" t="inlineStr">
        <is>
          <t>Debhora Garcia</t>
        </is>
      </c>
      <c r="J600" s="4" t="n">
        <v>46098.963692129626</v>
      </c>
      <c r="K600" s="5" t="n">
        <v>46099.0</v>
      </c>
      <c r="L600" s="5" t="n">
        <v>46092.0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42847922MDD3003</t>
        </is>
      </c>
    </row>
    <row r="601">
      <c r="A601" s="2" t="str">
        <f>HYPERLINK("https://vtmf.veevavault.com/ui/#doc_info/27461801/1/0", "42847922MDD3003---Meeting Material-11 Nov 2024 (v1.0)")</f>
        <v>42847922MDD3003---Meeting Material-11 Nov 2024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MGH CTNI Bi-Weekly Call Agenda</t>
        </is>
      </c>
      <c r="F601" s="2" t="str">
        <f>HYPERLINK("https://vtmf.veevavault.com/ui/#doc_info/27461801/1/0", "VTMF-22024397")</f>
        <v>VTMF-22024397</v>
      </c>
      <c r="G601" s="3" t="inlineStr">
        <is>
          <t/>
        </is>
      </c>
      <c r="H601" s="3" t="inlineStr">
        <is>
          <t>Anthony Suarez (veeva.com)</t>
        </is>
      </c>
      <c r="I601" s="3" t="inlineStr">
        <is>
          <t>Gina Stefanelli</t>
        </is>
      </c>
      <c r="J601" s="4" t="n">
        <v>45607.71362268519</v>
      </c>
      <c r="K601" s="5" t="n">
        <v>45607.0</v>
      </c>
      <c r="L601" s="5" t="n">
        <v>45607.0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42847922MDD3003</t>
        </is>
      </c>
    </row>
    <row r="602">
      <c r="A602" s="2" t="str">
        <f>HYPERLINK("https://vtmf.veevavault.com/ui/#doc_info/27488809/1/0", "42847922MDD3003---Meeting Material-11 Nov 2024 (v1.0)")</f>
        <v>42847922MDD3003---Meeting Material-11 Nov 2024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Cronos Operations Meeting Minutes Actions Log</t>
        </is>
      </c>
      <c r="F602" s="2" t="str">
        <f>HYPERLINK("https://vtmf.veevavault.com/ui/#doc_info/27488809/1/0", "VTMF-22047085")</f>
        <v>VTMF-22047085</v>
      </c>
      <c r="G602" s="3" t="inlineStr">
        <is>
          <t/>
        </is>
      </c>
      <c r="H602" s="3" t="inlineStr">
        <is>
          <t>Anthony Suarez (veeva.com)</t>
        </is>
      </c>
      <c r="I602" s="3" t="inlineStr">
        <is>
          <t>Gina Stefanelli</t>
        </is>
      </c>
      <c r="J602" s="4" t="n">
        <v>45610.84850694444</v>
      </c>
      <c r="K602" s="5" t="n">
        <v>45610.0</v>
      </c>
      <c r="L602" s="5" t="n">
        <v>45607.0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42847922MDD3003</t>
        </is>
      </c>
    </row>
    <row r="603">
      <c r="A603" s="2" t="str">
        <f>HYPERLINK("https://vtmf.veevavault.com/ui/#doc_info/30390013/1/0", "42847922MDD3003---Meeting Material-11 Nov 2025 (v1.0)")</f>
        <v>42847922MDD3003---Meeting Material-11 Nov 2025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Clario ECG Study Status Meeting Agenda/ Minutes General</t>
        </is>
      </c>
      <c r="F603" s="2" t="str">
        <f>HYPERLINK("https://vtmf.veevavault.com/ui/#doc_info/30390013/1/0", "VTMF-24478205")</f>
        <v>VTMF-24478205</v>
      </c>
      <c r="G603" s="3" t="inlineStr">
        <is>
          <t/>
        </is>
      </c>
      <c r="H603" s="3" t="inlineStr">
        <is>
          <t>System</t>
        </is>
      </c>
      <c r="I603" s="3" t="inlineStr">
        <is>
          <t>Debhora Garcia</t>
        </is>
      </c>
      <c r="J603" s="4" t="n">
        <v>45975.993993055556</v>
      </c>
      <c r="K603" s="5" t="n">
        <v>45975.0</v>
      </c>
      <c r="L603" s="5" t="n">
        <v>45972.0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42847922MDD3003</t>
        </is>
      </c>
    </row>
    <row r="604">
      <c r="A604" s="2" t="str">
        <f>HYPERLINK("https://vtmf.veevavault.com/ui/#doc_info/27251591/1/0", "42847922MDD3003---Meeting Material-11 Oct 2024 (v1.0)")</f>
        <v>42847922MDD3003---Meeting Material-11 Oct 2024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Cronos Meeting Minutes Actions Log</t>
        </is>
      </c>
      <c r="F604" s="2" t="str">
        <f>HYPERLINK("https://vtmf.veevavault.com/ui/#doc_info/27251591/1/0", "VTMF-21855214")</f>
        <v>VTMF-21855214</v>
      </c>
      <c r="G604" s="3" t="inlineStr">
        <is>
          <t/>
        </is>
      </c>
      <c r="H604" s="3" t="inlineStr">
        <is>
          <t>Anthony Suarez (veeva.com)</t>
        </is>
      </c>
      <c r="I604" s="3" t="inlineStr">
        <is>
          <t>Gina Stefanelli</t>
        </is>
      </c>
      <c r="J604" s="4" t="n">
        <v>45579.72519675926</v>
      </c>
      <c r="K604" s="5" t="n">
        <v>45581.0</v>
      </c>
      <c r="L604" s="5" t="n">
        <v>45576.0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42847922MDD3003</t>
        </is>
      </c>
    </row>
    <row r="605">
      <c r="A605" s="2" t="str">
        <f>HYPERLINK("https://vtmf.veevavault.com/ui/#doc_info/26900926/1/0", "42847922MDD3003---Meeting Material-12 Aug 2024 (v1.0)")</f>
        <v>42847922MDD3003---Meeting Material-12 Aug 2024 (v1.0)</v>
      </c>
      <c r="B605" s="3" t="inlineStr">
        <is>
          <t>Third Parties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4G IRT_Maintenance_Project_Management_Tracker</t>
        </is>
      </c>
      <c r="F605" s="2" t="str">
        <f>HYPERLINK("https://vtmf.veevavault.com/ui/#doc_info/26900926/1/0", "VTMF-21563455")</f>
        <v>VTMF-21563455</v>
      </c>
      <c r="G605" s="3" t="inlineStr">
        <is>
          <t/>
        </is>
      </c>
      <c r="H605" s="3" t="inlineStr">
        <is>
          <t>Anthony Suarez (veeva.com)</t>
        </is>
      </c>
      <c r="I605" s="3" t="inlineStr">
        <is>
          <t>Debhora Garcia</t>
        </is>
      </c>
      <c r="J605" s="4" t="n">
        <v>45520.20741898148</v>
      </c>
      <c r="K605" s="5" t="n">
        <v>45520.0</v>
      </c>
      <c r="L605" s="5" t="n">
        <v>45516.0</v>
      </c>
      <c r="M605" s="3" t="inlineStr">
        <is>
          <t>Approved</t>
        </is>
      </c>
      <c r="N605" s="3" t="inlineStr">
        <is>
          <t>Study Close</t>
        </is>
      </c>
      <c r="O605" s="3" t="inlineStr">
        <is>
          <t>42847922MDD3003</t>
        </is>
      </c>
    </row>
    <row r="606">
      <c r="A606" s="2" t="str">
        <f>HYPERLINK("https://vtmf.veevavault.com/ui/#doc_info/29759950/1/0", "42847922MDD3003---Meeting Material-12 Aug 2025 (v1.0)")</f>
        <v>42847922MDD3003---Meeting Material-12 Aug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Labcorp Weekly Meeting_ADI log</t>
        </is>
      </c>
      <c r="F606" s="2" t="str">
        <f>HYPERLINK("https://vtmf.veevavault.com/ui/#doc_info/29759950/1/0", "VTMF-23947069")</f>
        <v>VTMF-23947069</v>
      </c>
      <c r="G606" s="3" t="inlineStr">
        <is>
          <t/>
        </is>
      </c>
      <c r="H606" s="3" t="inlineStr">
        <is>
          <t>System</t>
        </is>
      </c>
      <c r="I606" s="3" t="inlineStr">
        <is>
          <t>Debhora Garcia</t>
        </is>
      </c>
      <c r="J606" s="4" t="n">
        <v>45882.87405092592</v>
      </c>
      <c r="K606" s="5" t="n">
        <v>45882.0</v>
      </c>
      <c r="L606" s="5" t="n">
        <v>45881.0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42847922MDD3003</t>
        </is>
      </c>
    </row>
    <row r="607">
      <c r="A607" s="2" t="str">
        <f>HYPERLINK("https://vtmf.veevavault.com/ui/#doc_info/25726426/1/0", "42847922MDD3003---Meeting Material-12 Feb 2024 (v1.0)")</f>
        <v>42847922MDD3003---Meeting Material-12 Feb 2024 (v1.0)</v>
      </c>
      <c r="B607" s="3" t="inlineStr">
        <is>
          <t>Data Management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Data_Management_KOM_12FEB2024</t>
        </is>
      </c>
      <c r="F607" s="2" t="str">
        <f>HYPERLINK("https://vtmf.veevavault.com/ui/#doc_info/25726426/1/0", "VTMF-20538342")</f>
        <v>VTMF-20538342</v>
      </c>
      <c r="G607" s="3" t="inlineStr">
        <is>
          <t/>
        </is>
      </c>
      <c r="H607" s="3" t="inlineStr">
        <is>
          <t>Anthony Suarez (veeva.com)</t>
        </is>
      </c>
      <c r="I607" s="3" t="inlineStr">
        <is>
          <t>CHRISTOPHER MARK</t>
        </is>
      </c>
      <c r="J607" s="4" t="n">
        <v>45337.80252314815</v>
      </c>
      <c r="K607" s="5" t="n">
        <v>45337.0</v>
      </c>
      <c r="L607" s="5" t="n">
        <v>45334.0</v>
      </c>
      <c r="M607" s="3" t="inlineStr">
        <is>
          <t>Approved</t>
        </is>
      </c>
      <c r="N607" s="3" t="inlineStr">
        <is>
          <t>Study Start</t>
        </is>
      </c>
      <c r="O607" s="3" t="inlineStr">
        <is>
          <t>42847922MDD3003</t>
        </is>
      </c>
    </row>
    <row r="608">
      <c r="A608" s="2" t="str">
        <f>HYPERLINK("https://vtmf.veevavault.com/ui/#doc_info/31080019/1/0", "42847922MDD3003---Meeting Material-12 Feb 2026 (v1.0)")</f>
        <v>42847922MDD3003---Meeting Material-12 Feb 2026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Sleep disturbance in MDD - Meeting minutes - &amp; EU extension notes.</t>
        </is>
      </c>
      <c r="F608" s="2" t="str">
        <f>HYPERLINK("https://vtmf.veevavault.com/ui/#doc_info/31080019/1/0", "VTMF-25056795")</f>
        <v>VTMF-25056795</v>
      </c>
      <c r="G608" s="3" t="inlineStr">
        <is>
          <t/>
        </is>
      </c>
      <c r="H608" s="3" t="inlineStr">
        <is>
          <t>Gina Stefanelli</t>
        </is>
      </c>
      <c r="I608" s="3" t="inlineStr">
        <is>
          <t>Gina Stefanelli</t>
        </is>
      </c>
      <c r="J608" s="4" t="n">
        <v>46080.582037037035</v>
      </c>
      <c r="K608" s="5" t="n">
        <v>46080.0</v>
      </c>
      <c r="L608" s="5" t="n">
        <v>46065.0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42847922MDD3003</t>
        </is>
      </c>
    </row>
    <row r="609">
      <c r="A609" s="2" t="str">
        <f>HYPERLINK("https://vtmf.veevavault.com/ui/#doc_info/30768580/1/0", "42847922MDD3003---Meeting Material-12 Jan 2026 (v1.0)")</f>
        <v>42847922MDD3003---Meeting Material-12 Jan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4G IRT Maintenance_Project_Management_Tracker</t>
        </is>
      </c>
      <c r="F609" s="2" t="str">
        <f>HYPERLINK("https://vtmf.veevavault.com/ui/#doc_info/30768580/1/0", "VTMF-24793775")</f>
        <v>VTMF-24793775</v>
      </c>
      <c r="G609" s="3" t="inlineStr">
        <is>
          <t/>
        </is>
      </c>
      <c r="H609" s="3" t="inlineStr">
        <is>
          <t>Aurora Barbera</t>
        </is>
      </c>
      <c r="I609" s="3" t="inlineStr">
        <is>
          <t>Gina Stefanelli</t>
        </is>
      </c>
      <c r="J609" s="4" t="n">
        <v>46035.59289351852</v>
      </c>
      <c r="K609" s="5" t="n">
        <v>46035.0</v>
      </c>
      <c r="L609" s="5" t="n">
        <v>46034.0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42847922MDD3003</t>
        </is>
      </c>
    </row>
    <row r="610">
      <c r="A610" s="2" t="str">
        <f>HYPERLINK("https://vtmf.veevavault.com/ui/#doc_info/26707758/1/0", "42847922MDD3003---Meeting Material-12 Jul 2024 (v1.0)")</f>
        <v>42847922MDD3003---Meeting Material-12 Jul 2024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Cronos Operations Meeting Minutes Actions Log</t>
        </is>
      </c>
      <c r="F610" s="2" t="str">
        <f>HYPERLINK("https://vtmf.veevavault.com/ui/#doc_info/26707758/1/0", "VTMF-21399572")</f>
        <v>VTMF-21399572</v>
      </c>
      <c r="G610" s="3" t="inlineStr">
        <is>
          <t/>
        </is>
      </c>
      <c r="H610" s="3" t="inlineStr">
        <is>
          <t>Gina Stefanelli</t>
        </is>
      </c>
      <c r="I610" s="3" t="inlineStr">
        <is>
          <t>Kristina Ruzinska</t>
        </is>
      </c>
      <c r="J610" s="4" t="n">
        <v>45488.49587962963</v>
      </c>
      <c r="K610" s="5" t="n">
        <v>45488.0</v>
      </c>
      <c r="L610" s="5" t="n">
        <v>45485.0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42847922MDD3003</t>
        </is>
      </c>
    </row>
    <row r="611">
      <c r="A611" s="2" t="str">
        <f>HYPERLINK("https://vtmf.veevavault.com/ui/#doc_info/29190529/1/0", "42847922MDD3003---Meeting Material-12 May 2025 (v1.0)")</f>
        <v>42847922MDD3003---Meeting Material-12 May 2025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MGH CTNI Bi-Weekly Call Agenda</t>
        </is>
      </c>
      <c r="F611" s="2" t="str">
        <f>HYPERLINK("https://vtmf.veevavault.com/ui/#doc_info/29190529/1/0", "VTMF-23461379")</f>
        <v>VTMF-23461379</v>
      </c>
      <c r="G611" s="3" t="inlineStr">
        <is>
          <t/>
        </is>
      </c>
      <c r="H611" s="3" t="inlineStr">
        <is>
          <t>Anthony Suarez (veeva.com)</t>
        </is>
      </c>
      <c r="I611" s="3" t="inlineStr">
        <is>
          <t>Gina Stefanelli</t>
        </is>
      </c>
      <c r="J611" s="4" t="n">
        <v>45800.72261574074</v>
      </c>
      <c r="K611" s="5" t="n">
        <v>45800.0</v>
      </c>
      <c r="L611" s="5" t="n">
        <v>45789.0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42847922MDD3003</t>
        </is>
      </c>
    </row>
    <row r="612">
      <c r="A612" s="2" t="str">
        <f>HYPERLINK("https://vtmf.veevavault.com/ui/#doc_info/29545585/1/0", "42847922MDD3003---Meeting Material-12 May 2025 (v1.0)")</f>
        <v>42847922MDD3003---Meeting Material-12 May 2025 (v1.0)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Sleep disturbance in MDD - Minutes actions from meeting on 12th May 2025</t>
        </is>
      </c>
      <c r="F612" s="2" t="str">
        <f>HYPERLINK("https://vtmf.veevavault.com/ui/#doc_info/29545585/1/0", "VTMF-23763491")</f>
        <v>VTMF-23763491</v>
      </c>
      <c r="G612" s="3" t="inlineStr">
        <is>
          <t/>
        </is>
      </c>
      <c r="H612" s="3" t="inlineStr">
        <is>
          <t>System</t>
        </is>
      </c>
      <c r="I612" s="3" t="inlineStr">
        <is>
          <t>Debhora Garcia</t>
        </is>
      </c>
      <c r="J612" s="4" t="n">
        <v>45849.969664351855</v>
      </c>
      <c r="K612" s="5" t="n">
        <v>45850.0</v>
      </c>
      <c r="L612" s="5" t="n">
        <v>45789.0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42847922MDD3003</t>
        </is>
      </c>
    </row>
    <row r="613">
      <c r="A613" s="2" t="str">
        <f>HYPERLINK("https://vtmf.veevavault.com/ui/#doc_info/30137007/1/0", "42847922MDD3003---Meeting Material-12 May 2025 (v1.0)")</f>
        <v>42847922MDD3003---Meeting Material-12 May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11162 Sleep disturbance in MDD - Minutes actions from meeting on 12th May</t>
        </is>
      </c>
      <c r="F613" s="2" t="str">
        <f>HYPERLINK("https://vtmf.veevavault.com/ui/#doc_info/30137007/1/0", "VTMF-24261383")</f>
        <v>VTMF-24261383</v>
      </c>
      <c r="G613" s="3" t="inlineStr">
        <is>
          <t/>
        </is>
      </c>
      <c r="H613" s="3" t="inlineStr">
        <is>
          <t>System</t>
        </is>
      </c>
      <c r="I613" s="3" t="inlineStr">
        <is>
          <t>Debhora Garcia</t>
        </is>
      </c>
      <c r="J613" s="4" t="n">
        <v>45940.88270833333</v>
      </c>
      <c r="K613" s="5" t="n">
        <v>45940.0</v>
      </c>
      <c r="L613" s="5" t="n">
        <v>45789.0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42847922MDD3003</t>
        </is>
      </c>
    </row>
    <row r="614">
      <c r="A614" s="2" t="str">
        <f>HYPERLINK("https://vtmf.veevavault.com/ui/#doc_info/27472119/1/0", "42847922MDD3003---Meeting Material-12 Nov 2024 (v1.0)")</f>
        <v>42847922MDD3003---Meeting Material-12 Nov 2024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Labcorp Weekly Meeting_ADI log</t>
        </is>
      </c>
      <c r="F614" s="2" t="str">
        <f>HYPERLINK("https://vtmf.veevavault.com/ui/#doc_info/27472119/1/0", "VTMF-22033068")</f>
        <v>VTMF-22033068</v>
      </c>
      <c r="G614" s="3" t="inlineStr">
        <is>
          <t/>
        </is>
      </c>
      <c r="H614" s="3" t="inlineStr">
        <is>
          <t>Anthony Suarez (veeva.com)</t>
        </is>
      </c>
      <c r="I614" s="3" t="inlineStr">
        <is>
          <t>Debhora Garcia</t>
        </is>
      </c>
      <c r="J614" s="4" t="n">
        <v>45609.118159722224</v>
      </c>
      <c r="K614" s="5" t="n">
        <v>45609.0</v>
      </c>
      <c r="L614" s="5" t="n">
        <v>45608.0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42847922MDD3003</t>
        </is>
      </c>
    </row>
    <row r="615">
      <c r="A615" s="2" t="str">
        <f>HYPERLINK("https://vtmf.veevavault.com/ui/#doc_info/26882831/1/0", "42847922MDD3003---Meeting Material-13 Aug 2024 (v1.0)")</f>
        <v>42847922MDD3003---Meeting Material-13 Aug 2024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LabCorp Weekly Meeting ADI Log</t>
        </is>
      </c>
      <c r="F615" s="2" t="str">
        <f>HYPERLINK("https://vtmf.veevavault.com/ui/#doc_info/26882831/1/0", "VTMF-21548777")</f>
        <v>VTMF-21548777</v>
      </c>
      <c r="G615" s="3" t="inlineStr">
        <is>
          <t/>
        </is>
      </c>
      <c r="H615" s="3" t="inlineStr">
        <is>
          <t>Anthony Suarez (veeva.com)</t>
        </is>
      </c>
      <c r="I615" s="3" t="inlineStr">
        <is>
          <t>Debhora Garcia</t>
        </is>
      </c>
      <c r="J615" s="4" t="n">
        <v>45517.71078703704</v>
      </c>
      <c r="K615" s="5" t="n">
        <v>45517.0</v>
      </c>
      <c r="L615" s="5" t="n">
        <v>45517.0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42847922MDD3003</t>
        </is>
      </c>
    </row>
    <row r="616">
      <c r="A616" s="2" t="str">
        <f>HYPERLINK("https://vtmf.veevavault.com/ui/#doc_info/27914544/1/0", "42847922MDD3003---Meeting Material-13 Dec 2024 (v1.0)")</f>
        <v>42847922MDD3003---Meeting Material-13 Dec 2024 (v1.0)</v>
      </c>
      <c r="B616" s="3" t="inlineStr">
        <is>
          <t>Third Parties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Cronos Data Monitoring Reports</t>
        </is>
      </c>
      <c r="F616" s="2" t="str">
        <f>HYPERLINK("https://vtmf.veevavault.com/ui/#doc_info/27914544/1/0", "VTMF-22380945")</f>
        <v>VTMF-22380945</v>
      </c>
      <c r="G616" s="3" t="inlineStr">
        <is>
          <t/>
        </is>
      </c>
      <c r="H616" s="3" t="inlineStr">
        <is>
          <t>Anthony Suarez (veeva.com)</t>
        </is>
      </c>
      <c r="I616" s="3" t="inlineStr">
        <is>
          <t>Gina Stefanelli</t>
        </is>
      </c>
      <c r="J616" s="4" t="n">
        <v>45642.61856481482</v>
      </c>
      <c r="K616" s="5" t="n">
        <v>45642.0</v>
      </c>
      <c r="L616" s="5" t="n">
        <v>45639.0</v>
      </c>
      <c r="M616" s="3" t="inlineStr">
        <is>
          <t>Approved</t>
        </is>
      </c>
      <c r="N616" s="3" t="inlineStr">
        <is>
          <t>Study Close</t>
        </is>
      </c>
      <c r="O616" s="3" t="inlineStr">
        <is>
          <t>42847922MDD3003</t>
        </is>
      </c>
    </row>
    <row r="617">
      <c r="A617" s="2" t="str">
        <f>HYPERLINK("https://vtmf.veevavault.com/ui/#doc_info/28091859/1/0", "42847922MDD3003---Meeting Material-13 Jan 2025 (v1.0)")</f>
        <v>42847922MDD3003---Meeting Material-13 Jan 2025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Cronos Operations Meeting Minutes Actions Log</t>
        </is>
      </c>
      <c r="F617" s="2" t="str">
        <f>HYPERLINK("https://vtmf.veevavault.com/ui/#doc_info/28091859/1/0", "VTMF-22529077")</f>
        <v>VTMF-22529077</v>
      </c>
      <c r="G617" s="3" t="inlineStr">
        <is>
          <t/>
        </is>
      </c>
      <c r="H617" s="3" t="inlineStr">
        <is>
          <t>Anthony Suarez (veeva.com)</t>
        </is>
      </c>
      <c r="I617" s="3" t="inlineStr">
        <is>
          <t>Gina Stefanelli</t>
        </is>
      </c>
      <c r="J617" s="4" t="n">
        <v>45673.61393518518</v>
      </c>
      <c r="K617" s="5" t="n">
        <v>45673.0</v>
      </c>
      <c r="L617" s="5" t="n">
        <v>45670.0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42847922MDD3003</t>
        </is>
      </c>
    </row>
    <row r="618">
      <c r="A618" s="2" t="str">
        <f>HYPERLINK("https://vtmf.veevavault.com/ui/#doc_info/28360842/1/0", "42847922MDD3003---Meeting Material-13 Jan 2025 (v1.0)")</f>
        <v>42847922MDD3003---Meeting Material-13 Jan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Cronos Monthly Clinical Oversight Meeting Slides</t>
        </is>
      </c>
      <c r="F618" s="2" t="str">
        <f>HYPERLINK("https://vtmf.veevavault.com/ui/#doc_info/28360842/1/0", "VTMF-22755171")</f>
        <v>VTMF-22755171</v>
      </c>
      <c r="G618" s="3" t="inlineStr">
        <is>
          <t/>
        </is>
      </c>
      <c r="H618" s="3" t="inlineStr">
        <is>
          <t>Anthony Suarez (veeva.com)</t>
        </is>
      </c>
      <c r="I618" s="3" t="inlineStr">
        <is>
          <t>Gina Stefanelli</t>
        </is>
      </c>
      <c r="J618" s="4" t="n">
        <v>45712.798854166664</v>
      </c>
      <c r="K618" s="5" t="n">
        <v>45712.0</v>
      </c>
      <c r="L618" s="5" t="n">
        <v>45670.0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42847922MDD3003</t>
        </is>
      </c>
    </row>
    <row r="619">
      <c r="A619" s="2" t="str">
        <f>HYPERLINK("https://vtmf.veevavault.com/ui/#doc_info/30771947/1/0", "42847922MDD3003---Meeting Material-13 Jan 2026 (v1.0)")</f>
        <v>42847922MDD3003---Meeting Material-13 Jan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LabCorp Weekly Meeting ADI Log</t>
        </is>
      </c>
      <c r="F619" s="2" t="str">
        <f>HYPERLINK("https://vtmf.veevavault.com/ui/#doc_info/30771947/1/0", "VTMF-24796559")</f>
        <v>VTMF-24796559</v>
      </c>
      <c r="G619" s="3" t="inlineStr">
        <is>
          <t/>
        </is>
      </c>
      <c r="H619" s="3" t="inlineStr">
        <is>
          <t>System</t>
        </is>
      </c>
      <c r="I619" s="3" t="inlineStr">
        <is>
          <t>Debhora Garcia</t>
        </is>
      </c>
      <c r="J619" s="4" t="n">
        <v>46035.98131944444</v>
      </c>
      <c r="K619" s="5" t="n">
        <v>46036.0</v>
      </c>
      <c r="L619" s="5" t="n">
        <v>46035.0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42847922MDD3003</t>
        </is>
      </c>
    </row>
    <row r="620">
      <c r="A620" s="2" t="str">
        <f>HYPERLINK("https://vtmf.veevavault.com/ui/#doc_info/29120516/1/0", "42847922MDD3003---Meeting Material-13 May 2025 (v1.0)")</f>
        <v>42847922MDD3003---Meeting Material-13 May 2025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Labcorp Weekly Meeting_ADI Log</t>
        </is>
      </c>
      <c r="F620" s="2" t="str">
        <f>HYPERLINK("https://vtmf.veevavault.com/ui/#doc_info/29120516/1/0", "VTMF-23400964")</f>
        <v>VTMF-23400964</v>
      </c>
      <c r="G620" s="3" t="inlineStr">
        <is>
          <t/>
        </is>
      </c>
      <c r="H620" s="3" t="inlineStr">
        <is>
          <t>Anthony Suarez (veeva.com)</t>
        </is>
      </c>
      <c r="I620" s="3" t="inlineStr">
        <is>
          <t>Debhora Garcia</t>
        </is>
      </c>
      <c r="J620" s="4" t="n">
        <v>45792.084641203706</v>
      </c>
      <c r="K620" s="5" t="n">
        <v>45791.0</v>
      </c>
      <c r="L620" s="5" t="n">
        <v>45790.0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42847922MDD3003</t>
        </is>
      </c>
    </row>
    <row r="621">
      <c r="A621" s="2" t="str">
        <f>HYPERLINK("https://vtmf.veevavault.com/ui/#doc_info/30137101/1/0", "42847922MDD3003---Meeting Material-14 Aug 2025 (v1.0)")</f>
        <v>42847922MDD3003---Meeting Material-14 Aug 2025 (v1.0)</v>
      </c>
      <c r="B621" s="3" t="inlineStr">
        <is>
          <t>Third Parties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11162 - JJClarivate - Sleep disturbance in MDD Meeting minutes and actions (14th August 2025)</t>
        </is>
      </c>
      <c r="F621" s="2" t="str">
        <f>HYPERLINK("https://vtmf.veevavault.com/ui/#doc_info/30137101/1/0", "VTMF-24261412")</f>
        <v>VTMF-24261412</v>
      </c>
      <c r="G621" s="3" t="inlineStr">
        <is>
          <t/>
        </is>
      </c>
      <c r="H621" s="3" t="inlineStr">
        <is>
          <t>System</t>
        </is>
      </c>
      <c r="I621" s="3" t="inlineStr">
        <is>
          <t>Debhora Garcia</t>
        </is>
      </c>
      <c r="J621" s="4" t="n">
        <v>45940.88846064815</v>
      </c>
      <c r="K621" s="5" t="n">
        <v>45940.0</v>
      </c>
      <c r="L621" s="5" t="n">
        <v>45883.0</v>
      </c>
      <c r="M621" s="3" t="inlineStr">
        <is>
          <t>Approved</t>
        </is>
      </c>
      <c r="N621" s="3" t="inlineStr">
        <is>
          <t>Study Close</t>
        </is>
      </c>
      <c r="O621" s="3" t="inlineStr">
        <is>
          <t>42847922MDD3003</t>
        </is>
      </c>
    </row>
    <row r="622">
      <c r="A622" s="2" t="str">
        <f>HYPERLINK("https://vtmf.veevavault.com/ui/#doc_info/28311451/1/0", "42847922MDD3003---Meeting Material-14 Feb 2025 (v1.0)")</f>
        <v>42847922MDD3003---Meeting Material-14 Feb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Cronos Monthly Clinical Oversight Meeting Slides</t>
        </is>
      </c>
      <c r="F622" s="2" t="str">
        <f>HYPERLINK("https://vtmf.veevavault.com/ui/#doc_info/28311451/1/0", "VTMF-22712390")</f>
        <v>VTMF-22712390</v>
      </c>
      <c r="G622" s="3" t="inlineStr">
        <is>
          <t/>
        </is>
      </c>
      <c r="H622" s="3" t="inlineStr">
        <is>
          <t>Anthony Suarez (veeva.com)</t>
        </is>
      </c>
      <c r="I622" s="3" t="inlineStr">
        <is>
          <t>Leticia Araujo</t>
        </is>
      </c>
      <c r="J622" s="4" t="n">
        <v>45705.530324074076</v>
      </c>
      <c r="K622" s="5" t="n">
        <v>45705.0</v>
      </c>
      <c r="L622" s="5" t="n">
        <v>45702.0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42847922MDD3003</t>
        </is>
      </c>
    </row>
    <row r="623">
      <c r="A623" s="2" t="str">
        <f>HYPERLINK("https://vtmf.veevavault.com/ui/#doc_info/28318432/1/0", "42847922MDD3003---Meeting Material-14 Feb 2025 (v1.0)")</f>
        <v>42847922MDD3003---Meeting Material-14 Feb 2025 (v1.0)</v>
      </c>
      <c r="B623" s="3" t="inlineStr">
        <is>
          <t>Third Parties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Cronos Operations Meeting Minutes Actions Log</t>
        </is>
      </c>
      <c r="F623" s="2" t="str">
        <f>HYPERLINK("https://vtmf.veevavault.com/ui/#doc_info/28318432/1/0", "VTMF-22718118")</f>
        <v>VTMF-22718118</v>
      </c>
      <c r="G623" s="3" t="inlineStr">
        <is>
          <t/>
        </is>
      </c>
      <c r="H623" s="3" t="inlineStr">
        <is>
          <t>Anthony Suarez (veeva.com)</t>
        </is>
      </c>
      <c r="I623" s="3" t="inlineStr">
        <is>
          <t>Gina Stefanelli</t>
        </is>
      </c>
      <c r="J623" s="4" t="n">
        <v>45706.60298611111</v>
      </c>
      <c r="K623" s="5" t="n">
        <v>45706.0</v>
      </c>
      <c r="L623" s="5" t="n">
        <v>45702.0</v>
      </c>
      <c r="M623" s="3" t="inlineStr">
        <is>
          <t>Approved</t>
        </is>
      </c>
      <c r="N623" s="3" t="inlineStr">
        <is>
          <t>Study Close</t>
        </is>
      </c>
      <c r="O623" s="3" t="inlineStr">
        <is>
          <t>42847922MDD3003</t>
        </is>
      </c>
    </row>
    <row r="624">
      <c r="A624" s="2" t="str">
        <f>HYPERLINK("https://vtmf.veevavault.com/ui/#doc_info/29602562/1/0", "42847922MDD3003---Meeting Material-14 Jul 2025 (v1.0)")</f>
        <v>42847922MDD3003---Meeting Material-14 Jul 2025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Cronos Monthly Clinical Oversight Meeting Slides</t>
        </is>
      </c>
      <c r="F624" s="2" t="str">
        <f>HYPERLINK("https://vtmf.veevavault.com/ui/#doc_info/29602562/1/0", "VTMF-23812999")</f>
        <v>VTMF-23812999</v>
      </c>
      <c r="G624" s="3" t="inlineStr">
        <is>
          <t/>
        </is>
      </c>
      <c r="H624" s="3" t="inlineStr">
        <is>
          <t>Gina Stefanelli</t>
        </is>
      </c>
      <c r="I624" s="3" t="inlineStr">
        <is>
          <t>Gina Stefanelli</t>
        </is>
      </c>
      <c r="J624" s="4" t="n">
        <v>45860.59431712963</v>
      </c>
      <c r="K624" s="5" t="n">
        <v>45860.0</v>
      </c>
      <c r="L624" s="5" t="n">
        <v>45852.0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42847922MDD3003</t>
        </is>
      </c>
    </row>
    <row r="625">
      <c r="A625" s="2" t="str">
        <f>HYPERLINK("https://vtmf.veevavault.com/ui/#doc_info/29602569/1/0", "42847922MDD3003---Meeting Material-14 Jul 2025 (v1.0)")</f>
        <v>42847922MDD3003---Meeting Material-14 Jul 2025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Cronos Actions Log</t>
        </is>
      </c>
      <c r="F625" s="2" t="str">
        <f>HYPERLINK("https://vtmf.veevavault.com/ui/#doc_info/29602569/1/0", "VTMF-23813024")</f>
        <v>VTMF-23813024</v>
      </c>
      <c r="G625" s="3" t="inlineStr">
        <is>
          <t/>
        </is>
      </c>
      <c r="H625" s="3" t="inlineStr">
        <is>
          <t>System</t>
        </is>
      </c>
      <c r="I625" s="3" t="inlineStr">
        <is>
          <t>Gina Stefanelli</t>
        </is>
      </c>
      <c r="J625" s="4" t="n">
        <v>45860.596342592595</v>
      </c>
      <c r="K625" s="5" t="n">
        <v>45860.0</v>
      </c>
      <c r="L625" s="5" t="n">
        <v>45852.0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42847922MDD3003</t>
        </is>
      </c>
    </row>
    <row r="626">
      <c r="A626" s="2" t="str">
        <f>HYPERLINK("https://vtmf.veevavault.com/ui/#doc_info/26657073/1/0", "42847922MDD3003---Meeting Material-14 Jun 2024 (v1.0)")</f>
        <v>42847922MDD3003---Meeting Material-14 Jun 2024 (v1.0)</v>
      </c>
      <c r="B626" s="3" t="inlineStr">
        <is>
          <t>Third Parties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Cronos Operations Meeting Minutes Actions Log</t>
        </is>
      </c>
      <c r="F626" s="2" t="str">
        <f>HYPERLINK("https://vtmf.veevavault.com/ui/#doc_info/26657073/1/0", "VTMF-21354886")</f>
        <v>VTMF-21354886</v>
      </c>
      <c r="G626" s="3" t="inlineStr">
        <is>
          <t/>
        </is>
      </c>
      <c r="H626" s="3" t="inlineStr">
        <is>
          <t>Gina Stefanelli</t>
        </is>
      </c>
      <c r="I626" s="3" t="inlineStr">
        <is>
          <t>Kristina Ruzinska</t>
        </is>
      </c>
      <c r="J626" s="4" t="n">
        <v>45478.67134259259</v>
      </c>
      <c r="K626" s="5" t="n">
        <v>45478.0</v>
      </c>
      <c r="L626" s="5" t="n">
        <v>45457.0</v>
      </c>
      <c r="M626" s="3" t="inlineStr">
        <is>
          <t>Approved</t>
        </is>
      </c>
      <c r="N626" s="3" t="inlineStr">
        <is>
          <t>Study Close</t>
        </is>
      </c>
      <c r="O626" s="3" t="inlineStr">
        <is>
          <t>42847922MDD3003</t>
        </is>
      </c>
    </row>
    <row r="627">
      <c r="A627" s="2" t="str">
        <f>HYPERLINK("https://vtmf.veevavault.com/ui/#doc_info/26322336/1/0", "42847922MDD3003---Meeting Material-14 May 2024 (v1.0)")</f>
        <v>42847922MDD3003---Meeting Material-14 May 2024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LabCorp Weekly Meeting ADI Log</t>
        </is>
      </c>
      <c r="F627" s="2" t="str">
        <f>HYPERLINK("https://vtmf.veevavault.com/ui/#doc_info/26322336/1/0", "VTMF-21061101")</f>
        <v>VTMF-21061101</v>
      </c>
      <c r="G627" s="3" t="inlineStr">
        <is>
          <t/>
        </is>
      </c>
      <c r="H627" s="3" t="inlineStr">
        <is>
          <t>Anthony Suarez (veeva.com)</t>
        </is>
      </c>
      <c r="I627" s="3" t="inlineStr">
        <is>
          <t>Jamie Hardy</t>
        </is>
      </c>
      <c r="J627" s="4" t="n">
        <v>45426.61875</v>
      </c>
      <c r="K627" s="5" t="n">
        <v>45426.0</v>
      </c>
      <c r="L627" s="5" t="n">
        <v>45426.0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42847922MDD3003</t>
        </is>
      </c>
    </row>
    <row r="628">
      <c r="A628" s="2" t="str">
        <f>HYPERLINK("https://vtmf.veevavault.com/ui/#doc_info/26340379/1/0", "42847922MDD3003---Meeting Material-14 May 2024 (v1.0)")</f>
        <v>42847922MDD3003---Meeting Material-14 May 2024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Cronos Operations Meeting Minutes Actions Log</t>
        </is>
      </c>
      <c r="F628" s="2" t="str">
        <f>HYPERLINK("https://vtmf.veevavault.com/ui/#doc_info/26340379/1/0", "VTMF-21077151")</f>
        <v>VTMF-21077151</v>
      </c>
      <c r="G628" s="3" t="inlineStr">
        <is>
          <t/>
        </is>
      </c>
      <c r="H628" s="3" t="inlineStr">
        <is>
          <t>Gina Stefanelli</t>
        </is>
      </c>
      <c r="I628" s="3" t="inlineStr">
        <is>
          <t>Gina Stefanelli</t>
        </is>
      </c>
      <c r="J628" s="4" t="n">
        <v>45428.80850694444</v>
      </c>
      <c r="K628" s="5" t="n">
        <v>45428.0</v>
      </c>
      <c r="L628" s="5" t="n">
        <v>45426.0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42847922MDD3003</t>
        </is>
      </c>
    </row>
    <row r="629">
      <c r="A629" s="2" t="str">
        <f>HYPERLINK("https://vtmf.veevavault.com/ui/#doc_info/30434708/1/0", "42847922MDD3003---Meeting Material-14 Nov 2025 (v1.0)")</f>
        <v>42847922MDD3003---Meeting Material-14 Nov 2025 (v1.0)</v>
      </c>
      <c r="B629" s="3" t="inlineStr">
        <is>
          <t>Third Parties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Sleep Disturbance_Project update meeting</t>
        </is>
      </c>
      <c r="F629" s="2" t="str">
        <f>HYPERLINK("https://vtmf.veevavault.com/ui/#doc_info/30434708/1/0", "VTMF-24517042")</f>
        <v>VTMF-24517042</v>
      </c>
      <c r="G629" s="3" t="inlineStr">
        <is>
          <t/>
        </is>
      </c>
      <c r="H629" s="3" t="inlineStr">
        <is>
          <t>System</t>
        </is>
      </c>
      <c r="I629" s="3" t="inlineStr">
        <is>
          <t>Debhora Garcia</t>
        </is>
      </c>
      <c r="J629" s="4" t="n">
        <v>45981.270520833335</v>
      </c>
      <c r="K629" s="5" t="n">
        <v>45981.0</v>
      </c>
      <c r="L629" s="5" t="n">
        <v>45975.0</v>
      </c>
      <c r="M629" s="3" t="inlineStr">
        <is>
          <t>Approved</t>
        </is>
      </c>
      <c r="N629" s="3" t="inlineStr">
        <is>
          <t>Study Close</t>
        </is>
      </c>
      <c r="O629" s="3" t="inlineStr">
        <is>
          <t>42847922MDD3003</t>
        </is>
      </c>
    </row>
    <row r="630">
      <c r="A630" s="2" t="str">
        <f>HYPERLINK("https://vtmf.veevavault.com/ui/#doc_info/30618103/1/0", "42847922MDD3003---Meeting Material-15 Dec 2025 (v1.0)")</f>
        <v>42847922MDD3003---Meeting Material-15 Dec 2025 (v1.0)</v>
      </c>
      <c r="B630" s="3" t="inlineStr">
        <is>
          <t>Third Parties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4G IRT Maintenance_Project_Management_Tracker</t>
        </is>
      </c>
      <c r="F630" s="2" t="str">
        <f>HYPERLINK("https://vtmf.veevavault.com/ui/#doc_info/30618103/1/0", "VTMF-24670515")</f>
        <v>VTMF-24670515</v>
      </c>
      <c r="G630" s="3" t="inlineStr">
        <is>
          <t/>
        </is>
      </c>
      <c r="H630" s="3" t="inlineStr">
        <is>
          <t>System</t>
        </is>
      </c>
      <c r="I630" s="3" t="inlineStr">
        <is>
          <t>Gina Stefanelli</t>
        </is>
      </c>
      <c r="J630" s="4" t="n">
        <v>46007.7853125</v>
      </c>
      <c r="K630" s="5" t="n">
        <v>46007.0</v>
      </c>
      <c r="L630" s="5" t="n">
        <v>46006.0</v>
      </c>
      <c r="M630" s="3" t="inlineStr">
        <is>
          <t>Approved</t>
        </is>
      </c>
      <c r="N630" s="3" t="inlineStr">
        <is>
          <t>Study Close</t>
        </is>
      </c>
      <c r="O630" s="3" t="inlineStr">
        <is>
          <t>42847922MDD3003</t>
        </is>
      </c>
    </row>
    <row r="631">
      <c r="A631" s="2" t="str">
        <f>HYPERLINK("https://vtmf.veevavault.com/ui/#doc_info/27461837/1/0", "42847922MDD3003---Meeting Material-15 Jul 2024 (v1.0)")</f>
        <v>42847922MDD3003---Meeting Material-15 Jul 2024 (v1.0)</v>
      </c>
      <c r="B631" s="3" t="inlineStr">
        <is>
          <t>Third Parties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4G IRT _Maintenance_Project_Management_Tracker</t>
        </is>
      </c>
      <c r="F631" s="2" t="str">
        <f>HYPERLINK("https://vtmf.veevavault.com/ui/#doc_info/27461837/1/0", "VTMF-22024468")</f>
        <v>VTMF-22024468</v>
      </c>
      <c r="G631" s="3" t="inlineStr">
        <is>
          <t/>
        </is>
      </c>
      <c r="H631" s="3" t="inlineStr">
        <is>
          <t>Anthony Suarez (veeva.com)</t>
        </is>
      </c>
      <c r="I631" s="3" t="inlineStr">
        <is>
          <t>Gina Stefanelli</t>
        </is>
      </c>
      <c r="J631" s="4" t="n">
        <v>45607.72121527778</v>
      </c>
      <c r="K631" s="5" t="n">
        <v>45607.0</v>
      </c>
      <c r="L631" s="5" t="n">
        <v>45488.0</v>
      </c>
      <c r="M631" s="3" t="inlineStr">
        <is>
          <t>Approved</t>
        </is>
      </c>
      <c r="N631" s="3" t="inlineStr">
        <is>
          <t>Study Close</t>
        </is>
      </c>
      <c r="O631" s="3" t="inlineStr">
        <is>
          <t>42847922MDD3003</t>
        </is>
      </c>
    </row>
    <row r="632">
      <c r="A632" s="2" t="str">
        <f>HYPERLINK("https://vtmf.veevavault.com/ui/#doc_info/31879900/1/0", "42847922MDD3003---Meeting Material-15 Jun 2026 (v1.0)")</f>
        <v>42847922MDD3003---Meeting Material-15 Jun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4G IRT Maintenance_Project_Management_Tracker</t>
        </is>
      </c>
      <c r="F632" s="2" t="str">
        <f>HYPERLINK("https://vtmf.veevavault.com/ui/#doc_info/31879900/1/0", "VTMF-25736959")</f>
        <v>VTMF-25736959</v>
      </c>
      <c r="G632" s="3" t="inlineStr">
        <is>
          <t/>
        </is>
      </c>
      <c r="H632" s="3" t="inlineStr">
        <is>
          <t>System</t>
        </is>
      </c>
      <c r="I632" s="3" t="inlineStr">
        <is>
          <t>Aurora Barbera</t>
        </is>
      </c>
      <c r="J632" s="4" t="n">
        <v>46188.675104166665</v>
      </c>
      <c r="K632" s="5" t="n">
        <v>46188.0</v>
      </c>
      <c r="L632" s="5" t="n">
        <v>46188.0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42847922MDD3003</t>
        </is>
      </c>
    </row>
    <row r="633">
      <c r="A633" s="2" t="str">
        <f>HYPERLINK("https://vtmf.veevavault.com/ui/#doc_info/29968859/1/0", "42847922MDD3003---Meeting Material-15 Sep 2025 (v1.0)")</f>
        <v>42847922MDD3003---Meeting Material-15 Sep 2025 (v1.0)</v>
      </c>
      <c r="B633" s="3" t="inlineStr">
        <is>
          <t>Third Parties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MGH CTNI Bi-Weekly Call Minutes</t>
        </is>
      </c>
      <c r="F633" s="2" t="str">
        <f>HYPERLINK("https://vtmf.veevavault.com/ui/#doc_info/29968859/1/0", "VTMF-24126503")</f>
        <v>VTMF-24126503</v>
      </c>
      <c r="G633" s="3" t="inlineStr">
        <is>
          <t/>
        </is>
      </c>
      <c r="H633" s="3" t="inlineStr">
        <is>
          <t>Gina Stefanelli</t>
        </is>
      </c>
      <c r="I633" s="3" t="inlineStr">
        <is>
          <t>Gina Stefanelli</t>
        </is>
      </c>
      <c r="J633" s="4" t="n">
        <v>45917.610983796294</v>
      </c>
      <c r="K633" s="5" t="n">
        <v>45917.0</v>
      </c>
      <c r="L633" s="5" t="n">
        <v>45915.0</v>
      </c>
      <c r="M633" s="3" t="inlineStr">
        <is>
          <t>Approved</t>
        </is>
      </c>
      <c r="N633" s="3" t="inlineStr">
        <is>
          <t>Study Close</t>
        </is>
      </c>
      <c r="O633" s="3" t="inlineStr">
        <is>
          <t>42847922MDD3003</t>
        </is>
      </c>
    </row>
    <row r="634">
      <c r="A634" s="2" t="str">
        <f>HYPERLINK("https://vtmf.veevavault.com/ui/#doc_info/29978553/1/0", "42847922MDD3003---Meeting Material-15 Sep 2025 (v1.0)")</f>
        <v>42847922MDD3003---Meeting Material-15 Sep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Cronos Monthly Clinical Oversight Meeting Slides</t>
        </is>
      </c>
      <c r="F634" s="2" t="str">
        <f>HYPERLINK("https://vtmf.veevavault.com/ui/#doc_info/29978553/1/0", "VTMF-24134877")</f>
        <v>VTMF-24134877</v>
      </c>
      <c r="G634" s="3" t="inlineStr">
        <is>
          <t/>
        </is>
      </c>
      <c r="H634" s="3" t="inlineStr">
        <is>
          <t>Gina Stefanelli</t>
        </is>
      </c>
      <c r="I634" s="3" t="inlineStr">
        <is>
          <t>Gina Stefanelli</t>
        </is>
      </c>
      <c r="J634" s="4" t="n">
        <v>45918.677824074075</v>
      </c>
      <c r="K634" s="5" t="n">
        <v>45918.0</v>
      </c>
      <c r="L634" s="5" t="n">
        <v>45915.0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42847922MDD3003</t>
        </is>
      </c>
    </row>
    <row r="635">
      <c r="A635" s="2" t="str">
        <f>HYPERLINK("https://vtmf.veevavault.com/ui/#doc_info/29978642/1/0", "42847922MDD3003---Meeting Material-15 Sep 2025 (v1.0)")</f>
        <v>42847922MDD3003---Meeting Material-15 Sep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Cronos Actions Log</t>
        </is>
      </c>
      <c r="F635" s="2" t="str">
        <f>HYPERLINK("https://vtmf.veevavault.com/ui/#doc_info/29978642/1/0", "VTMF-24134889")</f>
        <v>VTMF-24134889</v>
      </c>
      <c r="G635" s="3" t="inlineStr">
        <is>
          <t/>
        </is>
      </c>
      <c r="H635" s="3" t="inlineStr">
        <is>
          <t>Gina Stefanelli</t>
        </is>
      </c>
      <c r="I635" s="3" t="inlineStr">
        <is>
          <t>Gina Stefanelli</t>
        </is>
      </c>
      <c r="J635" s="4" t="n">
        <v>45918.67875</v>
      </c>
      <c r="K635" s="5" t="n">
        <v>45918.0</v>
      </c>
      <c r="L635" s="5" t="n">
        <v>45915.0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42847922MDD3003</t>
        </is>
      </c>
    </row>
    <row r="636">
      <c r="A636" s="2" t="str">
        <f>HYPERLINK("https://vtmf.veevavault.com/ui/#doc_info/26144026/1/0", "42847922MDD3003---Meeting Material-16 Apr 2024 (v1.0)")</f>
        <v>42847922MDD3003---Meeting Material-16 Apr 2024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Labcorp Weekly Meeting_ADI Log</t>
        </is>
      </c>
      <c r="F636" s="2" t="str">
        <f>HYPERLINK("https://vtmf.veevavault.com/ui/#doc_info/26144026/1/0", "VTMF-20907081")</f>
        <v>VTMF-20907081</v>
      </c>
      <c r="G636" s="3" t="inlineStr">
        <is>
          <t/>
        </is>
      </c>
      <c r="H636" s="3" t="inlineStr">
        <is>
          <t>Anthony Suarez (veeva.com)</t>
        </is>
      </c>
      <c r="I636" s="3" t="inlineStr">
        <is>
          <t>Arturo Munguia</t>
        </is>
      </c>
      <c r="J636" s="4" t="n">
        <v>45398.840833333335</v>
      </c>
      <c r="K636" s="5" t="n">
        <v>45398.0</v>
      </c>
      <c r="L636" s="5" t="n">
        <v>45398.0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42847922MDD3003</t>
        </is>
      </c>
    </row>
    <row r="637">
      <c r="A637" s="2" t="str">
        <f>HYPERLINK("https://vtmf.veevavault.com/ui/#doc_info/27914399/1/0", "42847922MDD3003---Meeting Material-16 Dec 2024 (v1.0)")</f>
        <v>42847922MDD3003---Meeting Material-16 Dec 2024 (v1.0)</v>
      </c>
      <c r="B637" s="3" t="inlineStr">
        <is>
          <t>Third Parties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Cronos Operations Meeting Minutes Actions Log</t>
        </is>
      </c>
      <c r="F637" s="2" t="str">
        <f>HYPERLINK("https://vtmf.veevavault.com/ui/#doc_info/27914399/1/0", "VTMF-22380869")</f>
        <v>VTMF-22380869</v>
      </c>
      <c r="G637" s="3" t="inlineStr">
        <is>
          <t/>
        </is>
      </c>
      <c r="H637" s="3" t="inlineStr">
        <is>
          <t>Anthony Suarez (veeva.com)</t>
        </is>
      </c>
      <c r="I637" s="3" t="inlineStr">
        <is>
          <t>Gina Stefanelli</t>
        </is>
      </c>
      <c r="J637" s="4" t="n">
        <v>45642.61121527778</v>
      </c>
      <c r="K637" s="5" t="n">
        <v>45642.0</v>
      </c>
      <c r="L637" s="5" t="n">
        <v>45642.0</v>
      </c>
      <c r="M637" s="3" t="inlineStr">
        <is>
          <t>Approved</t>
        </is>
      </c>
      <c r="N637" s="3" t="inlineStr">
        <is>
          <t>Study Close</t>
        </is>
      </c>
      <c r="O637" s="3" t="inlineStr">
        <is>
          <t>42847922MDD3003</t>
        </is>
      </c>
    </row>
    <row r="638">
      <c r="A638" s="2" t="str">
        <f>HYPERLINK("https://vtmf.veevavault.com/ui/#doc_info/27918903/1/0", "42847922MDD3003---Meeting Material-16 Dec 2024 (v1.0)")</f>
        <v>42847922MDD3003---Meeting Material-16 Dec 2024 (v1.0)</v>
      </c>
      <c r="B638" s="3" t="inlineStr">
        <is>
          <t>Third Parties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4G IRT Maintenance_Project_Management_Tracker</t>
        </is>
      </c>
      <c r="F638" s="2" t="str">
        <f>HYPERLINK("https://vtmf.veevavault.com/ui/#doc_info/27918903/1/0", "VTMF-22383756")</f>
        <v>VTMF-22383756</v>
      </c>
      <c r="G638" s="3" t="inlineStr">
        <is>
          <t/>
        </is>
      </c>
      <c r="H638" s="3" t="inlineStr">
        <is>
          <t>Anthony Suarez (veeva.com)</t>
        </is>
      </c>
      <c r="I638" s="3" t="inlineStr">
        <is>
          <t>Gina Stefanelli</t>
        </is>
      </c>
      <c r="J638" s="4" t="n">
        <v>45642.90760416666</v>
      </c>
      <c r="K638" s="5" t="n">
        <v>45642.0</v>
      </c>
      <c r="L638" s="5" t="n">
        <v>45642.0</v>
      </c>
      <c r="M638" s="3" t="inlineStr">
        <is>
          <t>Approved</t>
        </is>
      </c>
      <c r="N638" s="3" t="inlineStr">
        <is>
          <t>Study Close</t>
        </is>
      </c>
      <c r="O638" s="3" t="inlineStr">
        <is>
          <t>42847922MDD3003</t>
        </is>
      </c>
    </row>
    <row r="639">
      <c r="A639" s="2" t="str">
        <f>HYPERLINK("https://vtmf.veevavault.com/ui/#doc_info/25736368/1/0", "42847922MDD3003---Meeting Material-16 Feb 2024 (v1.0)")</f>
        <v>42847922MDD3003---Meeting Material-16 Feb 2024 (v1.0)</v>
      </c>
      <c r="B639" s="3" t="inlineStr">
        <is>
          <t>Data Management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Data Plan Meeting Minutes_16Feb2024</t>
        </is>
      </c>
      <c r="F639" s="2" t="str">
        <f>HYPERLINK("https://vtmf.veevavault.com/ui/#doc_info/25736368/1/0", "VTMF-20547152")</f>
        <v>VTMF-20547152</v>
      </c>
      <c r="G639" s="3" t="inlineStr">
        <is>
          <t/>
        </is>
      </c>
      <c r="H639" s="3" t="inlineStr">
        <is>
          <t>Anthony Suarez (veeva.com)</t>
        </is>
      </c>
      <c r="I639" s="3" t="inlineStr">
        <is>
          <t>Laree LaPierre</t>
        </is>
      </c>
      <c r="J639" s="4" t="n">
        <v>45338.953125</v>
      </c>
      <c r="K639" s="5" t="n">
        <v>45338.0</v>
      </c>
      <c r="L639" s="5" t="n">
        <v>45338.0</v>
      </c>
      <c r="M639" s="3" t="inlineStr">
        <is>
          <t>Approved</t>
        </is>
      </c>
      <c r="N639" s="3" t="inlineStr">
        <is>
          <t>Study Start</t>
        </is>
      </c>
      <c r="O639" s="3" t="inlineStr">
        <is>
          <t>42847922MDD3003</t>
        </is>
      </c>
    </row>
    <row r="640">
      <c r="A640" s="2" t="str">
        <f>HYPERLINK("https://vtmf.veevavault.com/ui/#doc_info/29360690/1/0", "42847922MDD3003---Meeting Material-16 Jun 2025 (v1.0)")</f>
        <v>42847922MDD3003---Meeting Material-16 Jun 2025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Cronos Operations Meeting Minutes Actions Log</t>
        </is>
      </c>
      <c r="F640" s="2" t="str">
        <f>HYPERLINK("https://vtmf.veevavault.com/ui/#doc_info/29360690/1/0", "VTMF-23603728")</f>
        <v>VTMF-23603728</v>
      </c>
      <c r="G640" s="3" t="inlineStr">
        <is>
          <t/>
        </is>
      </c>
      <c r="H640" s="3" t="inlineStr">
        <is>
          <t>Gina Stefanelli</t>
        </is>
      </c>
      <c r="I640" s="3" t="inlineStr">
        <is>
          <t>Gina Stefanelli</t>
        </is>
      </c>
      <c r="J640" s="4" t="n">
        <v>45824.6030787037</v>
      </c>
      <c r="K640" s="5" t="n">
        <v>45824.0</v>
      </c>
      <c r="L640" s="5" t="n">
        <v>45824.0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42847922MDD3003</t>
        </is>
      </c>
    </row>
    <row r="641">
      <c r="A641" s="2" t="str">
        <f>HYPERLINK("https://vtmf.veevavault.com/ui/#doc_info/30193242/1/0", "42847922MDD3003---Meeting Material-16 Oct 2025 (v1.0)")</f>
        <v>42847922MDD3003---Meeting Material-16 Oct 2025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Janssen ALL-Team Meeting</t>
        </is>
      </c>
      <c r="F641" s="2" t="str">
        <f>HYPERLINK("https://vtmf.veevavault.com/ui/#doc_info/30193242/1/0", "VTMF-24309943")</f>
        <v>VTMF-24309943</v>
      </c>
      <c r="G641" s="3" t="inlineStr">
        <is>
          <t/>
        </is>
      </c>
      <c r="H641" s="3" t="inlineStr">
        <is>
          <t>Gina Stefanelli</t>
        </is>
      </c>
      <c r="I641" s="3" t="inlineStr">
        <is>
          <t>Debhora Garcia</t>
        </is>
      </c>
      <c r="J641" s="4" t="n">
        <v>45950.79542824074</v>
      </c>
      <c r="K641" s="5" t="n">
        <v>45950.0</v>
      </c>
      <c r="L641" s="5" t="n">
        <v>45946.0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42847922MDD3003</t>
        </is>
      </c>
    </row>
    <row r="642">
      <c r="A642" s="2" t="str">
        <f>HYPERLINK("https://vtmf.veevavault.com/ui/#doc_info/27085165/1/0", "42847922MDD3003---Meeting Material-16 Sep 2024 (v1.0)")</f>
        <v>42847922MDD3003---Meeting Material-16 Sep 2024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MGH CTNI Bi-Weekly Call Agenda</t>
        </is>
      </c>
      <c r="F642" s="2" t="str">
        <f>HYPERLINK("https://vtmf.veevavault.com/ui/#doc_info/27085165/1/0", "VTMF-21712433")</f>
        <v>VTMF-21712433</v>
      </c>
      <c r="G642" s="3" t="inlineStr">
        <is>
          <t/>
        </is>
      </c>
      <c r="H642" s="3" t="inlineStr">
        <is>
          <t>Anthony Suarez (veeva.com)</t>
        </is>
      </c>
      <c r="I642" s="3" t="inlineStr">
        <is>
          <t>Gina Stefanelli</t>
        </is>
      </c>
      <c r="J642" s="4" t="n">
        <v>45551.77108796296</v>
      </c>
      <c r="K642" s="5" t="n">
        <v>45551.0</v>
      </c>
      <c r="L642" s="5" t="n">
        <v>45551.0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42847922MDD3003</t>
        </is>
      </c>
    </row>
    <row r="643">
      <c r="A643" s="2" t="str">
        <f>HYPERLINK("https://vtmf.veevavault.com/ui/#doc_info/27114529/1/0", "42847922MDD3003---Meeting Material-16 Sep 2024 (v1.0)")</f>
        <v>42847922MDD3003---Meeting Material-16 Sep 2024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Cronos Operations Meeting Minutes Actions Log</t>
        </is>
      </c>
      <c r="F643" s="2" t="str">
        <f>HYPERLINK("https://vtmf.veevavault.com/ui/#doc_info/27114529/1/0", "VTMF-21736098")</f>
        <v>VTMF-21736098</v>
      </c>
      <c r="G643" s="3" t="inlineStr">
        <is>
          <t/>
        </is>
      </c>
      <c r="H643" s="3" t="inlineStr">
        <is>
          <t>Anthony Suarez (veeva.com)</t>
        </is>
      </c>
      <c r="I643" s="3" t="inlineStr">
        <is>
          <t>Gina Stefanelli</t>
        </is>
      </c>
      <c r="J643" s="4" t="n">
        <v>45555.71722222222</v>
      </c>
      <c r="K643" s="5" t="n">
        <v>45555.0</v>
      </c>
      <c r="L643" s="5" t="n">
        <v>45551.0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42847922MDD3003</t>
        </is>
      </c>
    </row>
    <row r="644">
      <c r="A644" s="2" t="str">
        <f>HYPERLINK("https://vtmf.veevavault.com/ui/#doc_info/30744477/1/0", "42847922MDD3003---Meeting Material-17 Dec 2025 (v1.0)")</f>
        <v>42847922MDD3003---Meeting Material-17 Dec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Beacon Biosignals Site Sync Meeting minutes_Dec</t>
        </is>
      </c>
      <c r="F644" s="2" t="str">
        <f>HYPERLINK("https://vtmf.veevavault.com/ui/#doc_info/30744477/1/0", "VTMF-24772954")</f>
        <v>VTMF-24772954</v>
      </c>
      <c r="G644" s="3" t="inlineStr">
        <is>
          <t/>
        </is>
      </c>
      <c r="H644" s="3" t="inlineStr">
        <is>
          <t>System</t>
        </is>
      </c>
      <c r="I644" s="3" t="inlineStr">
        <is>
          <t>Charles Hayes</t>
        </is>
      </c>
      <c r="J644" s="4" t="n">
        <v>46031.031909722224</v>
      </c>
      <c r="K644" s="5" t="n">
        <v>46030.0</v>
      </c>
      <c r="L644" s="5" t="n">
        <v>46008.0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42847922MDD3003</t>
        </is>
      </c>
    </row>
    <row r="645">
      <c r="A645" s="2" t="str">
        <f>HYPERLINK("https://vtmf.veevavault.com/ui/#doc_info/29578770/1/0", "42847922MDD3003---Meeting Material-17 Jul 2025 (v1.0)")</f>
        <v>42847922MDD3003---Meeting Material-17 Jul 2025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Clario Janssen ALL-Team Meeting</t>
        </is>
      </c>
      <c r="F645" s="2" t="str">
        <f>HYPERLINK("https://vtmf.veevavault.com/ui/#doc_info/29578770/1/0", "VTMF-23792005")</f>
        <v>VTMF-23792005</v>
      </c>
      <c r="G645" s="3" t="inlineStr">
        <is>
          <t/>
        </is>
      </c>
      <c r="H645" s="3" t="inlineStr">
        <is>
          <t>Debhora Garcia</t>
        </is>
      </c>
      <c r="I645" s="3" t="inlineStr">
        <is>
          <t>Debhora Garcia</t>
        </is>
      </c>
      <c r="J645" s="4" t="n">
        <v>45855.99037037037</v>
      </c>
      <c r="K645" s="5" t="n">
        <v>45856.0</v>
      </c>
      <c r="L645" s="5" t="n">
        <v>45855.0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42847922MDD3003, 89495120MDD2001</t>
        </is>
      </c>
    </row>
    <row r="646">
      <c r="A646" s="2" t="str">
        <f>HYPERLINK("https://vtmf.veevavault.com/ui/#doc_info/29892462/1/0", "42847922MDD3003---Meeting Material-17 Jul 2025 (v1.0)")</f>
        <v>42847922MDD3003---Meeting Material-17 Jul 2025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Janssen ALL-Team Meeting</t>
        </is>
      </c>
      <c r="F646" s="2" t="str">
        <f>HYPERLINK("https://vtmf.veevavault.com/ui/#doc_info/29892462/1/0", "VTMF-24061383")</f>
        <v>VTMF-24061383</v>
      </c>
      <c r="G646" s="3" t="inlineStr">
        <is>
          <t/>
        </is>
      </c>
      <c r="H646" s="3" t="inlineStr">
        <is>
          <t>Anthony Suarez (veeva.com)</t>
        </is>
      </c>
      <c r="I646" s="3" t="inlineStr">
        <is>
          <t>Gina Stefanelli</t>
        </is>
      </c>
      <c r="J646" s="4" t="n">
        <v>45904.638657407406</v>
      </c>
      <c r="K646" s="5" t="n">
        <v>45904.0</v>
      </c>
      <c r="L646" s="5" t="n">
        <v>45855.0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42847922MDD3003, 67953964MDD3005, 67953964MDD3007</t>
        </is>
      </c>
    </row>
    <row r="647">
      <c r="A647" s="2" t="str">
        <f>HYPERLINK("https://vtmf.veevavault.com/ui/#doc_info/30136993/1/0", "42847922MDD3003---Meeting Material-17 Jul 2025 (v1.0)")</f>
        <v>42847922MDD3003---Meeting Material-17 Jul 2025 (v1.0)</v>
      </c>
      <c r="B647" s="3" t="inlineStr">
        <is>
          <t>Third Parties</t>
        </is>
      </c>
      <c r="C647" s="3" t="inlineStr">
        <is>
          <t>General</t>
        </is>
      </c>
      <c r="D647" s="3" t="inlineStr">
        <is>
          <t>Meeting Material</t>
        </is>
      </c>
      <c r="E647" s="3" t="inlineStr">
        <is>
          <t>11162 - JJClarivate - Sleep disturbance in MDD Meeting minutes and actions (17th July 2025)</t>
        </is>
      </c>
      <c r="F647" s="2" t="str">
        <f>HYPERLINK("https://vtmf.veevavault.com/ui/#doc_info/30136993/1/0", "VTMF-24261405")</f>
        <v>VTMF-24261405</v>
      </c>
      <c r="G647" s="3" t="inlineStr">
        <is>
          <t/>
        </is>
      </c>
      <c r="H647" s="3" t="inlineStr">
        <is>
          <t>System</t>
        </is>
      </c>
      <c r="I647" s="3" t="inlineStr">
        <is>
          <t>Debhora Garcia</t>
        </is>
      </c>
      <c r="J647" s="4" t="n">
        <v>45940.88662037037</v>
      </c>
      <c r="K647" s="5" t="n">
        <v>45940.0</v>
      </c>
      <c r="L647" s="5" t="n">
        <v>45855.0</v>
      </c>
      <c r="M647" s="3" t="inlineStr">
        <is>
          <t>Approved</t>
        </is>
      </c>
      <c r="N647" s="3" t="inlineStr">
        <is>
          <t>Study Close</t>
        </is>
      </c>
      <c r="O647" s="3" t="inlineStr">
        <is>
          <t>42847922MDD3003</t>
        </is>
      </c>
    </row>
    <row r="648">
      <c r="A648" s="2" t="str">
        <f>HYPERLINK("https://vtmf.veevavault.com/ui/#doc_info/26617108/1/0", "42847922MDD3003---Meeting Material-17 Jun 2024 (v1.0)")</f>
        <v>42847922MDD3003---Meeting Material-17 Jun 2024 (v1.0)</v>
      </c>
      <c r="B648" s="3" t="inlineStr">
        <is>
          <t>Third Parties</t>
        </is>
      </c>
      <c r="C648" s="3" t="inlineStr">
        <is>
          <t>General</t>
        </is>
      </c>
      <c r="D648" s="3" t="inlineStr">
        <is>
          <t>Meeting Material</t>
        </is>
      </c>
      <c r="E648" s="3" t="inlineStr">
        <is>
          <t>4G IRT  Maintenance_Project_Management_Tracker</t>
        </is>
      </c>
      <c r="F648" s="2" t="str">
        <f>HYPERLINK("https://vtmf.veevavault.com/ui/#doc_info/26617108/1/0", "VTMF-21320210")</f>
        <v>VTMF-21320210</v>
      </c>
      <c r="G648" s="3" t="inlineStr">
        <is>
          <t/>
        </is>
      </c>
      <c r="H648" s="3" t="inlineStr">
        <is>
          <t>Gina Stefanelli</t>
        </is>
      </c>
      <c r="I648" s="3" t="inlineStr">
        <is>
          <t>Gina Stefanelli</t>
        </is>
      </c>
      <c r="J648" s="4" t="n">
        <v>45471.69427083333</v>
      </c>
      <c r="K648" s="5" t="n">
        <v>45471.0</v>
      </c>
      <c r="L648" s="5" t="n">
        <v>45460.0</v>
      </c>
      <c r="M648" s="3" t="inlineStr">
        <is>
          <t>Approved</t>
        </is>
      </c>
      <c r="N648" s="3" t="inlineStr">
        <is>
          <t>Study Close</t>
        </is>
      </c>
      <c r="O648" s="3" t="inlineStr">
        <is>
          <t>42847922MDD3003</t>
        </is>
      </c>
    </row>
    <row r="649">
      <c r="A649" s="2" t="str">
        <f>HYPERLINK("https://vtmf.veevavault.com/ui/#doc_info/29373343/1/0", "42847922MDD3003---Meeting Material-17 Jun 2025 (v1.0)")</f>
        <v>42847922MDD3003---Meeting Material-17 Jun 2025 (v1.0)</v>
      </c>
      <c r="B649" s="3" t="inlineStr">
        <is>
          <t>Third Parties</t>
        </is>
      </c>
      <c r="C649" s="3" t="inlineStr">
        <is>
          <t>General</t>
        </is>
      </c>
      <c r="D649" s="3" t="inlineStr">
        <is>
          <t>Meeting Material</t>
        </is>
      </c>
      <c r="E649" s="3" t="inlineStr">
        <is>
          <t>4G IRT Maintenance_Project_Management_Tracker</t>
        </is>
      </c>
      <c r="F649" s="2" t="str">
        <f>HYPERLINK("https://vtmf.veevavault.com/ui/#doc_info/29373343/1/0", "VTMF-23614642")</f>
        <v>VTMF-23614642</v>
      </c>
      <c r="G649" s="3" t="inlineStr">
        <is>
          <t/>
        </is>
      </c>
      <c r="H649" s="3" t="inlineStr">
        <is>
          <t>System</t>
        </is>
      </c>
      <c r="I649" s="3" t="inlineStr">
        <is>
          <t>Gina Stefanelli</t>
        </is>
      </c>
      <c r="J649" s="4" t="n">
        <v>45825.81346064815</v>
      </c>
      <c r="K649" s="5" t="n">
        <v>45825.0</v>
      </c>
      <c r="L649" s="5" t="n">
        <v>45825.0</v>
      </c>
      <c r="M649" s="3" t="inlineStr">
        <is>
          <t>Approved</t>
        </is>
      </c>
      <c r="N649" s="3" t="inlineStr">
        <is>
          <t>Study Close</t>
        </is>
      </c>
      <c r="O649" s="3" t="inlineStr">
        <is>
          <t>42847922MDD3003</t>
        </is>
      </c>
    </row>
    <row r="650">
      <c r="A650" s="2" t="str">
        <f>HYPERLINK("https://vtmf.veevavault.com/ui/#doc_info/26382061/1/0", "42847922MDD3003---Meeting Material-17 May 2024 (v1.0)")</f>
        <v>42847922MDD3003---Meeting Material-17 May 2024 (v1.0)</v>
      </c>
      <c r="B650" s="3" t="inlineStr">
        <is>
          <t>Third Parties</t>
        </is>
      </c>
      <c r="C650" s="3" t="inlineStr">
        <is>
          <t>General</t>
        </is>
      </c>
      <c r="D650" s="3" t="inlineStr">
        <is>
          <t>Meeting Material</t>
        </is>
      </c>
      <c r="E650" s="3" t="inlineStr">
        <is>
          <t>Cronos Operations Meeting Minutes Actions Log</t>
        </is>
      </c>
      <c r="F650" s="2" t="str">
        <f>HYPERLINK("https://vtmf.veevavault.com/ui/#doc_info/26382061/1/0", "VTMF-21113307")</f>
        <v>VTMF-21113307</v>
      </c>
      <c r="G650" s="3" t="inlineStr">
        <is>
          <t/>
        </is>
      </c>
      <c r="H650" s="3" t="inlineStr">
        <is>
          <t>Gina Stefanelli</t>
        </is>
      </c>
      <c r="I650" s="3" t="inlineStr">
        <is>
          <t>Gina Stefanelli</t>
        </is>
      </c>
      <c r="J650" s="4" t="n">
        <v>45435.570081018515</v>
      </c>
      <c r="K650" s="5" t="n">
        <v>45435.0</v>
      </c>
      <c r="L650" s="5" t="n">
        <v>45429.0</v>
      </c>
      <c r="M650" s="3" t="inlineStr">
        <is>
          <t>Approved</t>
        </is>
      </c>
      <c r="N650" s="3" t="inlineStr">
        <is>
          <t>Study Close</t>
        </is>
      </c>
      <c r="O650" s="3" t="inlineStr">
        <is>
          <t>42847922MDD3003</t>
        </is>
      </c>
    </row>
    <row r="651">
      <c r="A651" s="2" t="str">
        <f>HYPERLINK("https://vtmf.veevavault.com/ui/#doc_info/30397755/1/0", "42847922MDD3003---Meeting Material-17 Nov 2025 (v1.0)")</f>
        <v>42847922MDD3003---Meeting Material-17 Nov 2025 (v1.0)</v>
      </c>
      <c r="B651" s="3" t="inlineStr">
        <is>
          <t>Third Parties</t>
        </is>
      </c>
      <c r="C651" s="3" t="inlineStr">
        <is>
          <t>General</t>
        </is>
      </c>
      <c r="D651" s="3" t="inlineStr">
        <is>
          <t>Meeting Material</t>
        </is>
      </c>
      <c r="E651" s="3" t="inlineStr">
        <is>
          <t>4G IRT Maintenance_Project_Management_Tracker</t>
        </is>
      </c>
      <c r="F651" s="2" t="str">
        <f>HYPERLINK("https://vtmf.veevavault.com/ui/#doc_info/30397755/1/0", "VTMF-24484513")</f>
        <v>VTMF-24484513</v>
      </c>
      <c r="G651" s="3" t="inlineStr">
        <is>
          <t/>
        </is>
      </c>
      <c r="H651" s="3" t="inlineStr">
        <is>
          <t>System</t>
        </is>
      </c>
      <c r="I651" s="3" t="inlineStr">
        <is>
          <t>Gina Stefanelli</t>
        </is>
      </c>
      <c r="J651" s="4" t="n">
        <v>45978.66516203704</v>
      </c>
      <c r="K651" s="5" t="n">
        <v>45978.0</v>
      </c>
      <c r="L651" s="5" t="n">
        <v>45978.0</v>
      </c>
      <c r="M651" s="3" t="inlineStr">
        <is>
          <t>Approved</t>
        </is>
      </c>
      <c r="N651" s="3" t="inlineStr">
        <is>
          <t>Study Close</t>
        </is>
      </c>
      <c r="O651" s="3" t="inlineStr">
        <is>
          <t>42847922MDD3003</t>
        </is>
      </c>
    </row>
    <row r="652">
      <c r="A652" s="2" t="str">
        <f>HYPERLINK("https://vtmf.veevavault.com/ui/#doc_info/27126255/1/0", "42847922MDD3003---Meeting Material-17 Sep 2024 (v1.0)")</f>
        <v>42847922MDD3003---Meeting Material-17 Sep 2024 (v1.0)</v>
      </c>
      <c r="B652" s="3" t="inlineStr">
        <is>
          <t>Third Parties</t>
        </is>
      </c>
      <c r="C652" s="3" t="inlineStr">
        <is>
          <t>General</t>
        </is>
      </c>
      <c r="D652" s="3" t="inlineStr">
        <is>
          <t>Meeting Material</t>
        </is>
      </c>
      <c r="E652" s="3" t="inlineStr">
        <is>
          <t>LabCorp Weekly Meeting ADI Log</t>
        </is>
      </c>
      <c r="F652" s="2" t="str">
        <f>HYPERLINK("https://vtmf.veevavault.com/ui/#doc_info/27126255/1/0", "VTMF-21746505")</f>
        <v>VTMF-21746505</v>
      </c>
      <c r="G652" s="3" t="inlineStr">
        <is>
          <t/>
        </is>
      </c>
      <c r="H652" s="3" t="inlineStr">
        <is>
          <t>Anthony Suarez (veeva.com)</t>
        </is>
      </c>
      <c r="I652" s="3" t="inlineStr">
        <is>
          <t>Debhora Garcia</t>
        </is>
      </c>
      <c r="J652" s="4" t="n">
        <v>45558.73752314815</v>
      </c>
      <c r="K652" s="5" t="n">
        <v>45558.0</v>
      </c>
      <c r="L652" s="5" t="n">
        <v>45552.0</v>
      </c>
      <c r="M652" s="3" t="inlineStr">
        <is>
          <t>Approved</t>
        </is>
      </c>
      <c r="N652" s="3" t="inlineStr">
        <is>
          <t>Study Close</t>
        </is>
      </c>
      <c r="O652" s="3" t="inlineStr">
        <is>
          <t>42847922MDD3003</t>
        </is>
      </c>
    </row>
    <row r="653">
      <c r="A653" s="2" t="str">
        <f>HYPERLINK("https://vtmf.veevavault.com/ui/#doc_info/29895524/2/0", "42847922MDD3003---Meeting Material-18 Aug 2025 (v2.0)")</f>
        <v>42847922MDD3003---Meeting Material-18 Aug 2025 (v2.0)</v>
      </c>
      <c r="B653" s="3" t="inlineStr">
        <is>
          <t>Third Parties</t>
        </is>
      </c>
      <c r="C653" s="3" t="inlineStr">
        <is>
          <t>General</t>
        </is>
      </c>
      <c r="D653" s="3" t="inlineStr">
        <is>
          <t>Meeting Material</t>
        </is>
      </c>
      <c r="E653" s="3" t="inlineStr">
        <is>
          <t>MGH CTNI Bi-Weekly Call Minutes</t>
        </is>
      </c>
      <c r="F653" s="2" t="str">
        <f>HYPERLINK("https://vtmf.veevavault.com/ui/#doc_info/29895524/2/0", "VTMF-24063725")</f>
        <v>VTMF-24063725</v>
      </c>
      <c r="G653" s="3" t="inlineStr">
        <is>
          <t/>
        </is>
      </c>
      <c r="H653" s="3" t="inlineStr">
        <is>
          <t>Gina Stefanelli</t>
        </is>
      </c>
      <c r="I653" s="3" t="inlineStr">
        <is>
          <t>Gina Stefanelli</t>
        </is>
      </c>
      <c r="J653" s="4" t="n">
        <v>45904.86087962963</v>
      </c>
      <c r="K653" s="5" t="n">
        <v>45904.0</v>
      </c>
      <c r="L653" s="5" t="n">
        <v>45887.0</v>
      </c>
      <c r="M653" s="3" t="inlineStr">
        <is>
          <t>Approved</t>
        </is>
      </c>
      <c r="N653" s="3" t="inlineStr">
        <is>
          <t>Study Close</t>
        </is>
      </c>
      <c r="O653" s="3" t="inlineStr">
        <is>
          <t>42847922MDD3003</t>
        </is>
      </c>
    </row>
    <row r="654">
      <c r="A654" s="2" t="str">
        <f>HYPERLINK("https://vtmf.veevavault.com/ui/#doc_info/28322106/1/0", "42847922MDD3003---Meeting Material-18 Feb 2025 (v1.0)")</f>
        <v>42847922MDD3003---Meeting Material-18 Feb 2025 (v1.0)</v>
      </c>
      <c r="B654" s="3" t="inlineStr">
        <is>
          <t>Third Parties</t>
        </is>
      </c>
      <c r="C654" s="3" t="inlineStr">
        <is>
          <t>General</t>
        </is>
      </c>
      <c r="D654" s="3" t="inlineStr">
        <is>
          <t>Meeting Material</t>
        </is>
      </c>
      <c r="E654" s="3" t="inlineStr">
        <is>
          <t>Labcorp Weekly Meeting | ADI Log</t>
        </is>
      </c>
      <c r="F654" s="2" t="str">
        <f>HYPERLINK("https://vtmf.veevavault.com/ui/#doc_info/28322106/1/0", "VTMF-22721369")</f>
        <v>VTMF-22721369</v>
      </c>
      <c r="G654" s="3" t="inlineStr">
        <is>
          <t/>
        </is>
      </c>
      <c r="H654" s="3" t="inlineStr">
        <is>
          <t>Anthony Suarez (veeva.com)</t>
        </is>
      </c>
      <c r="I654" s="3" t="inlineStr">
        <is>
          <t>Gina Stefanelli</t>
        </is>
      </c>
      <c r="J654" s="4" t="n">
        <v>45706.948842592596</v>
      </c>
      <c r="K654" s="5" t="n">
        <v>45712.0</v>
      </c>
      <c r="L654" s="5" t="n">
        <v>45706.0</v>
      </c>
      <c r="M654" s="3" t="inlineStr">
        <is>
          <t>Approved</t>
        </is>
      </c>
      <c r="N654" s="3" t="inlineStr">
        <is>
          <t>Study Close</t>
        </is>
      </c>
      <c r="O654" s="3" t="inlineStr">
        <is>
          <t>42847922MDD3003</t>
        </is>
      </c>
    </row>
    <row r="655">
      <c r="A655" s="2" t="str">
        <f>HYPERLINK("https://vtmf.veevavault.com/ui/#doc_info/28349282/1/0", "42847922MDD3003---Meeting Material-18 Feb 2025 (v1.0)")</f>
        <v>42847922MDD3003---Meeting Material-18 Feb 2025 (v1.0)</v>
      </c>
      <c r="B655" s="3" t="inlineStr">
        <is>
          <t>Third Parties</t>
        </is>
      </c>
      <c r="C655" s="3" t="inlineStr">
        <is>
          <t>General</t>
        </is>
      </c>
      <c r="D655" s="3" t="inlineStr">
        <is>
          <t>Meeting Material</t>
        </is>
      </c>
      <c r="E655" s="3" t="inlineStr">
        <is>
          <t>MGH CTNI_Bi-Weekly Call minutes</t>
        </is>
      </c>
      <c r="F655" s="2" t="str">
        <f>HYPERLINK("https://vtmf.veevavault.com/ui/#doc_info/28349282/1/0", "VTMF-22745464")</f>
        <v>VTMF-22745464</v>
      </c>
      <c r="G655" s="3" t="inlineStr">
        <is>
          <t/>
        </is>
      </c>
      <c r="H655" s="3" t="inlineStr">
        <is>
          <t>Gina Stefanelli</t>
        </is>
      </c>
      <c r="I655" s="3" t="inlineStr">
        <is>
          <t>Gina Stefanelli</t>
        </is>
      </c>
      <c r="J655" s="4" t="n">
        <v>45709.70601851852</v>
      </c>
      <c r="K655" s="5" t="n">
        <v>45709.0</v>
      </c>
      <c r="L655" s="5" t="n">
        <v>45706.0</v>
      </c>
      <c r="M655" s="3" t="inlineStr">
        <is>
          <t>Approved</t>
        </is>
      </c>
      <c r="N655" s="3" t="inlineStr">
        <is>
          <t>Study Close</t>
        </is>
      </c>
      <c r="O655" s="3" t="inlineStr">
        <is>
          <t>42847922MDD3003</t>
        </is>
      </c>
    </row>
    <row r="656">
      <c r="A656" s="2" t="str">
        <f>HYPERLINK("https://vtmf.veevavault.com/ui/#doc_info/28696522/1/0", "42847922MDD3003---Meeting Material-18 Mar 2025 (v1.0)")</f>
        <v>42847922MDD3003---Meeting Material-18 Mar 2025 (v1.0)</v>
      </c>
      <c r="B656" s="3" t="inlineStr">
        <is>
          <t>Third Parties</t>
        </is>
      </c>
      <c r="C656" s="3" t="inlineStr">
        <is>
          <t>General</t>
        </is>
      </c>
      <c r="D656" s="3" t="inlineStr">
        <is>
          <t>Meeting Material</t>
        </is>
      </c>
      <c r="E656" s="3" t="inlineStr">
        <is>
          <t>LabCorp Weekly Meeting ADI Log</t>
        </is>
      </c>
      <c r="F656" s="2" t="str">
        <f>HYPERLINK("https://vtmf.veevavault.com/ui/#doc_info/28696522/1/0", "VTMF-23051697")</f>
        <v>VTMF-23051697</v>
      </c>
      <c r="G656" s="3" t="inlineStr">
        <is>
          <t/>
        </is>
      </c>
      <c r="H656" s="3" t="inlineStr">
        <is>
          <t>Anthony Suarez (veeva.com)</t>
        </is>
      </c>
      <c r="I656" s="3" t="inlineStr">
        <is>
          <t>Debhora Garcia</t>
        </is>
      </c>
      <c r="J656" s="4" t="n">
        <v>45735.08221064815</v>
      </c>
      <c r="K656" s="5" t="n">
        <v>45735.0</v>
      </c>
      <c r="L656" s="5" t="n">
        <v>45734.0</v>
      </c>
      <c r="M656" s="3" t="inlineStr">
        <is>
          <t>Approved</t>
        </is>
      </c>
      <c r="N656" s="3" t="inlineStr">
        <is>
          <t>Study Close</t>
        </is>
      </c>
      <c r="O656" s="3" t="inlineStr">
        <is>
          <t>42847922MDD3003</t>
        </is>
      </c>
    </row>
    <row r="657">
      <c r="A657" s="2" t="str">
        <f>HYPERLINK("https://vtmf.veevavault.com/ui/#doc_info/31789409/1/0", "42847922MDD3003---Meeting Material-18 May 2026 (v1.0)")</f>
        <v>42847922MDD3003---Meeting Material-18 May 2026 (v1.0)</v>
      </c>
      <c r="B657" s="3" t="inlineStr">
        <is>
          <t>Third Parties</t>
        </is>
      </c>
      <c r="C657" s="3" t="inlineStr">
        <is>
          <t>General</t>
        </is>
      </c>
      <c r="D657" s="3" t="inlineStr">
        <is>
          <t>Meeting Material</t>
        </is>
      </c>
      <c r="E657" s="3" t="inlineStr">
        <is>
          <t>4G IRT Maintenance_Project_Management_Tracker</t>
        </is>
      </c>
      <c r="F657" s="2" t="str">
        <f>HYPERLINK("https://vtmf.veevavault.com/ui/#doc_info/31789409/1/0", "VTMF-25660099")</f>
        <v>VTMF-25660099</v>
      </c>
      <c r="G657" s="3" t="inlineStr">
        <is>
          <t/>
        </is>
      </c>
      <c r="H657" s="3" t="inlineStr">
        <is>
          <t>System</t>
        </is>
      </c>
      <c r="I657" s="3" t="inlineStr">
        <is>
          <t>Aurora Barbera</t>
        </is>
      </c>
      <c r="J657" s="4" t="n">
        <v>46174.676574074074</v>
      </c>
      <c r="K657" s="5" t="n">
        <v>46174.0</v>
      </c>
      <c r="L657" s="5" t="n">
        <v>46160.0</v>
      </c>
      <c r="M657" s="3" t="inlineStr">
        <is>
          <t>Approved</t>
        </is>
      </c>
      <c r="N657" s="3" t="inlineStr">
        <is>
          <t>Study Close</t>
        </is>
      </c>
      <c r="O657" s="3" t="inlineStr">
        <is>
          <t>42847922MDD3003</t>
        </is>
      </c>
    </row>
    <row r="658">
      <c r="A658" s="2" t="str">
        <f>HYPERLINK("https://vtmf.veevavault.com/ui/#doc_info/27507313/1/0", "42847922MDD3003---Meeting Material-18 Nov 2024 (v1.0)")</f>
        <v>42847922MDD3003---Meeting Material-18 Nov 2024 (v1.0)</v>
      </c>
      <c r="B658" s="3" t="inlineStr">
        <is>
          <t>Third Parties</t>
        </is>
      </c>
      <c r="C658" s="3" t="inlineStr">
        <is>
          <t>General</t>
        </is>
      </c>
      <c r="D658" s="3" t="inlineStr">
        <is>
          <t>Meeting Material</t>
        </is>
      </c>
      <c r="E658" s="3" t="inlineStr">
        <is>
          <t>4G IRT _Maintenance_Project_Management_Tracker</t>
        </is>
      </c>
      <c r="F658" s="2" t="str">
        <f>HYPERLINK("https://vtmf.veevavault.com/ui/#doc_info/27507313/1/0", "VTMF-22063260")</f>
        <v>VTMF-22063260</v>
      </c>
      <c r="G658" s="3" t="inlineStr">
        <is>
          <t/>
        </is>
      </c>
      <c r="H658" s="3" t="inlineStr">
        <is>
          <t>Anthony Suarez (veeva.com)</t>
        </is>
      </c>
      <c r="I658" s="3" t="inlineStr">
        <is>
          <t>Gina Stefanelli</t>
        </is>
      </c>
      <c r="J658" s="4" t="n">
        <v>45614.723495370374</v>
      </c>
      <c r="K658" s="5" t="n">
        <v>45614.0</v>
      </c>
      <c r="L658" s="5" t="n">
        <v>45614.0</v>
      </c>
      <c r="M658" s="3" t="inlineStr">
        <is>
          <t>Approved</t>
        </is>
      </c>
      <c r="N658" s="3" t="inlineStr">
        <is>
          <t>Study Close</t>
        </is>
      </c>
      <c r="O658" s="3" t="inlineStr">
        <is>
          <t>42847922MDD3003</t>
        </is>
      </c>
    </row>
    <row r="659">
      <c r="A659" s="2" t="str">
        <f>HYPERLINK("https://vtmf.veevavault.com/ui/#doc_info/27515565/1/0", "42847922MDD3003---Meeting Material-18 Nov 2024 (v1.0)")</f>
        <v>42847922MDD3003---Meeting Material-18 Nov 2024 (v1.0)</v>
      </c>
      <c r="B659" s="3" t="inlineStr">
        <is>
          <t>Third Parties</t>
        </is>
      </c>
      <c r="C659" s="3" t="inlineStr">
        <is>
          <t>General</t>
        </is>
      </c>
      <c r="D659" s="3" t="inlineStr">
        <is>
          <t>Meeting Material</t>
        </is>
      </c>
      <c r="E659" s="3" t="inlineStr">
        <is>
          <t>Cronos Operations Meeting Minutes Actions Log</t>
        </is>
      </c>
      <c r="F659" s="2" t="str">
        <f>HYPERLINK("https://vtmf.veevavault.com/ui/#doc_info/27515565/1/0", "VTMF-22070193")</f>
        <v>VTMF-22070193</v>
      </c>
      <c r="G659" s="3" t="inlineStr">
        <is>
          <t/>
        </is>
      </c>
      <c r="H659" s="3" t="inlineStr">
        <is>
          <t>Anthony Suarez (veeva.com)</t>
        </is>
      </c>
      <c r="I659" s="3" t="inlineStr">
        <is>
          <t>Gina Stefanelli</t>
        </is>
      </c>
      <c r="J659" s="4" t="n">
        <v>45615.68491898148</v>
      </c>
      <c r="K659" s="5" t="n">
        <v>45615.0</v>
      </c>
      <c r="L659" s="5" t="n">
        <v>45614.0</v>
      </c>
      <c r="M659" s="3" t="inlineStr">
        <is>
          <t>Approved</t>
        </is>
      </c>
      <c r="N659" s="3" t="inlineStr">
        <is>
          <t>Study Close</t>
        </is>
      </c>
      <c r="O659" s="3" t="inlineStr">
        <is>
          <t>42847922MDD3003</t>
        </is>
      </c>
    </row>
    <row r="660">
      <c r="A660" s="2" t="str">
        <f>HYPERLINK("https://vtmf.veevavault.com/ui/#doc_info/30434641/1/0", "42847922MDD3003---Meeting Material-18 Nov 2025 (v1.0)")</f>
        <v>42847922MDD3003---Meeting Material-18 Nov 2025 (v1.0)</v>
      </c>
      <c r="B660" s="3" t="inlineStr">
        <is>
          <t>Third Parties</t>
        </is>
      </c>
      <c r="C660" s="3" t="inlineStr">
        <is>
          <t>General</t>
        </is>
      </c>
      <c r="D660" s="3" t="inlineStr">
        <is>
          <t>Meeting Material</t>
        </is>
      </c>
      <c r="E660" s="3" t="inlineStr">
        <is>
          <t>Labcorp Weekly Meeting | ADI Log</t>
        </is>
      </c>
      <c r="F660" s="2" t="str">
        <f>HYPERLINK("https://vtmf.veevavault.com/ui/#doc_info/30434641/1/0", "VTMF-24516960")</f>
        <v>VTMF-24516960</v>
      </c>
      <c r="G660" s="3" t="inlineStr">
        <is>
          <t/>
        </is>
      </c>
      <c r="H660" s="3" t="inlineStr">
        <is>
          <t>System</t>
        </is>
      </c>
      <c r="I660" s="3" t="inlineStr">
        <is>
          <t>Debhora Garcia</t>
        </is>
      </c>
      <c r="J660" s="4" t="n">
        <v>45981.2609375</v>
      </c>
      <c r="K660" s="5" t="n">
        <v>45981.0</v>
      </c>
      <c r="L660" s="5" t="n">
        <v>45979.0</v>
      </c>
      <c r="M660" s="3" t="inlineStr">
        <is>
          <t>Approved</t>
        </is>
      </c>
      <c r="N660" s="3" t="inlineStr">
        <is>
          <t>Study Close</t>
        </is>
      </c>
      <c r="O660" s="3" t="inlineStr">
        <is>
          <t>42847922MDD3003</t>
        </is>
      </c>
    </row>
    <row r="661">
      <c r="A661" s="2" t="str">
        <f>HYPERLINK("https://vtmf.veevavault.com/ui/#doc_info/29981674/1/0", "42847922MDD3003---Meeting Material-18 Sep 2025 (v1.0)")</f>
        <v>42847922MDD3003---Meeting Material-18 Sep 2025 (v1.0)</v>
      </c>
      <c r="B661" s="3" t="inlineStr">
        <is>
          <t>Third Parties</t>
        </is>
      </c>
      <c r="C661" s="3" t="inlineStr">
        <is>
          <t>General</t>
        </is>
      </c>
      <c r="D661" s="3" t="inlineStr">
        <is>
          <t>Meeting Material</t>
        </is>
      </c>
      <c r="E661" s="3" t="inlineStr">
        <is>
          <t>LabCorp Weekly Meeting ADI Log</t>
        </is>
      </c>
      <c r="F661" s="2" t="str">
        <f>HYPERLINK("https://vtmf.veevavault.com/ui/#doc_info/29981674/1/0", "VTMF-24137392")</f>
        <v>VTMF-24137392</v>
      </c>
      <c r="G661" s="3" t="inlineStr">
        <is>
          <t/>
        </is>
      </c>
      <c r="H661" s="3" t="inlineStr">
        <is>
          <t>System</t>
        </is>
      </c>
      <c r="I661" s="3" t="inlineStr">
        <is>
          <t>Debhora Garcia</t>
        </is>
      </c>
      <c r="J661" s="4" t="n">
        <v>45919.0209375</v>
      </c>
      <c r="K661" s="5" t="n">
        <v>45918.0</v>
      </c>
      <c r="L661" s="5" t="n">
        <v>45918.0</v>
      </c>
      <c r="M661" s="3" t="inlineStr">
        <is>
          <t>Approved</t>
        </is>
      </c>
      <c r="N661" s="3" t="inlineStr">
        <is>
          <t>Study Close</t>
        </is>
      </c>
      <c r="O661" s="3" t="inlineStr">
        <is>
          <t>42847922MDD3003</t>
        </is>
      </c>
    </row>
    <row r="662">
      <c r="A662" s="2" t="str">
        <f>HYPERLINK("https://vtmf.veevavault.com/ui/#doc_info/26930878/1/0", "42847922MDD3003---Meeting Material-19 Aug 2024 (v1.0)")</f>
        <v>42847922MDD3003---Meeting Material-19 Aug 2024 (v1.0)</v>
      </c>
      <c r="B662" s="3" t="inlineStr">
        <is>
          <t>Third Parties</t>
        </is>
      </c>
      <c r="C662" s="3" t="inlineStr">
        <is>
          <t>General</t>
        </is>
      </c>
      <c r="D662" s="3" t="inlineStr">
        <is>
          <t>Meeting Material</t>
        </is>
      </c>
      <c r="E662" s="3" t="inlineStr">
        <is>
          <t>MGH CTNI Bi-Weekly Call Agenda</t>
        </is>
      </c>
      <c r="F662" s="2" t="str">
        <f>HYPERLINK("https://vtmf.veevavault.com/ui/#doc_info/26930878/1/0", "VTMF-21588175")</f>
        <v>VTMF-21588175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Debhora Garcia</t>
        </is>
      </c>
      <c r="J662" s="4" t="n">
        <v>45526.07815972222</v>
      </c>
      <c r="K662" s="5" t="n">
        <v>45525.0</v>
      </c>
      <c r="L662" s="5" t="n">
        <v>45523.0</v>
      </c>
      <c r="M662" s="3" t="inlineStr">
        <is>
          <t>Approved</t>
        </is>
      </c>
      <c r="N662" s="3" t="inlineStr">
        <is>
          <t>Study Close</t>
        </is>
      </c>
      <c r="O662" s="3" t="inlineStr">
        <is>
          <t>42847922MDD3003</t>
        </is>
      </c>
    </row>
    <row r="663">
      <c r="A663" s="2" t="str">
        <f>HYPERLINK("https://vtmf.veevavault.com/ui/#doc_info/27947949/1/0", "42847922MDD3003---Meeting Material-19 Dec 2024 (v1.0)")</f>
        <v>42847922MDD3003---Meeting Material-19 Dec 2024 (v1.0)</v>
      </c>
      <c r="B663" s="3" t="inlineStr">
        <is>
          <t>Third Parties</t>
        </is>
      </c>
      <c r="C663" s="3" t="inlineStr">
        <is>
          <t>General</t>
        </is>
      </c>
      <c r="D663" s="3" t="inlineStr">
        <is>
          <t>Meeting Material</t>
        </is>
      </c>
      <c r="E663" s="3" t="inlineStr">
        <is>
          <t>Labcorp Weekly Meeting_ADI log</t>
        </is>
      </c>
      <c r="F663" s="2" t="str">
        <f>HYPERLINK("https://vtmf.veevavault.com/ui/#doc_info/27947949/1/0", "VTMF-22407698")</f>
        <v>VTMF-22407698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Debhora Garcia</t>
        </is>
      </c>
      <c r="J663" s="4" t="n">
        <v>45645.86271990741</v>
      </c>
      <c r="K663" s="5" t="n">
        <v>45645.0</v>
      </c>
      <c r="L663" s="5" t="n">
        <v>45645.0</v>
      </c>
      <c r="M663" s="3" t="inlineStr">
        <is>
          <t>Approved</t>
        </is>
      </c>
      <c r="N663" s="3" t="inlineStr">
        <is>
          <t>Study Close</t>
        </is>
      </c>
      <c r="O663" s="3" t="inlineStr">
        <is>
          <t>42847922MDD3003</t>
        </is>
      </c>
    </row>
    <row r="664">
      <c r="A664" s="2" t="str">
        <f>HYPERLINK("https://vtmf.veevavault.com/ui/#doc_info/26748366/1/0", "42847922MDD3003---Meeting Material-19 Jul 2024 (v1.0)")</f>
        <v>42847922MDD3003---Meeting Material-19 Jul 2024 (v1.0)</v>
      </c>
      <c r="B664" s="3" t="inlineStr">
        <is>
          <t>Third Parties</t>
        </is>
      </c>
      <c r="C664" s="3" t="inlineStr">
        <is>
          <t>General</t>
        </is>
      </c>
      <c r="D664" s="3" t="inlineStr">
        <is>
          <t>Meeting Material</t>
        </is>
      </c>
      <c r="E664" s="3" t="inlineStr">
        <is>
          <t>Cronos Operations Meeting Minutes Actions Log</t>
        </is>
      </c>
      <c r="F664" s="2" t="str">
        <f>HYPERLINK("https://vtmf.veevavault.com/ui/#doc_info/26748366/1/0", "VTMF-21434367")</f>
        <v>VTMF-21434367</v>
      </c>
      <c r="G664" s="3" t="inlineStr">
        <is>
          <t/>
        </is>
      </c>
      <c r="H664" s="3" t="inlineStr">
        <is>
          <t>Anthony Suarez (veeva.com)</t>
        </is>
      </c>
      <c r="I664" s="3" t="inlineStr">
        <is>
          <t>Gina Stefanelli</t>
        </is>
      </c>
      <c r="J664" s="4" t="n">
        <v>45495.84736111111</v>
      </c>
      <c r="K664" s="5" t="n">
        <v>45495.0</v>
      </c>
      <c r="L664" s="5" t="n">
        <v>45492.0</v>
      </c>
      <c r="M664" s="3" t="inlineStr">
        <is>
          <t>Approved</t>
        </is>
      </c>
      <c r="N664" s="3" t="inlineStr">
        <is>
          <t>Study Close</t>
        </is>
      </c>
      <c r="O664" s="3" t="inlineStr">
        <is>
          <t>42847922MDD3003</t>
        </is>
      </c>
    </row>
    <row r="665">
      <c r="A665" s="2" t="str">
        <f>HYPERLINK("https://vtmf.veevavault.com/ui/#doc_info/29165131/1/0", "42847922MDD3003---Meeting Material-19 May 2025 (v1.0)")</f>
        <v>42847922MDD3003---Meeting Material-19 May 2025 (v1.0)</v>
      </c>
      <c r="B665" s="3" t="inlineStr">
        <is>
          <t>Third Parties</t>
        </is>
      </c>
      <c r="C665" s="3" t="inlineStr">
        <is>
          <t>General</t>
        </is>
      </c>
      <c r="D665" s="3" t="inlineStr">
        <is>
          <t>Meeting Material</t>
        </is>
      </c>
      <c r="E665" s="3" t="inlineStr">
        <is>
          <t>4G IRT Maintenance_Project_Management_Tracker</t>
        </is>
      </c>
      <c r="F665" s="2" t="str">
        <f>HYPERLINK("https://vtmf.veevavault.com/ui/#doc_info/29165131/1/0", "VTMF-23439680")</f>
        <v>VTMF-23439680</v>
      </c>
      <c r="G665" s="3" t="inlineStr">
        <is>
          <t/>
        </is>
      </c>
      <c r="H665" s="3" t="inlineStr">
        <is>
          <t>Anthony Suarez (veeva.com)</t>
        </is>
      </c>
      <c r="I665" s="3" t="inlineStr">
        <is>
          <t>Gina Stefanelli</t>
        </is>
      </c>
      <c r="J665" s="4" t="n">
        <v>45798.676875</v>
      </c>
      <c r="K665" s="5" t="n">
        <v>45798.0</v>
      </c>
      <c r="L665" s="5" t="n">
        <v>45796.0</v>
      </c>
      <c r="M665" s="3" t="inlineStr">
        <is>
          <t>Approved</t>
        </is>
      </c>
      <c r="N665" s="3" t="inlineStr">
        <is>
          <t>Study Close</t>
        </is>
      </c>
      <c r="O665" s="3" t="inlineStr">
        <is>
          <t>42847922MDD3003</t>
        </is>
      </c>
    </row>
    <row r="666">
      <c r="A666" s="2" t="str">
        <f>HYPERLINK("https://vtmf.veevavault.com/ui/#doc_info/31825614/1/0", "42847922MDD3003---Meeting Material-19 May 2026 (v1.0)")</f>
        <v>42847922MDD3003---Meeting Material-19 May 2026 (v1.0)</v>
      </c>
      <c r="B666" s="3" t="inlineStr">
        <is>
          <t>Third Parties</t>
        </is>
      </c>
      <c r="C666" s="3" t="inlineStr">
        <is>
          <t>General</t>
        </is>
      </c>
      <c r="D666" s="3" t="inlineStr">
        <is>
          <t>Meeting Material</t>
        </is>
      </c>
      <c r="E666" s="3" t="inlineStr">
        <is>
          <t>Beacon Biosignals Meeting Material_MAY 2026</t>
        </is>
      </c>
      <c r="F666" s="2" t="str">
        <f>HYPERLINK("https://vtmf.veevavault.com/ui/#doc_info/31825614/1/0", "VTMF-25691211")</f>
        <v>VTMF-25691211</v>
      </c>
      <c r="G666" s="3" t="inlineStr">
        <is>
          <t/>
        </is>
      </c>
      <c r="H666" s="3" t="inlineStr">
        <is>
          <t>System</t>
        </is>
      </c>
      <c r="I666" s="3" t="inlineStr">
        <is>
          <t>Charles Hayes</t>
        </is>
      </c>
      <c r="J666" s="4" t="n">
        <v>46178.739699074074</v>
      </c>
      <c r="K666" s="5" t="n">
        <v>46178.0</v>
      </c>
      <c r="L666" s="5" t="n">
        <v>46161.0</v>
      </c>
      <c r="M666" s="3" t="inlineStr">
        <is>
          <t>Approved</t>
        </is>
      </c>
      <c r="N666" s="3" t="inlineStr">
        <is>
          <t>Study Close</t>
        </is>
      </c>
      <c r="O666" s="3" t="inlineStr">
        <is>
          <t>42847922MDD3003</t>
        </is>
      </c>
    </row>
    <row r="667">
      <c r="A667" s="2" t="str">
        <f>HYPERLINK("https://vtmf.veevavault.com/ui/#doc_info/30525265/1/0", "42847922MDD3003---Meeting Material-19 Nov 2025 (v1.0)")</f>
        <v>42847922MDD3003---Meeting Material-19 Nov 2025 (v1.0)</v>
      </c>
      <c r="B667" s="3" t="inlineStr">
        <is>
          <t>Third Parties</t>
        </is>
      </c>
      <c r="C667" s="3" t="inlineStr">
        <is>
          <t>General</t>
        </is>
      </c>
      <c r="D667" s="3" t="inlineStr">
        <is>
          <t>Meeting Material</t>
        </is>
      </c>
      <c r="E667" s="3" t="inlineStr">
        <is>
          <t>Beacon Biosignals Site Sync Meeting Minutes</t>
        </is>
      </c>
      <c r="F667" s="2" t="str">
        <f>HYPERLINK("https://vtmf.veevavault.com/ui/#doc_info/30525265/1/0", "VTMF-24592266")</f>
        <v>VTMF-24592266</v>
      </c>
      <c r="G667" s="3" t="inlineStr">
        <is>
          <t/>
        </is>
      </c>
      <c r="H667" s="3" t="inlineStr">
        <is>
          <t>System</t>
        </is>
      </c>
      <c r="I667" s="3" t="inlineStr">
        <is>
          <t>Charles Hayes</t>
        </is>
      </c>
      <c r="J667" s="4" t="n">
        <v>45994.57607638889</v>
      </c>
      <c r="K667" s="5" t="n">
        <v>45994.0</v>
      </c>
      <c r="L667" s="5" t="n">
        <v>45980.0</v>
      </c>
      <c r="M667" s="3" t="inlineStr">
        <is>
          <t>Approved</t>
        </is>
      </c>
      <c r="N667" s="3" t="inlineStr">
        <is>
          <t>Study Close</t>
        </is>
      </c>
      <c r="O667" s="3" t="inlineStr">
        <is>
          <t>42847922MDD3003</t>
        </is>
      </c>
    </row>
    <row r="668">
      <c r="A668" s="2" t="str">
        <f>HYPERLINK("https://vtmf.veevavault.com/ui/#doc_info/31498156/1/0", "42847922MDD3003---Meeting Material-20 Apr 2026 (v1.0)")</f>
        <v>42847922MDD3003---Meeting Material-20 Apr 2026 (v1.0)</v>
      </c>
      <c r="B668" s="3" t="inlineStr">
        <is>
          <t>Third Parties</t>
        </is>
      </c>
      <c r="C668" s="3" t="inlineStr">
        <is>
          <t>General</t>
        </is>
      </c>
      <c r="D668" s="3" t="inlineStr">
        <is>
          <t>Meeting Material</t>
        </is>
      </c>
      <c r="E668" s="3" t="inlineStr">
        <is>
          <t>4G IRT Maintenance_Project_Management_Tracker</t>
        </is>
      </c>
      <c r="F668" s="2" t="str">
        <f>HYPERLINK("https://vtmf.veevavault.com/ui/#doc_info/31498156/1/0", "VTMF-25417510")</f>
        <v>VTMF-25417510</v>
      </c>
      <c r="G668" s="3" t="inlineStr">
        <is>
          <t/>
        </is>
      </c>
      <c r="H668" s="3" t="inlineStr">
        <is>
          <t>System</t>
        </is>
      </c>
      <c r="I668" s="3" t="inlineStr">
        <is>
          <t>Aurora Barbera</t>
        </is>
      </c>
      <c r="J668" s="4" t="n">
        <v>46133.44315972222</v>
      </c>
      <c r="K668" s="5" t="n">
        <v>46133.0</v>
      </c>
      <c r="L668" s="5" t="n">
        <v>46132.0</v>
      </c>
      <c r="M668" s="3" t="inlineStr">
        <is>
          <t>Approved</t>
        </is>
      </c>
      <c r="N668" s="3" t="inlineStr">
        <is>
          <t>Study Close</t>
        </is>
      </c>
      <c r="O668" s="3" t="inlineStr">
        <is>
          <t>42847922MDD3003</t>
        </is>
      </c>
    </row>
    <row r="669">
      <c r="A669" s="2" t="str">
        <f>HYPERLINK("https://vtmf.veevavault.com/ui/#doc_info/26920356/1/0", "42847922MDD3003---Meeting Material-20 Aug 2024 (v1.0)")</f>
        <v>42847922MDD3003---Meeting Material-20 Aug 2024 (v1.0)</v>
      </c>
      <c r="B669" s="3" t="inlineStr">
        <is>
          <t>Third Parties</t>
        </is>
      </c>
      <c r="C669" s="3" t="inlineStr">
        <is>
          <t>General</t>
        </is>
      </c>
      <c r="D669" s="3" t="inlineStr">
        <is>
          <t>Meeting Material</t>
        </is>
      </c>
      <c r="E669" s="3" t="inlineStr">
        <is>
          <t>LabCorp weekly Meeting ADI Log</t>
        </is>
      </c>
      <c r="F669" s="2" t="str">
        <f>HYPERLINK("https://vtmf.veevavault.com/ui/#doc_info/26920356/1/0", "VTMF-21579682")</f>
        <v>VTMF-21579682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Gina Stefanelli</t>
        </is>
      </c>
      <c r="J669" s="4" t="n">
        <v>45524.639444444445</v>
      </c>
      <c r="K669" s="5" t="n">
        <v>45524.0</v>
      </c>
      <c r="L669" s="5" t="n">
        <v>45524.0</v>
      </c>
      <c r="M669" s="3" t="inlineStr">
        <is>
          <t>Approved</t>
        </is>
      </c>
      <c r="N669" s="3" t="inlineStr">
        <is>
          <t>Study Close</t>
        </is>
      </c>
      <c r="O669" s="3" t="inlineStr">
        <is>
          <t>42847922MDD3003</t>
        </is>
      </c>
    </row>
    <row r="670">
      <c r="A670" s="2" t="str">
        <f>HYPERLINK("https://vtmf.veevavault.com/ui/#doc_info/29220939/1/0", "42847922MDD3003---Meeting Material-20 Mar 2025 (v1.0)")</f>
        <v>42847922MDD3003---Meeting Material-20 Mar 2025 (v1.0)</v>
      </c>
      <c r="B670" s="3" t="inlineStr">
        <is>
          <t>Third Parties</t>
        </is>
      </c>
      <c r="C670" s="3" t="inlineStr">
        <is>
          <t>General</t>
        </is>
      </c>
      <c r="D670" s="3" t="inlineStr">
        <is>
          <t>Meeting Material</t>
        </is>
      </c>
      <c r="E670" s="3" t="inlineStr">
        <is>
          <t>Cronos Monthly Data Monitoring Meeting</t>
        </is>
      </c>
      <c r="F670" s="2" t="str">
        <f>HYPERLINK("https://vtmf.veevavault.com/ui/#doc_info/29220939/1/0", "VTMF-23486389")</f>
        <v>VTMF-23486389</v>
      </c>
      <c r="G670" s="3" t="inlineStr">
        <is>
          <t/>
        </is>
      </c>
      <c r="H670" s="3" t="inlineStr">
        <is>
          <t>Gina Stefanelli</t>
        </is>
      </c>
      <c r="I670" s="3" t="inlineStr">
        <is>
          <t>Debhora Garcia</t>
        </is>
      </c>
      <c r="J670" s="4" t="n">
        <v>45805.91006944444</v>
      </c>
      <c r="K670" s="5" t="n">
        <v>45805.0</v>
      </c>
      <c r="L670" s="5" t="n">
        <v>45736.0</v>
      </c>
      <c r="M670" s="3" t="inlineStr">
        <is>
          <t>Approved</t>
        </is>
      </c>
      <c r="N670" s="3" t="inlineStr">
        <is>
          <t>Study Close</t>
        </is>
      </c>
      <c r="O670" s="3" t="inlineStr">
        <is>
          <t>42847922MDD3003</t>
        </is>
      </c>
    </row>
    <row r="671">
      <c r="A671" s="2" t="str">
        <f>HYPERLINK("https://vtmf.veevavault.com/ui/#doc_info/31871085/1/0", "42847922MDD3003---Meeting Material-20 May 2026 (v1.0)")</f>
        <v>42847922MDD3003---Meeting Material-20 May 2026 (v1.0)</v>
      </c>
      <c r="B671" s="3" t="inlineStr">
        <is>
          <t>Data Management</t>
        </is>
      </c>
      <c r="C671" s="3" t="inlineStr">
        <is>
          <t>General</t>
        </is>
      </c>
      <c r="D671" s="3" t="inlineStr">
        <is>
          <t>Meeting Material</t>
        </is>
      </c>
      <c r="E671" s="3" t="inlineStr">
        <is>
          <t>Meeting Minutes GDM/CDA Connect DBL Part 1</t>
        </is>
      </c>
      <c r="F671" s="2" t="str">
        <f>HYPERLINK("https://vtmf.veevavault.com/ui/#doc_info/31871085/1/0", "VTMF-25729342")</f>
        <v>VTMF-25729342</v>
      </c>
      <c r="G671" s="3" t="inlineStr">
        <is>
          <t/>
        </is>
      </c>
      <c r="H671" s="3" t="inlineStr">
        <is>
          <t>System</t>
        </is>
      </c>
      <c r="I671" s="3" t="inlineStr">
        <is>
          <t>Ilona Panis</t>
        </is>
      </c>
      <c r="J671" s="4" t="n">
        <v>46185.63300925926</v>
      </c>
      <c r="K671" s="5" t="n">
        <v>46185.0</v>
      </c>
      <c r="L671" s="5" t="n">
        <v>46162.0</v>
      </c>
      <c r="M671" s="3" t="inlineStr">
        <is>
          <t>Approved</t>
        </is>
      </c>
      <c r="N671" s="3" t="inlineStr">
        <is>
          <t>Study Start</t>
        </is>
      </c>
      <c r="O671" s="3" t="inlineStr">
        <is>
          <t>42847922MDD3003</t>
        </is>
      </c>
    </row>
    <row r="672">
      <c r="A672" s="2" t="str">
        <f>HYPERLINK("https://vtmf.veevavault.com/ui/#doc_info/31884800/1/0", "42847922MDD3003---Meeting Material-20 May 2026 (v1.0)")</f>
        <v>42847922MDD3003---Meeting Material-20 May 2026 (v1.0)</v>
      </c>
      <c r="B672" s="3" t="inlineStr">
        <is>
          <t>Data Management</t>
        </is>
      </c>
      <c r="C672" s="3" t="inlineStr">
        <is>
          <t>General</t>
        </is>
      </c>
      <c r="D672" s="3" t="inlineStr">
        <is>
          <t>Meeting Material</t>
        </is>
      </c>
      <c r="E672" s="3" t="inlineStr">
        <is>
          <t>Pre-Final Critical Query Meeting 20MAY26 DBL Part 1</t>
        </is>
      </c>
      <c r="F672" s="2" t="str">
        <f>HYPERLINK("https://vtmf.veevavault.com/ui/#doc_info/31884800/1/0", "VTMF-25741259")</f>
        <v>VTMF-25741259</v>
      </c>
      <c r="G672" s="3" t="inlineStr">
        <is>
          <t/>
        </is>
      </c>
      <c r="H672" s="3" t="inlineStr">
        <is>
          <t>System</t>
        </is>
      </c>
      <c r="I672" s="3" t="inlineStr">
        <is>
          <t>Ilona Panis</t>
        </is>
      </c>
      <c r="J672" s="4" t="n">
        <v>46189.35482638889</v>
      </c>
      <c r="K672" s="5" t="n">
        <v>46189.0</v>
      </c>
      <c r="L672" s="5" t="n">
        <v>46162.0</v>
      </c>
      <c r="M672" s="3" t="inlineStr">
        <is>
          <t>Approved</t>
        </is>
      </c>
      <c r="N672" s="3" t="inlineStr">
        <is>
          <t>Study Start</t>
        </is>
      </c>
      <c r="O672" s="3" t="inlineStr">
        <is>
          <t>42847922MDD3003</t>
        </is>
      </c>
    </row>
    <row r="673">
      <c r="A673" s="2" t="str">
        <f>HYPERLINK("https://vtmf.veevavault.com/ui/#doc_info/31884909/1/0", "42847922MDD3003---Meeting Material-20 May 2026 (v1.0)")</f>
        <v>42847922MDD3003---Meeting Material-20 May 2026 (v1.0)</v>
      </c>
      <c r="B673" s="3" t="inlineStr">
        <is>
          <t>Data Management</t>
        </is>
      </c>
      <c r="C673" s="3" t="inlineStr">
        <is>
          <t>General</t>
        </is>
      </c>
      <c r="D673" s="3" t="inlineStr">
        <is>
          <t>Meeting Material</t>
        </is>
      </c>
      <c r="E673" s="3" t="inlineStr">
        <is>
          <t>Pre-Final Critical Query Meeting 20MAY26 DBL Part 1 - Query Report</t>
        </is>
      </c>
      <c r="F673" s="2" t="str">
        <f>HYPERLINK("https://vtmf.veevavault.com/ui/#doc_info/31884909/1/0", "VTMF-25741274")</f>
        <v>VTMF-25741274</v>
      </c>
      <c r="G673" s="3" t="inlineStr">
        <is>
          <t/>
        </is>
      </c>
      <c r="H673" s="3" t="inlineStr">
        <is>
          <t>System</t>
        </is>
      </c>
      <c r="I673" s="3" t="inlineStr">
        <is>
          <t>Ilona Panis</t>
        </is>
      </c>
      <c r="J673" s="4" t="n">
        <v>46189.35943287037</v>
      </c>
      <c r="K673" s="5" t="n">
        <v>46189.0</v>
      </c>
      <c r="L673" s="5" t="n">
        <v>46162.0</v>
      </c>
      <c r="M673" s="3" t="inlineStr">
        <is>
          <t>Approved</t>
        </is>
      </c>
      <c r="N673" s="3" t="inlineStr">
        <is>
          <t>Study Start</t>
        </is>
      </c>
      <c r="O673" s="3" t="inlineStr">
        <is>
          <t>42847922MDD3003</t>
        </is>
      </c>
    </row>
    <row r="674">
      <c r="A674" s="2" t="str">
        <f>HYPERLINK("https://vtmf.veevavault.com/ui/#doc_info/30191951/1/0", "42847922MDD3003---Meeting Material-20 Oct 2025 (v1.0)")</f>
        <v>42847922MDD3003---Meeting Material-20 Oct 2025 (v1.0)</v>
      </c>
      <c r="B674" s="3" t="inlineStr">
        <is>
          <t>Third Parties</t>
        </is>
      </c>
      <c r="C674" s="3" t="inlineStr">
        <is>
          <t>General</t>
        </is>
      </c>
      <c r="D674" s="3" t="inlineStr">
        <is>
          <t>Meeting Material</t>
        </is>
      </c>
      <c r="E674" s="3" t="inlineStr">
        <is>
          <t>4G IRT_Maintenance_Project_Management_Tracker</t>
        </is>
      </c>
      <c r="F674" s="2" t="str">
        <f>HYPERLINK("https://vtmf.veevavault.com/ui/#doc_info/30191951/1/0", "VTMF-24308882")</f>
        <v>VTMF-24308882</v>
      </c>
      <c r="G674" s="3" t="inlineStr">
        <is>
          <t/>
        </is>
      </c>
      <c r="H674" s="3" t="inlineStr">
        <is>
          <t>System</t>
        </is>
      </c>
      <c r="I674" s="3" t="inlineStr">
        <is>
          <t>Gina Stefanelli</t>
        </is>
      </c>
      <c r="J674" s="4" t="n">
        <v>45950.67009259259</v>
      </c>
      <c r="K674" s="5" t="n">
        <v>45950.0</v>
      </c>
      <c r="L674" s="5" t="n">
        <v>45950.0</v>
      </c>
      <c r="M674" s="3" t="inlineStr">
        <is>
          <t>Approved</t>
        </is>
      </c>
      <c r="N674" s="3" t="inlineStr">
        <is>
          <t>Study Close</t>
        </is>
      </c>
      <c r="O674" s="3" t="inlineStr">
        <is>
          <t>42847922MDD3003</t>
        </is>
      </c>
    </row>
    <row r="675">
      <c r="A675" s="2" t="str">
        <f>HYPERLINK("https://vtmf.veevavault.com/ui/#doc_info/30200744/1/0", "42847922MDD3003---Meeting Material-20 Oct 2025 (v1.0)")</f>
        <v>42847922MDD3003---Meeting Material-20 Oct 2025 (v1.0)</v>
      </c>
      <c r="B675" s="3" t="inlineStr">
        <is>
          <t>Third Parties</t>
        </is>
      </c>
      <c r="C675" s="3" t="inlineStr">
        <is>
          <t>General</t>
        </is>
      </c>
      <c r="D675" s="3" t="inlineStr">
        <is>
          <t>Meeting Material</t>
        </is>
      </c>
      <c r="E675" s="3" t="inlineStr">
        <is>
          <t>Cronos Clinical Oversight Meeting Slides</t>
        </is>
      </c>
      <c r="F675" s="2" t="str">
        <f>HYPERLINK("https://vtmf.veevavault.com/ui/#doc_info/30200744/1/0", "VTMF-24316385")</f>
        <v>VTMF-24316385</v>
      </c>
      <c r="G675" s="3" t="inlineStr">
        <is>
          <t/>
        </is>
      </c>
      <c r="H675" s="3" t="inlineStr">
        <is>
          <t>Gina Stefanelli</t>
        </is>
      </c>
      <c r="I675" s="3" t="inlineStr">
        <is>
          <t>Gina Stefanelli</t>
        </is>
      </c>
      <c r="J675" s="4" t="n">
        <v>45951.65746527778</v>
      </c>
      <c r="K675" s="5" t="n">
        <v>45951.0</v>
      </c>
      <c r="L675" s="5" t="n">
        <v>45950.0</v>
      </c>
      <c r="M675" s="3" t="inlineStr">
        <is>
          <t>Approved</t>
        </is>
      </c>
      <c r="N675" s="3" t="inlineStr">
        <is>
          <t>Study Close</t>
        </is>
      </c>
      <c r="O675" s="3" t="inlineStr">
        <is>
          <t>42847922MDD3003</t>
        </is>
      </c>
    </row>
    <row r="676">
      <c r="A676" s="2" t="str">
        <f>HYPERLINK("https://vtmf.veevavault.com/ui/#doc_info/30515734/1/0", "42847922MDD3003---Meeting Material-20 Oct 2025 (v1.0)")</f>
        <v>42847922MDD3003---Meeting Material-20 Oct 2025 (v1.0)</v>
      </c>
      <c r="B676" s="3" t="inlineStr">
        <is>
          <t>Third Parties</t>
        </is>
      </c>
      <c r="C676" s="3" t="inlineStr">
        <is>
          <t>General</t>
        </is>
      </c>
      <c r="D676" s="3" t="inlineStr">
        <is>
          <t>Meeting Material</t>
        </is>
      </c>
      <c r="E676" s="3" t="inlineStr">
        <is>
          <t>Sleep Disturbance Trial Interviews- Project Update</t>
        </is>
      </c>
      <c r="F676" s="2" t="str">
        <f>HYPERLINK("https://vtmf.veevavault.com/ui/#doc_info/30515734/1/0", "VTMF-24586532")</f>
        <v>VTMF-24586532</v>
      </c>
      <c r="G676" s="3" t="inlineStr">
        <is>
          <t/>
        </is>
      </c>
      <c r="H676" s="3" t="inlineStr">
        <is>
          <t>Gina Stefanelli</t>
        </is>
      </c>
      <c r="I676" s="3" t="inlineStr">
        <is>
          <t>Gina Stefanelli</t>
        </is>
      </c>
      <c r="J676" s="4" t="n">
        <v>45993.78859953704</v>
      </c>
      <c r="K676" s="5" t="n">
        <v>45993.0</v>
      </c>
      <c r="L676" s="5" t="n">
        <v>45950.0</v>
      </c>
      <c r="M676" s="3" t="inlineStr">
        <is>
          <t>Approved</t>
        </is>
      </c>
      <c r="N676" s="3" t="inlineStr">
        <is>
          <t>Study Close</t>
        </is>
      </c>
      <c r="O676" s="3" t="inlineStr">
        <is>
          <t>42847922MDD3003</t>
        </is>
      </c>
    </row>
    <row r="677">
      <c r="A677" s="2" t="str">
        <f>HYPERLINK("https://vtmf.veevavault.com/ui/#doc_info/28941566/1/0", "42847922MDD3003---Meeting Material-21 Apr 2025 (v1.0)")</f>
        <v>42847922MDD3003---Meeting Material-21 Apr 2025 (v1.0)</v>
      </c>
      <c r="B677" s="3" t="inlineStr">
        <is>
          <t>Third Parties</t>
        </is>
      </c>
      <c r="C677" s="3" t="inlineStr">
        <is>
          <t>General</t>
        </is>
      </c>
      <c r="D677" s="3" t="inlineStr">
        <is>
          <t>Meeting Material</t>
        </is>
      </c>
      <c r="E677" s="3" t="inlineStr">
        <is>
          <t>4G IRT Maintenance_Project_Management_Tracker</t>
        </is>
      </c>
      <c r="F677" s="2" t="str">
        <f>HYPERLINK("https://vtmf.veevavault.com/ui/#doc_info/28941566/1/0", "VTMF-23257096")</f>
        <v>VTMF-23257096</v>
      </c>
      <c r="G677" s="3" t="inlineStr">
        <is>
          <t/>
        </is>
      </c>
      <c r="H677" s="3" t="inlineStr">
        <is>
          <t>Anthony Suarez (veeva.com)</t>
        </is>
      </c>
      <c r="I677" s="3" t="inlineStr">
        <is>
          <t>Gina Stefanelli</t>
        </is>
      </c>
      <c r="J677" s="4" t="n">
        <v>45769.66462962963</v>
      </c>
      <c r="K677" s="5" t="n">
        <v>45769.0</v>
      </c>
      <c r="L677" s="5" t="n">
        <v>45768.0</v>
      </c>
      <c r="M677" s="3" t="inlineStr">
        <is>
          <t>Approved</t>
        </is>
      </c>
      <c r="N677" s="3" t="inlineStr">
        <is>
          <t>Study Close</t>
        </is>
      </c>
      <c r="O677" s="3" t="inlineStr">
        <is>
          <t>42847922MDD3003</t>
        </is>
      </c>
    </row>
    <row r="678">
      <c r="A678" s="2" t="str">
        <f>HYPERLINK("https://vtmf.veevavault.com/ui/#doc_info/28585165/1/0", "42847922MDD3003---Meeting Material-21 Feb 2025 (v1.0)")</f>
        <v>42847922MDD3003---Meeting Material-21 Feb 2025 (v1.0)</v>
      </c>
      <c r="B678" s="3" t="inlineStr">
        <is>
          <t>Third Parties</t>
        </is>
      </c>
      <c r="C678" s="3" t="inlineStr">
        <is>
          <t>General</t>
        </is>
      </c>
      <c r="D678" s="3" t="inlineStr">
        <is>
          <t>Meeting Material</t>
        </is>
      </c>
      <c r="E678" s="3" t="inlineStr">
        <is>
          <t>Cronos_Data Monitoring Reports</t>
        </is>
      </c>
      <c r="F678" s="2" t="str">
        <f>HYPERLINK("https://vtmf.veevavault.com/ui/#doc_info/28585165/1/0", "VTMF-22956824")</f>
        <v>VTMF-22956824</v>
      </c>
      <c r="G678" s="3" t="inlineStr">
        <is>
          <t/>
        </is>
      </c>
      <c r="H678" s="3" t="inlineStr">
        <is>
          <t>Anthony Suarez (veeva.com)</t>
        </is>
      </c>
      <c r="I678" s="3" t="inlineStr">
        <is>
          <t>Gina Stefanelli</t>
        </is>
      </c>
      <c r="J678" s="4" t="n">
        <v>45719.707407407404</v>
      </c>
      <c r="K678" s="5" t="n">
        <v>45719.0</v>
      </c>
      <c r="L678" s="5" t="n">
        <v>45709.0</v>
      </c>
      <c r="M678" s="3" t="inlineStr">
        <is>
          <t>Approved</t>
        </is>
      </c>
      <c r="N678" s="3" t="inlineStr">
        <is>
          <t>Study Close</t>
        </is>
      </c>
      <c r="O678" s="3" t="inlineStr">
        <is>
          <t>42847922MDD3003</t>
        </is>
      </c>
    </row>
    <row r="679">
      <c r="A679" s="2" t="str">
        <f>HYPERLINK("https://vtmf.veevavault.com/ui/#doc_info/28347789/1/0", "42847922MDD3003---Meeting Material-21 Jan 2025 (v1.0)")</f>
        <v>42847922MDD3003---Meeting Material-21 Jan 2025 (v1.0)</v>
      </c>
      <c r="B679" s="3" t="inlineStr">
        <is>
          <t>Third Parties</t>
        </is>
      </c>
      <c r="C679" s="3" t="inlineStr">
        <is>
          <t>General</t>
        </is>
      </c>
      <c r="D679" s="3" t="inlineStr">
        <is>
          <t>Meeting Material</t>
        </is>
      </c>
      <c r="E679" s="3" t="inlineStr">
        <is>
          <t>MGH CTNI- Bi-Weekly Call Minutes</t>
        </is>
      </c>
      <c r="F679" s="2" t="str">
        <f>HYPERLINK("https://vtmf.veevavault.com/ui/#doc_info/28347789/1/0", "VTMF-22744188")</f>
        <v>VTMF-22744188</v>
      </c>
      <c r="G679" s="3" t="inlineStr">
        <is>
          <t/>
        </is>
      </c>
      <c r="H679" s="3" t="inlineStr">
        <is>
          <t>Anthony Suarez (veeva.com)</t>
        </is>
      </c>
      <c r="I679" s="3" t="inlineStr">
        <is>
          <t>Gina Stefanelli</t>
        </is>
      </c>
      <c r="J679" s="4" t="n">
        <v>45709.56178240741</v>
      </c>
      <c r="K679" s="5" t="n">
        <v>45709.0</v>
      </c>
      <c r="L679" s="5" t="n">
        <v>45678.0</v>
      </c>
      <c r="M679" s="3" t="inlineStr">
        <is>
          <t>Approved</t>
        </is>
      </c>
      <c r="N679" s="3" t="inlineStr">
        <is>
          <t>Study Close</t>
        </is>
      </c>
      <c r="O679" s="3" t="inlineStr">
        <is>
          <t>42847922MDD3003</t>
        </is>
      </c>
    </row>
    <row r="680">
      <c r="A680" s="2" t="str">
        <f>HYPERLINK("https://vtmf.veevavault.com/ui/#doc_info/30938168/1/0", "42847922MDD3003---Meeting Material-21 Jan 2026 (v1.0)")</f>
        <v>42847922MDD3003---Meeting Material-21 Jan 2026 (v1.0)</v>
      </c>
      <c r="B680" s="3" t="inlineStr">
        <is>
          <t>Third Parties</t>
        </is>
      </c>
      <c r="C680" s="3" t="inlineStr">
        <is>
          <t>General</t>
        </is>
      </c>
      <c r="D680" s="3" t="inlineStr">
        <is>
          <t>Meeting Material</t>
        </is>
      </c>
      <c r="E680" s="3" t="inlineStr">
        <is>
          <t>Clinical Oversight Meeting</t>
        </is>
      </c>
      <c r="F680" s="2" t="str">
        <f>HYPERLINK("https://vtmf.veevavault.com/ui/#doc_info/30938168/1/0", "VTMF-24937000")</f>
        <v>VTMF-24937000</v>
      </c>
      <c r="G680" s="3" t="inlineStr">
        <is>
          <t/>
        </is>
      </c>
      <c r="H680" s="3" t="inlineStr">
        <is>
          <t>System</t>
        </is>
      </c>
      <c r="I680" s="3" t="inlineStr">
        <is>
          <t>Gina Stefanelli</t>
        </is>
      </c>
      <c r="J680" s="4" t="n">
        <v>46059.53369212963</v>
      </c>
      <c r="K680" s="5" t="n">
        <v>46059.0</v>
      </c>
      <c r="L680" s="5" t="n">
        <v>46043.0</v>
      </c>
      <c r="M680" s="3" t="inlineStr">
        <is>
          <t>Approved</t>
        </is>
      </c>
      <c r="N680" s="3" t="inlineStr">
        <is>
          <t>Study Close</t>
        </is>
      </c>
      <c r="O680" s="3" t="inlineStr">
        <is>
          <t>42847922MDD3003</t>
        </is>
      </c>
    </row>
    <row r="681">
      <c r="A681" s="2" t="str">
        <f>HYPERLINK("https://vtmf.veevavault.com/ui/#doc_info/29630982/1/0", "42847922MDD3003---Meeting Material-21 Jul 2025 (v1.0)")</f>
        <v>42847922MDD3003---Meeting Material-21 Jul 2025 (v1.0)</v>
      </c>
      <c r="B681" s="3" t="inlineStr">
        <is>
          <t>Third Parties</t>
        </is>
      </c>
      <c r="C681" s="3" t="inlineStr">
        <is>
          <t>General</t>
        </is>
      </c>
      <c r="D681" s="3" t="inlineStr">
        <is>
          <t>Meeting Material</t>
        </is>
      </c>
      <c r="E681" s="3" t="inlineStr">
        <is>
          <t>MGH CTNI Bi-Weekly Call Minutes</t>
        </is>
      </c>
      <c r="F681" s="2" t="str">
        <f>HYPERLINK("https://vtmf.veevavault.com/ui/#doc_info/29630982/1/0", "VTMF-23837153")</f>
        <v>VTMF-23837153</v>
      </c>
      <c r="G681" s="3" t="inlineStr">
        <is>
          <t/>
        </is>
      </c>
      <c r="H681" s="3" t="inlineStr">
        <is>
          <t>Gina Stefanelli</t>
        </is>
      </c>
      <c r="I681" s="3" t="inlineStr">
        <is>
          <t>Gina Stefanelli</t>
        </is>
      </c>
      <c r="J681" s="4" t="n">
        <v>45863.61329861111</v>
      </c>
      <c r="K681" s="5" t="n">
        <v>45863.0</v>
      </c>
      <c r="L681" s="5" t="n">
        <v>45859.0</v>
      </c>
      <c r="M681" s="3" t="inlineStr">
        <is>
          <t>Approved</t>
        </is>
      </c>
      <c r="N681" s="3" t="inlineStr">
        <is>
          <t>Study Close</t>
        </is>
      </c>
      <c r="O681" s="3" t="inlineStr">
        <is>
          <t>42847922MDD3003</t>
        </is>
      </c>
    </row>
    <row r="682">
      <c r="A682" s="2" t="str">
        <f>HYPERLINK("https://vtmf.veevavault.com/ui/#doc_info/26657058/1/0", "42847922MDD3003---Meeting Material-21 Jun 2024 (v1.0)")</f>
        <v>42847922MDD3003---Meeting Material-21 Jun 2024 (v1.0)</v>
      </c>
      <c r="B682" s="3" t="inlineStr">
        <is>
          <t>Third Parties</t>
        </is>
      </c>
      <c r="C682" s="3" t="inlineStr">
        <is>
          <t>General</t>
        </is>
      </c>
      <c r="D682" s="3" t="inlineStr">
        <is>
          <t>Meeting Material</t>
        </is>
      </c>
      <c r="E682" s="3" t="inlineStr">
        <is>
          <t>Cronos Operations Meeting Minutes Actions Log</t>
        </is>
      </c>
      <c r="F682" s="2" t="str">
        <f>HYPERLINK("https://vtmf.veevavault.com/ui/#doc_info/26657058/1/0", "VTMF-21354860")</f>
        <v>VTMF-21354860</v>
      </c>
      <c r="G682" s="3" t="inlineStr">
        <is>
          <t/>
        </is>
      </c>
      <c r="H682" s="3" t="inlineStr">
        <is>
          <t>Gina Stefanelli</t>
        </is>
      </c>
      <c r="I682" s="3" t="inlineStr">
        <is>
          <t>Kristina Ruzinska</t>
        </is>
      </c>
      <c r="J682" s="4" t="n">
        <v>45478.66930555556</v>
      </c>
      <c r="K682" s="5" t="n">
        <v>45478.0</v>
      </c>
      <c r="L682" s="5" t="n">
        <v>45464.0</v>
      </c>
      <c r="M682" s="3" t="inlineStr">
        <is>
          <t>Approved</t>
        </is>
      </c>
      <c r="N682" s="3" t="inlineStr">
        <is>
          <t>Study Close</t>
        </is>
      </c>
      <c r="O682" s="3" t="inlineStr">
        <is>
          <t>42847922MDD3003</t>
        </is>
      </c>
    </row>
    <row r="683">
      <c r="A683" s="2" t="str">
        <f>HYPERLINK("https://vtmf.veevavault.com/ui/#doc_info/25986079/1/0", "42847922MDD3003---Meeting Material-21 Mar 2024 (v1.0)")</f>
        <v>42847922MDD3003---Meeting Material-21 Mar 2024 (v1.0)</v>
      </c>
      <c r="B683" s="3" t="inlineStr">
        <is>
          <t>Data Management</t>
        </is>
      </c>
      <c r="C683" s="3" t="inlineStr">
        <is>
          <t>General</t>
        </is>
      </c>
      <c r="D683" s="3" t="inlineStr">
        <is>
          <t>Meeting Material</t>
        </is>
      </c>
      <c r="E683" s="3" t="inlineStr">
        <is>
          <t>JEISR Requirement Meeting</t>
        </is>
      </c>
      <c r="F683" s="2" t="str">
        <f>HYPERLINK("https://vtmf.veevavault.com/ui/#doc_info/25986079/1/0", "VTMF-20767329")</f>
        <v>VTMF-20767329</v>
      </c>
      <c r="G683" s="3" t="inlineStr">
        <is>
          <t/>
        </is>
      </c>
      <c r="H683" s="3" t="inlineStr">
        <is>
          <t>Anthony Suarez (veeva.com)</t>
        </is>
      </c>
      <c r="I683" s="3" t="inlineStr">
        <is>
          <t>Paul Pereira</t>
        </is>
      </c>
      <c r="J683" s="4" t="n">
        <v>45373.866944444446</v>
      </c>
      <c r="K683" s="5" t="n">
        <v>45373.0</v>
      </c>
      <c r="L683" s="5" t="n">
        <v>45372.0</v>
      </c>
      <c r="M683" s="3" t="inlineStr">
        <is>
          <t>Approved</t>
        </is>
      </c>
      <c r="N683" s="3" t="inlineStr">
        <is>
          <t>Study Start</t>
        </is>
      </c>
      <c r="O683" s="3" t="inlineStr">
        <is>
          <t>42847922MDD3003</t>
        </is>
      </c>
    </row>
    <row r="684">
      <c r="A684" s="2" t="str">
        <f>HYPERLINK("https://vtmf.veevavault.com/ui/#doc_info/28721474/2/0", "42847922MDD3003---Meeting Material-21 Mar 2025 (v2.0)")</f>
        <v>42847922MDD3003---Meeting Material-21 Mar 2025 (v2.0)</v>
      </c>
      <c r="B684" s="3" t="inlineStr">
        <is>
          <t>Third Parties</t>
        </is>
      </c>
      <c r="C684" s="3" t="inlineStr">
        <is>
          <t>General</t>
        </is>
      </c>
      <c r="D684" s="3" t="inlineStr">
        <is>
          <t>Meeting Material</t>
        </is>
      </c>
      <c r="E684" s="3" t="inlineStr">
        <is>
          <t>Clario ECG Study Status Meeting Agenda/ Minutes General</t>
        </is>
      </c>
      <c r="F684" s="2" t="str">
        <f>HYPERLINK("https://vtmf.veevavault.com/ui/#doc_info/28721474/2/0", "VTMF-23073253")</f>
        <v>VTMF-23073253</v>
      </c>
      <c r="G684" s="3" t="inlineStr">
        <is>
          <t/>
        </is>
      </c>
      <c r="H684" s="3" t="inlineStr">
        <is>
          <t>Anthony Suarez (veeva.com)</t>
        </is>
      </c>
      <c r="I684" s="3" t="inlineStr">
        <is>
          <t>Debhora Garcia</t>
        </is>
      </c>
      <c r="J684" s="4" t="n">
        <v>45845.97568287037</v>
      </c>
      <c r="K684" s="5" t="n">
        <v>45845.0</v>
      </c>
      <c r="L684" s="5" t="n">
        <v>45737.0</v>
      </c>
      <c r="M684" s="3" t="inlineStr">
        <is>
          <t>Approved</t>
        </is>
      </c>
      <c r="N684" s="3" t="inlineStr">
        <is>
          <t>Study Close</t>
        </is>
      </c>
      <c r="O684" s="3" t="inlineStr">
        <is>
          <t>42847922MDD3003</t>
        </is>
      </c>
    </row>
    <row r="685">
      <c r="A685" s="2" t="str">
        <f>HYPERLINK("https://vtmf.veevavault.com/ui/#doc_info/28759363/1/0", "42847922MDD3003---Meeting Material-21 Mar 2025 (v1.0)")</f>
        <v>42847922MDD3003---Meeting Material-21 Mar 2025 (v1.0)</v>
      </c>
      <c r="B685" s="3" t="inlineStr">
        <is>
          <t>Third Parties</t>
        </is>
      </c>
      <c r="C685" s="3" t="inlineStr">
        <is>
          <t>General</t>
        </is>
      </c>
      <c r="D685" s="3" t="inlineStr">
        <is>
          <t>Meeting Material</t>
        </is>
      </c>
      <c r="E685" s="3" t="inlineStr">
        <is>
          <t>Cronos Operations Meeting Minutes Actions Log</t>
        </is>
      </c>
      <c r="F685" s="2" t="str">
        <f>HYPERLINK("https://vtmf.veevavault.com/ui/#doc_info/28759363/1/0", "VTMF-23105489")</f>
        <v>VTMF-23105489</v>
      </c>
      <c r="G685" s="3" t="inlineStr">
        <is>
          <t/>
        </is>
      </c>
      <c r="H685" s="3" t="inlineStr">
        <is>
          <t>Anthony Suarez (veeva.com)</t>
        </is>
      </c>
      <c r="I685" s="3" t="inlineStr">
        <is>
          <t>Gina Stefanelli</t>
        </is>
      </c>
      <c r="J685" s="4" t="n">
        <v>45743.833391203705</v>
      </c>
      <c r="K685" s="5" t="n">
        <v>45743.0</v>
      </c>
      <c r="L685" s="5" t="n">
        <v>45737.0</v>
      </c>
      <c r="M685" s="3" t="inlineStr">
        <is>
          <t>Approved</t>
        </is>
      </c>
      <c r="N685" s="3" t="inlineStr">
        <is>
          <t>Study Close</t>
        </is>
      </c>
      <c r="O685" s="3" t="inlineStr">
        <is>
          <t>42847922MDD3003</t>
        </is>
      </c>
    </row>
    <row r="686">
      <c r="A686" s="2" t="str">
        <f>HYPERLINK("https://vtmf.veevavault.com/ui/#doc_info/29220931/1/0", "42847922MDD3003---Meeting Material-21 Mar 2025 (v1.0)")</f>
        <v>42847922MDD3003---Meeting Material-21 Mar 2025 (v1.0)</v>
      </c>
      <c r="B686" s="3" t="inlineStr">
        <is>
          <t>Third Parties</t>
        </is>
      </c>
      <c r="C686" s="3" t="inlineStr">
        <is>
          <t>General</t>
        </is>
      </c>
      <c r="D686" s="3" t="inlineStr">
        <is>
          <t>Meeting Material</t>
        </is>
      </c>
      <c r="E686" s="3" t="inlineStr">
        <is>
          <t>Cronos Operations Meeting Minutes Actions Log</t>
        </is>
      </c>
      <c r="F686" s="2" t="str">
        <f>HYPERLINK("https://vtmf.veevavault.com/ui/#doc_info/29220931/1/0", "VTMF-23486382")</f>
        <v>VTMF-23486382</v>
      </c>
      <c r="G686" s="3" t="inlineStr">
        <is>
          <t/>
        </is>
      </c>
      <c r="H686" s="3" t="inlineStr">
        <is>
          <t>Gina Stefanelli</t>
        </is>
      </c>
      <c r="I686" s="3" t="inlineStr">
        <is>
          <t>Debhora Garcia</t>
        </is>
      </c>
      <c r="J686" s="4" t="n">
        <v>45805.907314814816</v>
      </c>
      <c r="K686" s="5" t="n">
        <v>45805.0</v>
      </c>
      <c r="L686" s="5" t="n">
        <v>45737.0</v>
      </c>
      <c r="M686" s="3" t="inlineStr">
        <is>
          <t>Approved</t>
        </is>
      </c>
      <c r="N686" s="3" t="inlineStr">
        <is>
          <t>Study Close</t>
        </is>
      </c>
      <c r="O686" s="3" t="inlineStr">
        <is>
          <t>42847922MDD3003</t>
        </is>
      </c>
    </row>
    <row r="687">
      <c r="A687" s="2" t="str">
        <f>HYPERLINK("https://vtmf.veevavault.com/ui/#doc_info/29220944/1/0", "42847922MDD3003---Meeting Material-21 Mar 2025 (v1.0)")</f>
        <v>42847922MDD3003---Meeting Material-21 Mar 2025 (v1.0)</v>
      </c>
      <c r="B687" s="3" t="inlineStr">
        <is>
          <t>Third Parties</t>
        </is>
      </c>
      <c r="C687" s="3" t="inlineStr">
        <is>
          <t>General</t>
        </is>
      </c>
      <c r="D687" s="3" t="inlineStr">
        <is>
          <t>Meeting Material</t>
        </is>
      </c>
      <c r="E687" s="3" t="inlineStr">
        <is>
          <t>Cronos Monthly Clinical Oversight Meeting Slides</t>
        </is>
      </c>
      <c r="F687" s="2" t="str">
        <f>HYPERLINK("https://vtmf.veevavault.com/ui/#doc_info/29220944/1/0", "VTMF-23486396")</f>
        <v>VTMF-23486396</v>
      </c>
      <c r="G687" s="3" t="inlineStr">
        <is>
          <t/>
        </is>
      </c>
      <c r="H687" s="3" t="inlineStr">
        <is>
          <t>Gina Stefanelli</t>
        </is>
      </c>
      <c r="I687" s="3" t="inlineStr">
        <is>
          <t>Debhora Garcia</t>
        </is>
      </c>
      <c r="J687" s="4" t="n">
        <v>45805.91185185185</v>
      </c>
      <c r="K687" s="5" t="n">
        <v>45805.0</v>
      </c>
      <c r="L687" s="5" t="n">
        <v>45737.0</v>
      </c>
      <c r="M687" s="3" t="inlineStr">
        <is>
          <t>Approved</t>
        </is>
      </c>
      <c r="N687" s="3" t="inlineStr">
        <is>
          <t>Study Close</t>
        </is>
      </c>
      <c r="O687" s="3" t="inlineStr">
        <is>
          <t>42847922MDD3003</t>
        </is>
      </c>
    </row>
    <row r="688">
      <c r="A688" s="2" t="str">
        <f>HYPERLINK("https://vtmf.veevavault.com/ui/#doc_info/26364835/1/0", "42847922MDD3003---Meeting Material-21 May 2024 (v1.0)")</f>
        <v>42847922MDD3003---Meeting Material-21 May 2024 (v1.0)</v>
      </c>
      <c r="B688" s="3" t="inlineStr">
        <is>
          <t>Third Parties</t>
        </is>
      </c>
      <c r="C688" s="3" t="inlineStr">
        <is>
          <t>General</t>
        </is>
      </c>
      <c r="D688" s="3" t="inlineStr">
        <is>
          <t>Meeting Material</t>
        </is>
      </c>
      <c r="E688" s="3" t="inlineStr">
        <is>
          <t>LabCorp Weekly Meeting ADI Log</t>
        </is>
      </c>
      <c r="F688" s="2" t="str">
        <f>HYPERLINK("https://vtmf.veevavault.com/ui/#doc_info/26364835/1/0", "VTMF-21098186")</f>
        <v>VTMF-21098186</v>
      </c>
      <c r="G688" s="3" t="inlineStr">
        <is>
          <t/>
        </is>
      </c>
      <c r="H688" s="3" t="inlineStr">
        <is>
          <t>Anthony Suarez (veeva.com)</t>
        </is>
      </c>
      <c r="I688" s="3" t="inlineStr">
        <is>
          <t>Jamie Hardy</t>
        </is>
      </c>
      <c r="J688" s="4" t="n">
        <v>45433.64787037037</v>
      </c>
      <c r="K688" s="5" t="n">
        <v>45433.0</v>
      </c>
      <c r="L688" s="5" t="n">
        <v>45433.0</v>
      </c>
      <c r="M688" s="3" t="inlineStr">
        <is>
          <t>Approved</t>
        </is>
      </c>
      <c r="N688" s="3" t="inlineStr">
        <is>
          <t>Study Close</t>
        </is>
      </c>
      <c r="O688" s="3" t="inlineStr">
        <is>
          <t>42847922MDD3003</t>
        </is>
      </c>
    </row>
    <row r="689">
      <c r="A689" s="2" t="str">
        <f>HYPERLINK("https://vtmf.veevavault.com/ui/#doc_info/29272456/1/0", "42847922MDD3003---Meeting Material-21 May 2025 (v1.0)")</f>
        <v>42847922MDD3003---Meeting Material-21 May 2025 (v1.0)</v>
      </c>
      <c r="B689" s="3" t="inlineStr">
        <is>
          <t>Third Parties</t>
        </is>
      </c>
      <c r="C689" s="3" t="inlineStr">
        <is>
          <t>General</t>
        </is>
      </c>
      <c r="D689" s="3" t="inlineStr">
        <is>
          <t>Meeting Material</t>
        </is>
      </c>
      <c r="E689" s="3" t="inlineStr">
        <is>
          <t>Beacon Biosignals Weekly Site Status Sync_May 2025</t>
        </is>
      </c>
      <c r="F689" s="2" t="str">
        <f>HYPERLINK("https://vtmf.veevavault.com/ui/#doc_info/29272456/1/0", "VTMF-23525587")</f>
        <v>VTMF-23525587</v>
      </c>
      <c r="G689" s="3" t="inlineStr">
        <is>
          <t/>
        </is>
      </c>
      <c r="H689" s="3" t="inlineStr">
        <is>
          <t>Anthony Suarez (veeva.com)</t>
        </is>
      </c>
      <c r="I689" s="3" t="inlineStr">
        <is>
          <t>Charles Hayes</t>
        </is>
      </c>
      <c r="J689" s="4" t="n">
        <v>45813.06082175926</v>
      </c>
      <c r="K689" s="5" t="n">
        <v>45812.0</v>
      </c>
      <c r="L689" s="5" t="n">
        <v>45798.0</v>
      </c>
      <c r="M689" s="3" t="inlineStr">
        <is>
          <t>Approved</t>
        </is>
      </c>
      <c r="N689" s="3" t="inlineStr">
        <is>
          <t>Study Close</t>
        </is>
      </c>
      <c r="O689" s="3" t="inlineStr">
        <is>
          <t>42847922MDD3003</t>
        </is>
      </c>
    </row>
    <row r="690">
      <c r="A690" s="2" t="str">
        <f>HYPERLINK("https://vtmf.veevavault.com/ui/#doc_info/31759932/1/0", "42847922MDD3003---Meeting Material-21 May 2026 (v1.0)")</f>
        <v>42847922MDD3003---Meeting Material-21 May 2026 (v1.0)</v>
      </c>
      <c r="B690" s="3" t="inlineStr">
        <is>
          <t>Third Parties</t>
        </is>
      </c>
      <c r="C690" s="3" t="inlineStr">
        <is>
          <t>General</t>
        </is>
      </c>
      <c r="D690" s="3" t="inlineStr">
        <is>
          <t>Meeting Material</t>
        </is>
      </c>
      <c r="E690" s="3" t="inlineStr">
        <is>
          <t>Sleep Disturbance_Meeting Minutes_21May26_1.0</t>
        </is>
      </c>
      <c r="F690" s="2" t="str">
        <f>HYPERLINK("https://vtmf.veevavault.com/ui/#doc_info/31759932/1/0", "VTMF-25634472")</f>
        <v>VTMF-25634472</v>
      </c>
      <c r="G690" s="3" t="inlineStr">
        <is>
          <t/>
        </is>
      </c>
      <c r="H690" s="3" t="inlineStr">
        <is>
          <t>System</t>
        </is>
      </c>
      <c r="I690" s="3" t="inlineStr">
        <is>
          <t>Debhora Garcia</t>
        </is>
      </c>
      <c r="J690" s="4" t="n">
        <v>46169.81643518519</v>
      </c>
      <c r="K690" s="5" t="n">
        <v>46169.0</v>
      </c>
      <c r="L690" s="5" t="n">
        <v>46163.0</v>
      </c>
      <c r="M690" s="3" t="inlineStr">
        <is>
          <t>Approved</t>
        </is>
      </c>
      <c r="N690" s="3" t="inlineStr">
        <is>
          <t>Study Close</t>
        </is>
      </c>
      <c r="O690" s="3" t="inlineStr">
        <is>
          <t>42847922MDD3003</t>
        </is>
      </c>
    </row>
    <row r="691">
      <c r="A691" s="2" t="str">
        <f>HYPERLINK("https://vtmf.veevavault.com/ui/#doc_info/27461868/1/0", "42847922MDD3003---Meeting Material-21 Oct 2024 (v1.0)")</f>
        <v>42847922MDD3003---Meeting Material-21 Oct 2024 (v1.0)</v>
      </c>
      <c r="B691" s="3" t="inlineStr">
        <is>
          <t>Third Parties</t>
        </is>
      </c>
      <c r="C691" s="3" t="inlineStr">
        <is>
          <t>General</t>
        </is>
      </c>
      <c r="D691" s="3" t="inlineStr">
        <is>
          <t>Meeting Material</t>
        </is>
      </c>
      <c r="E691" s="3" t="inlineStr">
        <is>
          <t>4G IRT _Maintenance_Project_Management_Tracker</t>
        </is>
      </c>
      <c r="F691" s="2" t="str">
        <f>HYPERLINK("https://vtmf.veevavault.com/ui/#doc_info/27461868/1/0", "VTMF-22024507")</f>
        <v>VTMF-22024507</v>
      </c>
      <c r="G691" s="3" t="inlineStr">
        <is>
          <t/>
        </is>
      </c>
      <c r="H691" s="3" t="inlineStr">
        <is>
          <t>Anthony Suarez (veeva.com)</t>
        </is>
      </c>
      <c r="I691" s="3" t="inlineStr">
        <is>
          <t>Gina Stefanelli</t>
        </is>
      </c>
      <c r="J691" s="4" t="n">
        <v>45607.72628472222</v>
      </c>
      <c r="K691" s="5" t="n">
        <v>45607.0</v>
      </c>
      <c r="L691" s="5" t="n">
        <v>45586.0</v>
      </c>
      <c r="M691" s="3" t="inlineStr">
        <is>
          <t>Approved</t>
        </is>
      </c>
      <c r="N691" s="3" t="inlineStr">
        <is>
          <t>Study Close</t>
        </is>
      </c>
      <c r="O691" s="3" t="inlineStr">
        <is>
          <t>42847922MDD3003</t>
        </is>
      </c>
    </row>
    <row r="692">
      <c r="A692" s="2" t="str">
        <f>HYPERLINK("https://vtmf.veevavault.com/ui/#doc_info/27840883/1/0", "42847922MDD3003---Meeting Material-21 Oct 2024 (v1.0)")</f>
        <v>42847922MDD3003---Meeting Material-21 Oct 2024 (v1.0)</v>
      </c>
      <c r="B692" s="3" t="inlineStr">
        <is>
          <t>Third Parties</t>
        </is>
      </c>
      <c r="C692" s="3" t="inlineStr">
        <is>
          <t>General</t>
        </is>
      </c>
      <c r="D692" s="3" t="inlineStr">
        <is>
          <t>Meeting Material</t>
        </is>
      </c>
      <c r="E692" s="3" t="inlineStr">
        <is>
          <t>NCC_Start-Up_Meeting Minutes</t>
        </is>
      </c>
      <c r="F692" s="2" t="str">
        <f>HYPERLINK("https://vtmf.veevavault.com/ui/#doc_info/27840883/1/0", "VTMF-22324147")</f>
        <v>VTMF-22324147</v>
      </c>
      <c r="G692" s="3" t="inlineStr">
        <is>
          <t/>
        </is>
      </c>
      <c r="H692" s="3" t="inlineStr">
        <is>
          <t>Anthony Suarez (veeva.com)</t>
        </is>
      </c>
      <c r="I692" s="3" t="inlineStr">
        <is>
          <t>Gina Stefanelli</t>
        </is>
      </c>
      <c r="J692" s="4" t="n">
        <v>45636.93502314815</v>
      </c>
      <c r="K692" s="5" t="n">
        <v>45636.0</v>
      </c>
      <c r="L692" s="5" t="n">
        <v>45586.0</v>
      </c>
      <c r="M692" s="3" t="inlineStr">
        <is>
          <t>Approved</t>
        </is>
      </c>
      <c r="N692" s="3" t="inlineStr">
        <is>
          <t>Study Close</t>
        </is>
      </c>
      <c r="O692" s="3" t="inlineStr">
        <is>
          <t>42847922MDD3003</t>
        </is>
      </c>
    </row>
    <row r="693">
      <c r="A693" s="2" t="str">
        <f>HYPERLINK("https://vtmf.veevavault.com/ui/#doc_info/26192817/1/0", "42847922MDD3003---Meeting Material-22 Apr 2024 (v1.0)")</f>
        <v>42847922MDD3003---Meeting Material-22 Apr 2024 (v1.0)</v>
      </c>
      <c r="B693" s="3" t="inlineStr">
        <is>
          <t>Data Management</t>
        </is>
      </c>
      <c r="C693" s="3" t="inlineStr">
        <is>
          <t>General</t>
        </is>
      </c>
      <c r="D693" s="3" t="inlineStr">
        <is>
          <t>Meeting Material</t>
        </is>
      </c>
      <c r="E693" s="3" t="inlineStr">
        <is>
          <t>42847922MDD3003_IWRS Integration Development Meeting minutes_22-Apr-2024</t>
        </is>
      </c>
      <c r="F693" s="2" t="str">
        <f>HYPERLINK("https://vtmf.veevavault.com/ui/#doc_info/26192817/1/0", "VTMF-20948672")</f>
        <v>VTMF-20948672</v>
      </c>
      <c r="G693" s="3" t="inlineStr">
        <is>
          <t/>
        </is>
      </c>
      <c r="H693" s="3" t="inlineStr">
        <is>
          <t>Anthony Suarez (veeva.com)</t>
        </is>
      </c>
      <c r="I693" s="3" t="inlineStr">
        <is>
          <t>Laree LaPierre</t>
        </is>
      </c>
      <c r="J693" s="4" t="n">
        <v>45405.87262731481</v>
      </c>
      <c r="K693" s="5" t="n">
        <v>45405.0</v>
      </c>
      <c r="L693" s="5" t="n">
        <v>45404.0</v>
      </c>
      <c r="M693" s="3" t="inlineStr">
        <is>
          <t>Approved</t>
        </is>
      </c>
      <c r="N693" s="3" t="inlineStr">
        <is>
          <t>Study Start</t>
        </is>
      </c>
      <c r="O693" s="3" t="inlineStr">
        <is>
          <t>42847922MDD3003</t>
        </is>
      </c>
    </row>
    <row r="694">
      <c r="A694" s="2" t="str">
        <f>HYPERLINK("https://vtmf.veevavault.com/ui/#doc_info/26756566/1/0", "42847922MDD3003---Meeting Material-22 Jul 2024 (v1.0)")</f>
        <v>42847922MDD3003---Meeting Material-22 Jul 2024 (v1.0)</v>
      </c>
      <c r="B694" s="3" t="inlineStr">
        <is>
          <t>Third Parties</t>
        </is>
      </c>
      <c r="C694" s="3" t="inlineStr">
        <is>
          <t>General</t>
        </is>
      </c>
      <c r="D694" s="3" t="inlineStr">
        <is>
          <t>Meeting Material</t>
        </is>
      </c>
      <c r="E694" s="3" t="inlineStr">
        <is>
          <t>MGH CTNI Bi-weekly call minutes</t>
        </is>
      </c>
      <c r="F694" s="2" t="str">
        <f>HYPERLINK("https://vtmf.veevavault.com/ui/#doc_info/26756566/1/0", "VTMF-21441580")</f>
        <v>VTMF-21441580</v>
      </c>
      <c r="G694" s="3" t="inlineStr">
        <is>
          <t/>
        </is>
      </c>
      <c r="H694" s="3" t="inlineStr">
        <is>
          <t>Anthony Suarez (veeva.com)</t>
        </is>
      </c>
      <c r="I694" s="3" t="inlineStr">
        <is>
          <t>Debhora Garcia</t>
        </is>
      </c>
      <c r="J694" s="4" t="n">
        <v>45496.76961805556</v>
      </c>
      <c r="K694" s="5" t="n">
        <v>45496.0</v>
      </c>
      <c r="L694" s="5" t="n">
        <v>45495.0</v>
      </c>
      <c r="M694" s="3" t="inlineStr">
        <is>
          <t>Approved</t>
        </is>
      </c>
      <c r="N694" s="3" t="inlineStr">
        <is>
          <t>Study Close</t>
        </is>
      </c>
      <c r="O694" s="3" t="inlineStr">
        <is>
          <t>42847922MDD3003</t>
        </is>
      </c>
    </row>
    <row r="695">
      <c r="A695" s="2" t="str">
        <f>HYPERLINK("https://vtmf.veevavault.com/ui/#doc_info/31747905/1/0", "42847922MDD3003---Meeting Material-22 May 2026 (v1.0)")</f>
        <v>42847922MDD3003---Meeting Material-22 May 2026 (v1.0)</v>
      </c>
      <c r="B695" s="3" t="inlineStr">
        <is>
          <t>Third Parties</t>
        </is>
      </c>
      <c r="C695" s="3" t="inlineStr">
        <is>
          <t>General</t>
        </is>
      </c>
      <c r="D695" s="3" t="inlineStr">
        <is>
          <t>Meeting Material</t>
        </is>
      </c>
      <c r="E695" s="3" t="inlineStr">
        <is>
          <t>CRONOS_Actions Log</t>
        </is>
      </c>
      <c r="F695" s="2" t="str">
        <f>HYPERLINK("https://vtmf.veevavault.com/ui/#doc_info/31747905/1/0", "VTMF-25624156")</f>
        <v>VTMF-25624156</v>
      </c>
      <c r="G695" s="3" t="inlineStr">
        <is>
          <t/>
        </is>
      </c>
      <c r="H695" s="3" t="inlineStr">
        <is>
          <t>System</t>
        </is>
      </c>
      <c r="I695" s="3" t="inlineStr">
        <is>
          <t>Aurora Barbera</t>
        </is>
      </c>
      <c r="J695" s="4" t="n">
        <v>46168.49873842593</v>
      </c>
      <c r="K695" s="5" t="n">
        <v>46168.0</v>
      </c>
      <c r="L695" s="5" t="n">
        <v>46164.0</v>
      </c>
      <c r="M695" s="3" t="inlineStr">
        <is>
          <t>Approved</t>
        </is>
      </c>
      <c r="N695" s="3" t="inlineStr">
        <is>
          <t>Study Close</t>
        </is>
      </c>
      <c r="O695" s="3" t="inlineStr">
        <is>
          <t>42847922MDD3003</t>
        </is>
      </c>
    </row>
    <row r="696">
      <c r="A696" s="2" t="str">
        <f>HYPERLINK("https://vtmf.veevavault.com/ui/#doc_info/31870577/1/0", "42847922MDD3003---Meeting Material-22 May 2026 (v1.0)")</f>
        <v>42847922MDD3003---Meeting Material-22 May 2026 (v1.0)</v>
      </c>
      <c r="B696" s="3" t="inlineStr">
        <is>
          <t>Data Management</t>
        </is>
      </c>
      <c r="C696" s="3" t="inlineStr">
        <is>
          <t>General</t>
        </is>
      </c>
      <c r="D696" s="3" t="inlineStr">
        <is>
          <t>Meeting Material</t>
        </is>
      </c>
      <c r="E696" s="3" t="inlineStr">
        <is>
          <t>Meeting MInutes 22MAY2026 - SDO connect Part 1 DBL</t>
        </is>
      </c>
      <c r="F696" s="2" t="str">
        <f>HYPERLINK("https://vtmf.veevavault.com/ui/#doc_info/31870577/1/0", "VTMF-25728961")</f>
        <v>VTMF-25728961</v>
      </c>
      <c r="G696" s="3" t="inlineStr">
        <is>
          <t/>
        </is>
      </c>
      <c r="H696" s="3" t="inlineStr">
        <is>
          <t>System</t>
        </is>
      </c>
      <c r="I696" s="3" t="inlineStr">
        <is>
          <t>Ilona Panis</t>
        </is>
      </c>
      <c r="J696" s="4" t="n">
        <v>46185.602534722224</v>
      </c>
      <c r="K696" s="5" t="n">
        <v>46185.0</v>
      </c>
      <c r="L696" s="5" t="n">
        <v>46164.0</v>
      </c>
      <c r="M696" s="3" t="inlineStr">
        <is>
          <t>Approved</t>
        </is>
      </c>
      <c r="N696" s="3" t="inlineStr">
        <is>
          <t>Study Start</t>
        </is>
      </c>
      <c r="O696" s="3" t="inlineStr">
        <is>
          <t>42847922MDD3003</t>
        </is>
      </c>
    </row>
    <row r="697">
      <c r="A697" s="2" t="str">
        <f>HYPERLINK("https://vtmf.veevavault.com/ui/#doc_info/31871362/1/0", "42847922MDD3003---Meeting Material-22 May 2026 (v1.0)")</f>
        <v>42847922MDD3003---Meeting Material-22 May 2026 (v1.0)</v>
      </c>
      <c r="B697" s="3" t="inlineStr">
        <is>
          <t>Data Management</t>
        </is>
      </c>
      <c r="C697" s="3" t="inlineStr">
        <is>
          <t>General</t>
        </is>
      </c>
      <c r="D697" s="3" t="inlineStr">
        <is>
          <t>Meeting Material</t>
        </is>
      </c>
      <c r="E697" s="3" t="inlineStr">
        <is>
          <t>Meeting Minutes ad-hoc Call DM-CDA/GDM DBL Part 1</t>
        </is>
      </c>
      <c r="F697" s="2" t="str">
        <f>HYPERLINK("https://vtmf.veevavault.com/ui/#doc_info/31871362/1/0", "VTMF-25729584")</f>
        <v>VTMF-25729584</v>
      </c>
      <c r="G697" s="3" t="inlineStr">
        <is>
          <t/>
        </is>
      </c>
      <c r="H697" s="3" t="inlineStr">
        <is>
          <t>System</t>
        </is>
      </c>
      <c r="I697" s="3" t="inlineStr">
        <is>
          <t>Ilona Panis</t>
        </is>
      </c>
      <c r="J697" s="4" t="n">
        <v>46185.65738425926</v>
      </c>
      <c r="K697" s="5" t="n">
        <v>46185.0</v>
      </c>
      <c r="L697" s="5" t="n">
        <v>46164.0</v>
      </c>
      <c r="M697" s="3" t="inlineStr">
        <is>
          <t>Approved</t>
        </is>
      </c>
      <c r="N697" s="3" t="inlineStr">
        <is>
          <t>Study Start</t>
        </is>
      </c>
      <c r="O697" s="3" t="inlineStr">
        <is>
          <t>42847922MDD3003</t>
        </is>
      </c>
    </row>
    <row r="698">
      <c r="A698" s="2" t="str">
        <f>HYPERLINK("https://vtmf.veevavault.com/ui/#doc_info/31871433/1/0", "42847922MDD3003---Meeting Material-22 May 2026 (v1.0)")</f>
        <v>42847922MDD3003---Meeting Material-22 May 2026 (v1.0)</v>
      </c>
      <c r="B698" s="3" t="inlineStr">
        <is>
          <t>Data Management</t>
        </is>
      </c>
      <c r="C698" s="3" t="inlineStr">
        <is>
          <t>General</t>
        </is>
      </c>
      <c r="D698" s="3" t="inlineStr">
        <is>
          <t>Meeting Material</t>
        </is>
      </c>
      <c r="E698" s="3" t="inlineStr">
        <is>
          <t>Meeting Minutes extra meeting Freeze/Lock activities DM-CDA/GDM</t>
        </is>
      </c>
      <c r="F698" s="2" t="str">
        <f>HYPERLINK("https://vtmf.veevavault.com/ui/#doc_info/31871433/1/0", "VTMF-25729604")</f>
        <v>VTMF-25729604</v>
      </c>
      <c r="G698" s="3" t="inlineStr">
        <is>
          <t/>
        </is>
      </c>
      <c r="H698" s="3" t="inlineStr">
        <is>
          <t>System</t>
        </is>
      </c>
      <c r="I698" s="3" t="inlineStr">
        <is>
          <t>Ilona Panis</t>
        </is>
      </c>
      <c r="J698" s="4" t="n">
        <v>46185.65891203703</v>
      </c>
      <c r="K698" s="5" t="n">
        <v>46185.0</v>
      </c>
      <c r="L698" s="5" t="n">
        <v>46164.0</v>
      </c>
      <c r="M698" s="3" t="inlineStr">
        <is>
          <t>Approved</t>
        </is>
      </c>
      <c r="N698" s="3" t="inlineStr">
        <is>
          <t>Study Start</t>
        </is>
      </c>
      <c r="O698" s="3" t="inlineStr">
        <is>
          <t>42847922MDD3003</t>
        </is>
      </c>
    </row>
    <row r="699">
      <c r="A699" s="2" t="str">
        <f>HYPERLINK("https://vtmf.veevavault.com/ui/#doc_info/28093589/1/0", "42847922MDD3003---Meeting Material-22 Nov 2024 (v1.0)")</f>
        <v>42847922MDD3003---Meeting Material-22 Nov 2024 (v1.0)</v>
      </c>
      <c r="B699" s="3" t="inlineStr">
        <is>
          <t>Third Parties</t>
        </is>
      </c>
      <c r="C699" s="3" t="inlineStr">
        <is>
          <t>General</t>
        </is>
      </c>
      <c r="D699" s="3" t="inlineStr">
        <is>
          <t>Meeting Material</t>
        </is>
      </c>
      <c r="E699" s="3" t="inlineStr">
        <is>
          <t>Clario ECG Study Status Meeting Agenda/ Minutes General</t>
        </is>
      </c>
      <c r="F699" s="2" t="str">
        <f>HYPERLINK("https://vtmf.veevavault.com/ui/#doc_info/28093589/1/0", "VTMF-22530244")</f>
        <v>VTMF-22530244</v>
      </c>
      <c r="G699" s="3" t="inlineStr">
        <is>
          <t/>
        </is>
      </c>
      <c r="H699" s="3" t="inlineStr">
        <is>
          <t>Anthony Suarez (veeva.com)</t>
        </is>
      </c>
      <c r="I699" s="3" t="inlineStr">
        <is>
          <t>Gina Stefanelli</t>
        </is>
      </c>
      <c r="J699" s="4" t="n">
        <v>45673.695763888885</v>
      </c>
      <c r="K699" s="5" t="n">
        <v>45673.0</v>
      </c>
      <c r="L699" s="5" t="n">
        <v>45618.0</v>
      </c>
      <c r="M699" s="3" t="inlineStr">
        <is>
          <t>Approved</t>
        </is>
      </c>
      <c r="N699" s="3" t="inlineStr">
        <is>
          <t>Study Close</t>
        </is>
      </c>
      <c r="O699" s="3" t="inlineStr">
        <is>
          <t>42847922MDD3003, 67953964MDD3005, 67953964MDD3007</t>
        </is>
      </c>
    </row>
    <row r="700">
      <c r="A700" s="2" t="str">
        <f>HYPERLINK("https://vtmf.veevavault.com/ui/#doc_info/27359155/1/0", "42847922MDD3003---Meeting Material-22 Oct 2024 (v1.0)")</f>
        <v>42847922MDD3003---Meeting Material-22 Oct 2024 (v1.0)</v>
      </c>
      <c r="B700" s="3" t="inlineStr">
        <is>
          <t>Third Parties</t>
        </is>
      </c>
      <c r="C700" s="3" t="inlineStr">
        <is>
          <t>General</t>
        </is>
      </c>
      <c r="D700" s="3" t="inlineStr">
        <is>
          <t>Meeting Material</t>
        </is>
      </c>
      <c r="E700" s="3" t="inlineStr">
        <is>
          <t>Labcorp Weekly Meeting_ADI log</t>
        </is>
      </c>
      <c r="F700" s="2" t="str">
        <f>HYPERLINK("https://vtmf.veevavault.com/ui/#doc_info/27359155/1/0", "VTMF-21947024")</f>
        <v>VTMF-21947024</v>
      </c>
      <c r="G700" s="3" t="inlineStr">
        <is>
          <t/>
        </is>
      </c>
      <c r="H700" s="3" t="inlineStr">
        <is>
          <t>Anthony Suarez (veeva.com)</t>
        </is>
      </c>
      <c r="I700" s="3" t="inlineStr">
        <is>
          <t>Debhora Garcia</t>
        </is>
      </c>
      <c r="J700" s="4" t="n">
        <v>45594.73993055556</v>
      </c>
      <c r="K700" s="5" t="n">
        <v>45594.0</v>
      </c>
      <c r="L700" s="5" t="n">
        <v>45587.0</v>
      </c>
      <c r="M700" s="3" t="inlineStr">
        <is>
          <t>Approved</t>
        </is>
      </c>
      <c r="N700" s="3" t="inlineStr">
        <is>
          <t>Study Close</t>
        </is>
      </c>
      <c r="O700" s="3" t="inlineStr">
        <is>
          <t>42847922MDD3003</t>
        </is>
      </c>
    </row>
    <row r="701">
      <c r="A701" s="2" t="str">
        <f>HYPERLINK("https://vtmf.veevavault.com/ui/#doc_info/30333565/1/0", "42847922MDD3003---Meeting Material-22 Oct 2025 (v1.0)")</f>
        <v>42847922MDD3003---Meeting Material-22 Oct 2025 (v1.0)</v>
      </c>
      <c r="B701" s="3" t="inlineStr">
        <is>
          <t>Third Parties</t>
        </is>
      </c>
      <c r="C701" s="3" t="inlineStr">
        <is>
          <t>General</t>
        </is>
      </c>
      <c r="D701" s="3" t="inlineStr">
        <is>
          <t>Meeting Material</t>
        </is>
      </c>
      <c r="E701" s="3" t="inlineStr">
        <is>
          <t>Beacon Site Sync Meeting Minutes_OCT2025</t>
        </is>
      </c>
      <c r="F701" s="2" t="str">
        <f>HYPERLINK("https://vtmf.veevavault.com/ui/#doc_info/30333565/1/0", "VTMF-24429019")</f>
        <v>VTMF-24429019</v>
      </c>
      <c r="G701" s="3" t="inlineStr">
        <is>
          <t/>
        </is>
      </c>
      <c r="H701" s="3" t="inlineStr">
        <is>
          <t>System</t>
        </is>
      </c>
      <c r="I701" s="3" t="inlineStr">
        <is>
          <t>Charles Hayes</t>
        </is>
      </c>
      <c r="J701" s="4" t="n">
        <v>45968.98569444445</v>
      </c>
      <c r="K701" s="5" t="n">
        <v>45968.0</v>
      </c>
      <c r="L701" s="5" t="n">
        <v>45952.0</v>
      </c>
      <c r="M701" s="3" t="inlineStr">
        <is>
          <t>Approved</t>
        </is>
      </c>
      <c r="N701" s="3" t="inlineStr">
        <is>
          <t>Study Close</t>
        </is>
      </c>
      <c r="O701" s="3" t="inlineStr">
        <is>
          <t>42847922MDD3003</t>
        </is>
      </c>
    </row>
    <row r="702">
      <c r="A702" s="2" t="str">
        <f>HYPERLINK("https://vtmf.veevavault.com/ui/#doc_info/30191941/1/0", "42847922MDD3003---Meeting Material-22 Sep 2025 (v1.0)")</f>
        <v>42847922MDD3003---Meeting Material-22 Sep 2025 (v1.0)</v>
      </c>
      <c r="B702" s="3" t="inlineStr">
        <is>
          <t>Third Parties</t>
        </is>
      </c>
      <c r="C702" s="3" t="inlineStr">
        <is>
          <t>General</t>
        </is>
      </c>
      <c r="D702" s="3" t="inlineStr">
        <is>
          <t>Meeting Material</t>
        </is>
      </c>
      <c r="E702" s="3" t="inlineStr">
        <is>
          <t>4G IRT_Maintenance_Project_Management_Tracker</t>
        </is>
      </c>
      <c r="F702" s="2" t="str">
        <f>HYPERLINK("https://vtmf.veevavault.com/ui/#doc_info/30191941/1/0", "VTMF-24308869")</f>
        <v>VTMF-24308869</v>
      </c>
      <c r="G702" s="3" t="inlineStr">
        <is>
          <t/>
        </is>
      </c>
      <c r="H702" s="3" t="inlineStr">
        <is>
          <t>System</t>
        </is>
      </c>
      <c r="I702" s="3" t="inlineStr">
        <is>
          <t>Gina Stefanelli</t>
        </is>
      </c>
      <c r="J702" s="4" t="n">
        <v>45950.66916666667</v>
      </c>
      <c r="K702" s="5" t="n">
        <v>45950.0</v>
      </c>
      <c r="L702" s="5" t="n">
        <v>45922.0</v>
      </c>
      <c r="M702" s="3" t="inlineStr">
        <is>
          <t>Approved</t>
        </is>
      </c>
      <c r="N702" s="3" t="inlineStr">
        <is>
          <t>Study Close</t>
        </is>
      </c>
      <c r="O702" s="3" t="inlineStr">
        <is>
          <t>42847922MDD3003</t>
        </is>
      </c>
    </row>
    <row r="703">
      <c r="A703" s="2" t="str">
        <f>HYPERLINK("https://vtmf.veevavault.com/ui/#doc_info/26190660/1/0", "42847922MDD3003---Meeting Material-23 Apr 2024 (v1.0)")</f>
        <v>42847922MDD3003---Meeting Material-23 Apr 2024 (v1.0)</v>
      </c>
      <c r="B703" s="3" t="inlineStr">
        <is>
          <t>Third Parties</t>
        </is>
      </c>
      <c r="C703" s="3" t="inlineStr">
        <is>
          <t>General</t>
        </is>
      </c>
      <c r="D703" s="3" t="inlineStr">
        <is>
          <t>Meeting Material</t>
        </is>
      </c>
      <c r="E703" s="3" t="inlineStr">
        <is>
          <t>LabCorp Weekly Meeting ADI Log</t>
        </is>
      </c>
      <c r="F703" s="2" t="str">
        <f>HYPERLINK("https://vtmf.veevavault.com/ui/#doc_info/26190660/1/0", "VTMF-20946811")</f>
        <v>VTMF-20946811</v>
      </c>
      <c r="G703" s="3" t="inlineStr">
        <is>
          <t/>
        </is>
      </c>
      <c r="H703" s="3" t="inlineStr">
        <is>
          <t>Anthony Suarez (veeva.com)</t>
        </is>
      </c>
      <c r="I703" s="3" t="inlineStr">
        <is>
          <t>Jamie Hardy</t>
        </is>
      </c>
      <c r="J703" s="4" t="n">
        <v>45405.77280092592</v>
      </c>
      <c r="K703" s="5" t="n">
        <v>45405.0</v>
      </c>
      <c r="L703" s="5" t="n">
        <v>45405.0</v>
      </c>
      <c r="M703" s="3" t="inlineStr">
        <is>
          <t>Approved</t>
        </is>
      </c>
      <c r="N703" s="3" t="inlineStr">
        <is>
          <t>Study Close</t>
        </is>
      </c>
      <c r="O703" s="3" t="inlineStr">
        <is>
          <t>42847922MDD3003</t>
        </is>
      </c>
    </row>
    <row r="704">
      <c r="A704" s="2" t="str">
        <f>HYPERLINK("https://vtmf.veevavault.com/ui/#doc_info/26955057/1/0", "42847922MDD3003---Meeting Material-23 Aug 2024 (v1.0)")</f>
        <v>42847922MDD3003---Meeting Material-23 Aug 2024 (v1.0)</v>
      </c>
      <c r="B704" s="3" t="inlineStr">
        <is>
          <t>Third Parties</t>
        </is>
      </c>
      <c r="C704" s="3" t="inlineStr">
        <is>
          <t>General</t>
        </is>
      </c>
      <c r="D704" s="3" t="inlineStr">
        <is>
          <t>Meeting Material</t>
        </is>
      </c>
      <c r="E704" s="3" t="inlineStr">
        <is>
          <t>Clario ECG Study Status Meeting Agenda/ Minutes General</t>
        </is>
      </c>
      <c r="F704" s="2" t="str">
        <f>HYPERLINK("https://vtmf.veevavault.com/ui/#doc_info/26955057/1/0", "VTMF-21608761")</f>
        <v>VTMF-21608761</v>
      </c>
      <c r="G704" s="3" t="inlineStr">
        <is>
          <t/>
        </is>
      </c>
      <c r="H704" s="3" t="inlineStr">
        <is>
          <t>Anthony Suarez (veeva.com)</t>
        </is>
      </c>
      <c r="I704" s="3" t="inlineStr">
        <is>
          <t>Debhora Garcia</t>
        </is>
      </c>
      <c r="J704" s="4" t="n">
        <v>45531.02199074074</v>
      </c>
      <c r="K704" s="5" t="n">
        <v>45531.0</v>
      </c>
      <c r="L704" s="5" t="n">
        <v>45527.0</v>
      </c>
      <c r="M704" s="3" t="inlineStr">
        <is>
          <t>Approved</t>
        </is>
      </c>
      <c r="N704" s="3" t="inlineStr">
        <is>
          <t>Study Close</t>
        </is>
      </c>
      <c r="O704" s="3" t="inlineStr">
        <is>
          <t>42847922MDD3003</t>
        </is>
      </c>
    </row>
    <row r="705">
      <c r="A705" s="2" t="str">
        <f>HYPERLINK("https://vtmf.veevavault.com/ui/#doc_info/30743397/1/0", "42847922MDD3003---Meeting Material-23 Dec 2025 (v1.0)")</f>
        <v>42847922MDD3003---Meeting Material-23 Dec 2025 (v1.0)</v>
      </c>
      <c r="B705" s="3" t="inlineStr">
        <is>
          <t>Third Parties</t>
        </is>
      </c>
      <c r="C705" s="3" t="inlineStr">
        <is>
          <t>General</t>
        </is>
      </c>
      <c r="D705" s="3" t="inlineStr">
        <is>
          <t>Meeting Material</t>
        </is>
      </c>
      <c r="E705" s="3" t="inlineStr">
        <is>
          <t>Beacon Biosignals Meeting Minutes_DEC</t>
        </is>
      </c>
      <c r="F705" s="2" t="str">
        <f>HYPERLINK("https://vtmf.veevavault.com/ui/#doc_info/30743397/1/0", "VTMF-24772160")</f>
        <v>VTMF-24772160</v>
      </c>
      <c r="G705" s="3" t="inlineStr">
        <is>
          <t/>
        </is>
      </c>
      <c r="H705" s="3" t="inlineStr">
        <is>
          <t>System</t>
        </is>
      </c>
      <c r="I705" s="3" t="inlineStr">
        <is>
          <t>Charles Hayes</t>
        </is>
      </c>
      <c r="J705" s="4" t="n">
        <v>46030.851493055554</v>
      </c>
      <c r="K705" s="5" t="n">
        <v>46030.0</v>
      </c>
      <c r="L705" s="5" t="n">
        <v>46014.0</v>
      </c>
      <c r="M705" s="3" t="inlineStr">
        <is>
          <t>Approved</t>
        </is>
      </c>
      <c r="N705" s="3" t="inlineStr">
        <is>
          <t>Study Close</t>
        </is>
      </c>
      <c r="O705" s="3" t="inlineStr">
        <is>
          <t>42847922MDD3003</t>
        </is>
      </c>
    </row>
    <row r="706">
      <c r="A706" s="2" t="str">
        <f>HYPERLINK("https://vtmf.veevavault.com/ui/#doc_info/28186244/1/0", "42847922MDD3003---Meeting Material-23 Jan 2025 (v1.0)")</f>
        <v>42847922MDD3003---Meeting Material-23 Jan 2025 (v1.0)</v>
      </c>
      <c r="B706" s="3" t="inlineStr">
        <is>
          <t>Third Parties</t>
        </is>
      </c>
      <c r="C706" s="3" t="inlineStr">
        <is>
          <t>General</t>
        </is>
      </c>
      <c r="D706" s="3" t="inlineStr">
        <is>
          <t>Meeting Material</t>
        </is>
      </c>
      <c r="E706" s="3" t="inlineStr">
        <is>
          <t>Labcorp Weekly Meeting_ADI log</t>
        </is>
      </c>
      <c r="F706" s="2" t="str">
        <f>HYPERLINK("https://vtmf.veevavault.com/ui/#doc_info/28186244/1/0", "VTMF-22604605")</f>
        <v>VTMF-22604605</v>
      </c>
      <c r="G706" s="3" t="inlineStr">
        <is>
          <t/>
        </is>
      </c>
      <c r="H706" s="3" t="inlineStr">
        <is>
          <t>Anthony Suarez (veeva.com)</t>
        </is>
      </c>
      <c r="I706" s="3" t="inlineStr">
        <is>
          <t>Debhora Garcia</t>
        </is>
      </c>
      <c r="J706" s="4" t="n">
        <v>45686.877071759256</v>
      </c>
      <c r="K706" s="5" t="n">
        <v>45686.0</v>
      </c>
      <c r="L706" s="5" t="n">
        <v>45680.0</v>
      </c>
      <c r="M706" s="3" t="inlineStr">
        <is>
          <t>Approved</t>
        </is>
      </c>
      <c r="N706" s="3" t="inlineStr">
        <is>
          <t>Study Close</t>
        </is>
      </c>
      <c r="O706" s="3" t="inlineStr">
        <is>
          <t>42847922MDD3003</t>
        </is>
      </c>
    </row>
    <row r="707">
      <c r="A707" s="2" t="str">
        <f>HYPERLINK("https://vtmf.veevavault.com/ui/#doc_info/26756702/1/0", "42847922MDD3003---Meeting Material-23 Jul 2024 (v1.0)")</f>
        <v>42847922MDD3003---Meeting Material-23 Jul 2024 (v1.0)</v>
      </c>
      <c r="B707" s="3" t="inlineStr">
        <is>
          <t>Third Parties</t>
        </is>
      </c>
      <c r="C707" s="3" t="inlineStr">
        <is>
          <t>General</t>
        </is>
      </c>
      <c r="D707" s="3" t="inlineStr">
        <is>
          <t>Meeting Material</t>
        </is>
      </c>
      <c r="E707" s="3" t="inlineStr">
        <is>
          <t>LabCorp Weekly Meeting ADI Log</t>
        </is>
      </c>
      <c r="F707" s="2" t="str">
        <f>HYPERLINK("https://vtmf.veevavault.com/ui/#doc_info/26756702/1/0", "VTMF-21441646")</f>
        <v>VTMF-21441646</v>
      </c>
      <c r="G707" s="3" t="inlineStr">
        <is>
          <t/>
        </is>
      </c>
      <c r="H707" s="3" t="inlineStr">
        <is>
          <t>Anthony Suarez (veeva.com)</t>
        </is>
      </c>
      <c r="I707" s="3" t="inlineStr">
        <is>
          <t>Debhora Garcia</t>
        </is>
      </c>
      <c r="J707" s="4" t="n">
        <v>45496.779444444444</v>
      </c>
      <c r="K707" s="5" t="n">
        <v>45496.0</v>
      </c>
      <c r="L707" s="5" t="n">
        <v>45496.0</v>
      </c>
      <c r="M707" s="3" t="inlineStr">
        <is>
          <t>Approved</t>
        </is>
      </c>
      <c r="N707" s="3" t="inlineStr">
        <is>
          <t>Study Close</t>
        </is>
      </c>
      <c r="O707" s="3" t="inlineStr">
        <is>
          <t>42847922MDD3003</t>
        </is>
      </c>
    </row>
    <row r="708">
      <c r="A708" s="2" t="str">
        <f>HYPERLINK("https://vtmf.veevavault.com/ui/#doc_info/29630963/1/0", "42847922MDD3003---Meeting Material-23 Jun 2025 (v1.0)")</f>
        <v>42847922MDD3003---Meeting Material-23 Jun 2025 (v1.0)</v>
      </c>
      <c r="B708" s="3" t="inlineStr">
        <is>
          <t>Third Parties</t>
        </is>
      </c>
      <c r="C708" s="3" t="inlineStr">
        <is>
          <t>General</t>
        </is>
      </c>
      <c r="D708" s="3" t="inlineStr">
        <is>
          <t>Meeting Material</t>
        </is>
      </c>
      <c r="E708" s="3" t="inlineStr">
        <is>
          <t>MGH CTNI Bi-Weekly Call Minutes</t>
        </is>
      </c>
      <c r="F708" s="2" t="str">
        <f>HYPERLINK("https://vtmf.veevavault.com/ui/#doc_info/29630963/1/0", "VTMF-23837106")</f>
        <v>VTMF-23837106</v>
      </c>
      <c r="G708" s="3" t="inlineStr">
        <is>
          <t/>
        </is>
      </c>
      <c r="H708" s="3" t="inlineStr">
        <is>
          <t>Gina Stefanelli</t>
        </is>
      </c>
      <c r="I708" s="3" t="inlineStr">
        <is>
          <t>Gina Stefanelli</t>
        </is>
      </c>
      <c r="J708" s="4" t="n">
        <v>45863.60789351852</v>
      </c>
      <c r="K708" s="5" t="n">
        <v>45863.0</v>
      </c>
      <c r="L708" s="5" t="n">
        <v>45831.0</v>
      </c>
      <c r="M708" s="3" t="inlineStr">
        <is>
          <t>Approved</t>
        </is>
      </c>
      <c r="N708" s="3" t="inlineStr">
        <is>
          <t>Study Close</t>
        </is>
      </c>
      <c r="O708" s="3" t="inlineStr">
        <is>
          <t>42847922MDD3003</t>
        </is>
      </c>
    </row>
    <row r="709">
      <c r="A709" s="2" t="str">
        <f>HYPERLINK("https://vtmf.veevavault.com/ui/#doc_info/27320505/1/0", "42847922MDD3003---Meeting Material-23 Oct 2024 (v1.0)")</f>
        <v>42847922MDD3003---Meeting Material-23 Oct 2024 (v1.0)</v>
      </c>
      <c r="B709" s="3" t="inlineStr">
        <is>
          <t>Third Parties</t>
        </is>
      </c>
      <c r="C709" s="3" t="inlineStr">
        <is>
          <t>General</t>
        </is>
      </c>
      <c r="D709" s="3" t="inlineStr">
        <is>
          <t>Meeting Material</t>
        </is>
      </c>
      <c r="E709" s="3" t="inlineStr">
        <is>
          <t>4G IRT 
Maintenance Project Management Tracker</t>
        </is>
      </c>
      <c r="F709" s="2" t="str">
        <f>HYPERLINK("https://vtmf.veevavault.com/ui/#doc_info/27320505/1/0", "VTMF-21913908")</f>
        <v>VTMF-21913908</v>
      </c>
      <c r="G709" s="3" t="inlineStr">
        <is>
          <t/>
        </is>
      </c>
      <c r="H709" s="3" t="inlineStr">
        <is>
          <t>Anthony Suarez (veeva.com)</t>
        </is>
      </c>
      <c r="I709" s="3" t="inlineStr">
        <is>
          <t>Gina Stefanelli</t>
        </is>
      </c>
      <c r="J709" s="4" t="n">
        <v>45588.68077546296</v>
      </c>
      <c r="K709" s="5" t="n">
        <v>45588.0</v>
      </c>
      <c r="L709" s="5" t="n">
        <v>45588.0</v>
      </c>
      <c r="M709" s="3" t="inlineStr">
        <is>
          <t>Approved</t>
        </is>
      </c>
      <c r="N709" s="3" t="inlineStr">
        <is>
          <t>Study Close</t>
        </is>
      </c>
      <c r="O709" s="3" t="inlineStr">
        <is>
          <t>42847922MDD3003</t>
        </is>
      </c>
    </row>
    <row r="710">
      <c r="A710" s="2" t="str">
        <f>HYPERLINK("https://vtmf.veevavault.com/ui/#doc_info/30219357/1/0", "42847922MDD3003---Meeting Material-23 Oct 2025 (v1.0)")</f>
        <v>42847922MDD3003---Meeting Material-23 Oct 2025 (v1.0)</v>
      </c>
      <c r="B710" s="3" t="inlineStr">
        <is>
          <t>Third Parties</t>
        </is>
      </c>
      <c r="C710" s="3" t="inlineStr">
        <is>
          <t>General</t>
        </is>
      </c>
      <c r="D710" s="3" t="inlineStr">
        <is>
          <t>Meeting Material</t>
        </is>
      </c>
      <c r="E710" s="3" t="inlineStr">
        <is>
          <t>Labcorp Weekly Meeting | ADI Log</t>
        </is>
      </c>
      <c r="F710" s="2" t="str">
        <f>HYPERLINK("https://vtmf.veevavault.com/ui/#doc_info/30219357/1/0", "VTMF-24332435")</f>
        <v>VTMF-24332435</v>
      </c>
      <c r="G710" s="3" t="inlineStr">
        <is>
          <t/>
        </is>
      </c>
      <c r="H710" s="3" t="inlineStr">
        <is>
          <t>Gina Stefanelli</t>
        </is>
      </c>
      <c r="I710" s="3" t="inlineStr">
        <is>
          <t>Gina Stefanelli</t>
        </is>
      </c>
      <c r="J710" s="4" t="n">
        <v>45953.64350694444</v>
      </c>
      <c r="K710" s="5" t="n">
        <v>45953.0</v>
      </c>
      <c r="L710" s="5" t="n">
        <v>45953.0</v>
      </c>
      <c r="M710" s="3" t="inlineStr">
        <is>
          <t>Approved</t>
        </is>
      </c>
      <c r="N710" s="3" t="inlineStr">
        <is>
          <t>Study Close</t>
        </is>
      </c>
      <c r="O710" s="3" t="inlineStr">
        <is>
          <t>42847922MDD3003</t>
        </is>
      </c>
    </row>
    <row r="711">
      <c r="A711" s="2" t="str">
        <f>HYPERLINK("https://vtmf.veevavault.com/ui/#doc_info/30323648/1/0", "42847922MDD3003---Meeting Material-23 Oct 2025 (v1.0)")</f>
        <v>42847922MDD3003---Meeting Material-23 Oct 2025 (v1.0)</v>
      </c>
      <c r="B711" s="3" t="inlineStr">
        <is>
          <t>Third Parties</t>
        </is>
      </c>
      <c r="C711" s="3" t="inlineStr">
        <is>
          <t>General</t>
        </is>
      </c>
      <c r="D711" s="3" t="inlineStr">
        <is>
          <t>Meeting Material</t>
        </is>
      </c>
      <c r="E711" s="3" t="inlineStr">
        <is>
          <t>Sleep Disturbance_Trial INterviews_Project update meeting v1</t>
        </is>
      </c>
      <c r="F711" s="2" t="str">
        <f>HYPERLINK("https://vtmf.veevavault.com/ui/#doc_info/30323648/1/0", "VTMF-24420181")</f>
        <v>VTMF-24420181</v>
      </c>
      <c r="G711" s="3" t="inlineStr">
        <is>
          <t/>
        </is>
      </c>
      <c r="H711" s="3" t="inlineStr">
        <is>
          <t>Gina Stefanelli</t>
        </is>
      </c>
      <c r="I711" s="3" t="inlineStr">
        <is>
          <t>Gina Stefanelli</t>
        </is>
      </c>
      <c r="J711" s="4" t="n">
        <v>45968.01765046296</v>
      </c>
      <c r="K711" s="5" t="n">
        <v>45967.0</v>
      </c>
      <c r="L711" s="5" t="n">
        <v>45953.0</v>
      </c>
      <c r="M711" s="3" t="inlineStr">
        <is>
          <t>Approved</t>
        </is>
      </c>
      <c r="N711" s="3" t="inlineStr">
        <is>
          <t>Study Close</t>
        </is>
      </c>
      <c r="O711" s="3" t="inlineStr">
        <is>
          <t>42847922MDD3003</t>
        </is>
      </c>
    </row>
    <row r="712">
      <c r="A712" s="2" t="str">
        <f>HYPERLINK("https://vtmf.veevavault.com/ui/#doc_info/27125105/1/0", "42847922MDD3003---Meeting Material-23 Sep 2024 (v1.0)")</f>
        <v>42847922MDD3003---Meeting Material-23 Sep 2024 (v1.0)</v>
      </c>
      <c r="B712" s="3" t="inlineStr">
        <is>
          <t>Third Parties</t>
        </is>
      </c>
      <c r="C712" s="3" t="inlineStr">
        <is>
          <t>General</t>
        </is>
      </c>
      <c r="D712" s="3" t="inlineStr">
        <is>
          <t>Meeting Material</t>
        </is>
      </c>
      <c r="E712" s="3" t="inlineStr">
        <is>
          <t>Cronos Operations Meeting Minutes Actions Log</t>
        </is>
      </c>
      <c r="F712" s="2" t="str">
        <f>HYPERLINK("https://vtmf.veevavault.com/ui/#doc_info/27125105/1/0", "VTMF-21745458")</f>
        <v>VTMF-21745458</v>
      </c>
      <c r="G712" s="3" t="inlineStr">
        <is>
          <t/>
        </is>
      </c>
      <c r="H712" s="3" t="inlineStr">
        <is>
          <t>Anthony Suarez (veeva.com)</t>
        </is>
      </c>
      <c r="I712" s="3" t="inlineStr">
        <is>
          <t>Gina Stefanelli</t>
        </is>
      </c>
      <c r="J712" s="4" t="n">
        <v>45558.65550925926</v>
      </c>
      <c r="K712" s="5" t="n">
        <v>45558.0</v>
      </c>
      <c r="L712" s="5" t="n">
        <v>45558.0</v>
      </c>
      <c r="M712" s="3" t="inlineStr">
        <is>
          <t>Approved</t>
        </is>
      </c>
      <c r="N712" s="3" t="inlineStr">
        <is>
          <t>Study Close</t>
        </is>
      </c>
      <c r="O712" s="3" t="inlineStr">
        <is>
          <t>42847922MDD3003</t>
        </is>
      </c>
    </row>
    <row r="713">
      <c r="A713" s="2" t="str">
        <f>HYPERLINK("https://vtmf.veevavault.com/ui/#doc_info/29545589/1/0", "42847922MDD3003---Meeting Material-24 Apr 2025 (v1.0)")</f>
        <v>42847922MDD3003---Meeting Material-24 Apr 2025 (v1.0)</v>
      </c>
      <c r="B713" s="3" t="inlineStr">
        <is>
          <t>Third Parties</t>
        </is>
      </c>
      <c r="C713" s="3" t="inlineStr">
        <is>
          <t>General</t>
        </is>
      </c>
      <c r="D713" s="3" t="inlineStr">
        <is>
          <t>Meeting Material</t>
        </is>
      </c>
      <c r="E713" s="3" t="inlineStr">
        <is>
          <t>Sleep disturbance in MDD - Minutes actions from meeting on 24th Apr 2025</t>
        </is>
      </c>
      <c r="F713" s="2" t="str">
        <f>HYPERLINK("https://vtmf.veevavault.com/ui/#doc_info/29545589/1/0", "VTMF-23763502")</f>
        <v>VTMF-23763502</v>
      </c>
      <c r="G713" s="3" t="inlineStr">
        <is>
          <t/>
        </is>
      </c>
      <c r="H713" s="3" t="inlineStr">
        <is>
          <t>System</t>
        </is>
      </c>
      <c r="I713" s="3" t="inlineStr">
        <is>
          <t>Debhora Garcia</t>
        </is>
      </c>
      <c r="J713" s="4" t="n">
        <v>45849.97357638889</v>
      </c>
      <c r="K713" s="5" t="n">
        <v>45850.0</v>
      </c>
      <c r="L713" s="5" t="n">
        <v>45771.0</v>
      </c>
      <c r="M713" s="3" t="inlineStr">
        <is>
          <t>Approved</t>
        </is>
      </c>
      <c r="N713" s="3" t="inlineStr">
        <is>
          <t>Study Close</t>
        </is>
      </c>
      <c r="O713" s="3" t="inlineStr">
        <is>
          <t>42847922MDD3003</t>
        </is>
      </c>
    </row>
    <row r="714">
      <c r="A714" s="2" t="str">
        <f>HYPERLINK("https://vtmf.veevavault.com/ui/#doc_info/30136970/1/0", "42847922MDD3003---Meeting Material-24 Apr 2025 (v1.0)")</f>
        <v>42847922MDD3003---Meeting Material-24 Apr 2025 (v1.0)</v>
      </c>
      <c r="B714" s="3" t="inlineStr">
        <is>
          <t>Third Parties</t>
        </is>
      </c>
      <c r="C714" s="3" t="inlineStr">
        <is>
          <t>General</t>
        </is>
      </c>
      <c r="D714" s="3" t="inlineStr">
        <is>
          <t>Meeting Material</t>
        </is>
      </c>
      <c r="E714" s="3" t="inlineStr">
        <is>
          <t>11162 Sleep disturbance in MDD - Minutes actions from meeting on 24th Apr</t>
        </is>
      </c>
      <c r="F714" s="2" t="str">
        <f>HYPERLINK("https://vtmf.veevavault.com/ui/#doc_info/30136970/1/0", "VTMF-24261375")</f>
        <v>VTMF-24261375</v>
      </c>
      <c r="G714" s="3" t="inlineStr">
        <is>
          <t/>
        </is>
      </c>
      <c r="H714" s="3" t="inlineStr">
        <is>
          <t>System</t>
        </is>
      </c>
      <c r="I714" s="3" t="inlineStr">
        <is>
          <t>Debhora Garcia</t>
        </is>
      </c>
      <c r="J714" s="4" t="n">
        <v>45940.88082175926</v>
      </c>
      <c r="K714" s="5" t="n">
        <v>45940.0</v>
      </c>
      <c r="L714" s="5" t="n">
        <v>45771.0</v>
      </c>
      <c r="M714" s="3" t="inlineStr">
        <is>
          <t>Approved</t>
        </is>
      </c>
      <c r="N714" s="3" t="inlineStr">
        <is>
          <t>Study Close</t>
        </is>
      </c>
      <c r="O714" s="3" t="inlineStr">
        <is>
          <t>42847922MDD3003</t>
        </is>
      </c>
    </row>
    <row r="715">
      <c r="A715" s="2" t="str">
        <f>HYPERLINK("https://vtmf.veevavault.com/ui/#doc_info/28360833/1/0", "42847922MDD3003---Meeting Material-24 Feb 2025 (v1.0)")</f>
        <v>42847922MDD3003---Meeting Material-24 Feb 2025 (v1.0)</v>
      </c>
      <c r="B715" s="3" t="inlineStr">
        <is>
          <t>Third Parties</t>
        </is>
      </c>
      <c r="C715" s="3" t="inlineStr">
        <is>
          <t>General</t>
        </is>
      </c>
      <c r="D715" s="3" t="inlineStr">
        <is>
          <t>Meeting Material</t>
        </is>
      </c>
      <c r="E715" s="3" t="inlineStr">
        <is>
          <t>4G IRT Maintenance_Project_Management_Tracker</t>
        </is>
      </c>
      <c r="F715" s="2" t="str">
        <f>HYPERLINK("https://vtmf.veevavault.com/ui/#doc_info/28360833/1/0", "VTMF-22755156")</f>
        <v>VTMF-22755156</v>
      </c>
      <c r="G715" s="3" t="inlineStr">
        <is>
          <t/>
        </is>
      </c>
      <c r="H715" s="3" t="inlineStr">
        <is>
          <t>Anthony Suarez (veeva.com)</t>
        </is>
      </c>
      <c r="I715" s="3" t="inlineStr">
        <is>
          <t>Gina Stefanelli</t>
        </is>
      </c>
      <c r="J715" s="4" t="n">
        <v>45712.79623842592</v>
      </c>
      <c r="K715" s="5" t="n">
        <v>45712.0</v>
      </c>
      <c r="L715" s="5" t="n">
        <v>45712.0</v>
      </c>
      <c r="M715" s="3" t="inlineStr">
        <is>
          <t>Approved</t>
        </is>
      </c>
      <c r="N715" s="3" t="inlineStr">
        <is>
          <t>Study Close</t>
        </is>
      </c>
      <c r="O715" s="3" t="inlineStr">
        <is>
          <t>42847922MDD3003</t>
        </is>
      </c>
    </row>
    <row r="716">
      <c r="A716" s="2" t="str">
        <f>HYPERLINK("https://vtmf.veevavault.com/ui/#doc_info/28585156/1/0", "42847922MDD3003---Meeting Material-24 Feb 2025 (v1.0)")</f>
        <v>42847922MDD3003---Meeting Material-24 Feb 2025 (v1.0)</v>
      </c>
      <c r="B716" s="3" t="inlineStr">
        <is>
          <t>Third Parties</t>
        </is>
      </c>
      <c r="C716" s="3" t="inlineStr">
        <is>
          <t>General</t>
        </is>
      </c>
      <c r="D716" s="3" t="inlineStr">
        <is>
          <t>Meeting Material</t>
        </is>
      </c>
      <c r="E716" s="3" t="inlineStr">
        <is>
          <t>Cronos Operations Meeting Minutes Actions Log</t>
        </is>
      </c>
      <c r="F716" s="2" t="str">
        <f>HYPERLINK("https://vtmf.veevavault.com/ui/#doc_info/28585156/1/0", "VTMF-22956812")</f>
        <v>VTMF-22956812</v>
      </c>
      <c r="G716" s="3" t="inlineStr">
        <is>
          <t/>
        </is>
      </c>
      <c r="H716" s="3" t="inlineStr">
        <is>
          <t>Anthony Suarez (veeva.com)</t>
        </is>
      </c>
      <c r="I716" s="3" t="inlineStr">
        <is>
          <t>Gina Stefanelli</t>
        </is>
      </c>
      <c r="J716" s="4" t="n">
        <v>45719.70636574074</v>
      </c>
      <c r="K716" s="5" t="n">
        <v>45719.0</v>
      </c>
      <c r="L716" s="5" t="n">
        <v>45712.0</v>
      </c>
      <c r="M716" s="3" t="inlineStr">
        <is>
          <t>Approved</t>
        </is>
      </c>
      <c r="N716" s="3" t="inlineStr">
        <is>
          <t>Study Close</t>
        </is>
      </c>
      <c r="O716" s="3" t="inlineStr">
        <is>
          <t>42847922MDD3003</t>
        </is>
      </c>
    </row>
    <row r="717">
      <c r="A717" s="2" t="str">
        <f>HYPERLINK("https://vtmf.veevavault.com/ui/#doc_info/31135251/1/0", "42847922MDD3003---Meeting Material-24 Feb 2026 (v1.0)")</f>
        <v>42847922MDD3003---Meeting Material-24 Feb 2026 (v1.0)</v>
      </c>
      <c r="B717" s="3" t="inlineStr">
        <is>
          <t>Third Parties</t>
        </is>
      </c>
      <c r="C717" s="3" t="inlineStr">
        <is>
          <t>General</t>
        </is>
      </c>
      <c r="D717" s="3" t="inlineStr">
        <is>
          <t>Meeting Material</t>
        </is>
      </c>
      <c r="E717" s="3" t="inlineStr">
        <is>
          <t>Beacon Biosignals Meeting Minutes_FEB 2026</t>
        </is>
      </c>
      <c r="F717" s="2" t="str">
        <f>HYPERLINK("https://vtmf.veevavault.com/ui/#doc_info/31135251/1/0", "VTMF-25103018")</f>
        <v>VTMF-25103018</v>
      </c>
      <c r="G717" s="3" t="inlineStr">
        <is>
          <t/>
        </is>
      </c>
      <c r="H717" s="3" t="inlineStr">
        <is>
          <t>System</t>
        </is>
      </c>
      <c r="I717" s="3" t="inlineStr">
        <is>
          <t>Charles Hayes</t>
        </is>
      </c>
      <c r="J717" s="4" t="n">
        <v>46088.84409722222</v>
      </c>
      <c r="K717" s="5" t="n">
        <v>46088.0</v>
      </c>
      <c r="L717" s="5" t="n">
        <v>46077.0</v>
      </c>
      <c r="M717" s="3" t="inlineStr">
        <is>
          <t>Approved</t>
        </is>
      </c>
      <c r="N717" s="3" t="inlineStr">
        <is>
          <t>Study Close</t>
        </is>
      </c>
      <c r="O717" s="3" t="inlineStr">
        <is>
          <t>42847922MDD3003</t>
        </is>
      </c>
    </row>
    <row r="718">
      <c r="A718" s="2" t="str">
        <f>HYPERLINK("https://vtmf.veevavault.com/ui/#doc_info/31214866/1/0", "42847922MDD3003---Meeting Material-24 Feb 2026 (v1.0)")</f>
        <v>42847922MDD3003---Meeting Material-24 Feb 2026 (v1.0)</v>
      </c>
      <c r="B718" s="3" t="inlineStr">
        <is>
          <t>Third Parties</t>
        </is>
      </c>
      <c r="C718" s="3" t="inlineStr">
        <is>
          <t>General</t>
        </is>
      </c>
      <c r="D718" s="3" t="inlineStr">
        <is>
          <t>Meeting Material</t>
        </is>
      </c>
      <c r="E718" s="3" t="inlineStr">
        <is>
          <t>LabCorp Weekly Meeting ADI Log</t>
        </is>
      </c>
      <c r="F718" s="2" t="str">
        <f>HYPERLINK("https://vtmf.veevavault.com/ui/#doc_info/31214866/1/0", "VTMF-25170048")</f>
        <v>VTMF-25170048</v>
      </c>
      <c r="G718" s="3" t="inlineStr">
        <is>
          <t/>
        </is>
      </c>
      <c r="H718" s="3" t="inlineStr">
        <is>
          <t>System</t>
        </is>
      </c>
      <c r="I718" s="3" t="inlineStr">
        <is>
          <t>Debhora Garcia</t>
        </is>
      </c>
      <c r="J718" s="4" t="n">
        <v>46100.8340625</v>
      </c>
      <c r="K718" s="5" t="n">
        <v>46100.0</v>
      </c>
      <c r="L718" s="5" t="n">
        <v>46077.0</v>
      </c>
      <c r="M718" s="3" t="inlineStr">
        <is>
          <t>Approved</t>
        </is>
      </c>
      <c r="N718" s="3" t="inlineStr">
        <is>
          <t>Study Close</t>
        </is>
      </c>
      <c r="O718" s="3" t="inlineStr">
        <is>
          <t>42847922MDD3003</t>
        </is>
      </c>
    </row>
    <row r="719">
      <c r="A719" s="2" t="str">
        <f>HYPERLINK("https://vtmf.veevavault.com/ui/#doc_info/28360771/1/0", "42847922MDD3003---Meeting Material-24 Jan 2025 (v1.0)")</f>
        <v>42847922MDD3003---Meeting Material-24 Jan 2025 (v1.0)</v>
      </c>
      <c r="B719" s="3" t="inlineStr">
        <is>
          <t>Third Parties</t>
        </is>
      </c>
      <c r="C719" s="3" t="inlineStr">
        <is>
          <t>General</t>
        </is>
      </c>
      <c r="D719" s="3" t="inlineStr">
        <is>
          <t>Meeting Material</t>
        </is>
      </c>
      <c r="E719" s="3" t="inlineStr">
        <is>
          <t>Clario ECG Study Status Meeting Agenda/ Minutes General</t>
        </is>
      </c>
      <c r="F719" s="2" t="str">
        <f>HYPERLINK("https://vtmf.veevavault.com/ui/#doc_info/28360771/1/0", "VTMF-22755197")</f>
        <v>VTMF-22755197</v>
      </c>
      <c r="G719" s="3" t="inlineStr">
        <is>
          <t/>
        </is>
      </c>
      <c r="H719" s="3" t="inlineStr">
        <is>
          <t>Anthony Suarez (veeva.com)</t>
        </is>
      </c>
      <c r="I719" s="3" t="inlineStr">
        <is>
          <t>Gina Stefanelli</t>
        </is>
      </c>
      <c r="J719" s="4" t="n">
        <v>45712.80315972222</v>
      </c>
      <c r="K719" s="5" t="n">
        <v>45712.0</v>
      </c>
      <c r="L719" s="5" t="n">
        <v>45681.0</v>
      </c>
      <c r="M719" s="3" t="inlineStr">
        <is>
          <t>Approved</t>
        </is>
      </c>
      <c r="N719" s="3" t="inlineStr">
        <is>
          <t>Study Close</t>
        </is>
      </c>
      <c r="O719" s="3" t="inlineStr">
        <is>
          <t>42847922MDD3003, 67953964MDD3005, 67953964MDD3007</t>
        </is>
      </c>
    </row>
    <row r="720">
      <c r="A720" s="2" t="str">
        <f>HYPERLINK("https://vtmf.veevavault.com/ui/#doc_info/29623149/1/0", "42847922MDD3003---Meeting Material-24 Jul 2025 (v1.0)")</f>
        <v>42847922MDD3003---Meeting Material-24 Jul 2025 (v1.0)</v>
      </c>
      <c r="B720" s="3" t="inlineStr">
        <is>
          <t>Third Parties</t>
        </is>
      </c>
      <c r="C720" s="3" t="inlineStr">
        <is>
          <t>General</t>
        </is>
      </c>
      <c r="D720" s="3" t="inlineStr">
        <is>
          <t>Meeting Material</t>
        </is>
      </c>
      <c r="E720" s="3" t="inlineStr">
        <is>
          <t>Labcorp Weekly Meeting | ADI Log</t>
        </is>
      </c>
      <c r="F720" s="2" t="str">
        <f>HYPERLINK("https://vtmf.veevavault.com/ui/#doc_info/29623149/1/0", "VTMF-23829982")</f>
        <v>VTMF-23829982</v>
      </c>
      <c r="G720" s="3" t="inlineStr">
        <is>
          <t/>
        </is>
      </c>
      <c r="H720" s="3" t="inlineStr">
        <is>
          <t>Gina Stefanelli</t>
        </is>
      </c>
      <c r="I720" s="3" t="inlineStr">
        <is>
          <t>Gina Stefanelli</t>
        </is>
      </c>
      <c r="J720" s="4" t="n">
        <v>45862.72456018518</v>
      </c>
      <c r="K720" s="5" t="n">
        <v>45862.0</v>
      </c>
      <c r="L720" s="5" t="n">
        <v>45862.0</v>
      </c>
      <c r="M720" s="3" t="inlineStr">
        <is>
          <t>Approved</t>
        </is>
      </c>
      <c r="N720" s="3" t="inlineStr">
        <is>
          <t>Study Close</t>
        </is>
      </c>
      <c r="O720" s="3" t="inlineStr">
        <is>
          <t>42847922MDD3003</t>
        </is>
      </c>
    </row>
    <row r="721">
      <c r="A721" s="2" t="str">
        <f>HYPERLINK("https://vtmf.veevavault.com/ui/#doc_info/29508120/1/0", "42847922MDD3003---Meeting Material-24 Jun 2025 (v1.0)")</f>
        <v>42847922MDD3003---Meeting Material-24 Jun 2025 (v1.0)</v>
      </c>
      <c r="B721" s="3" t="inlineStr">
        <is>
          <t>Third Parties</t>
        </is>
      </c>
      <c r="C721" s="3" t="inlineStr">
        <is>
          <t>General</t>
        </is>
      </c>
      <c r="D721" s="3" t="inlineStr">
        <is>
          <t>Meeting Material</t>
        </is>
      </c>
      <c r="E721" s="3" t="inlineStr">
        <is>
          <t>Beacon Biosignals Meeting Minutes</t>
        </is>
      </c>
      <c r="F721" s="2" t="str">
        <f>HYPERLINK("https://vtmf.veevavault.com/ui/#doc_info/29508120/1/0", "VTMF-23732610")</f>
        <v>VTMF-23732610</v>
      </c>
      <c r="G721" s="3" t="inlineStr">
        <is>
          <t/>
        </is>
      </c>
      <c r="H721" s="3" t="inlineStr">
        <is>
          <t>Anthony Suarez (veeva.com)</t>
        </is>
      </c>
      <c r="I721" s="3" t="inlineStr">
        <is>
          <t>Charles Hayes</t>
        </is>
      </c>
      <c r="J721" s="4" t="n">
        <v>45845.7421875</v>
      </c>
      <c r="K721" s="5" t="n">
        <v>45845.0</v>
      </c>
      <c r="L721" s="5" t="n">
        <v>45832.0</v>
      </c>
      <c r="M721" s="3" t="inlineStr">
        <is>
          <t>Approved</t>
        </is>
      </c>
      <c r="N721" s="3" t="inlineStr">
        <is>
          <t>Study Close</t>
        </is>
      </c>
      <c r="O721" s="3" t="inlineStr">
        <is>
          <t>42847922MDD3003</t>
        </is>
      </c>
    </row>
    <row r="722">
      <c r="A722" s="2" t="str">
        <f>HYPERLINK("https://vtmf.veevavault.com/ui/#doc_info/28759787/1/0", "42847922MDD3003---Meeting Material-24 Mar 2025 (v1.0)")</f>
        <v>42847922MDD3003---Meeting Material-24 Mar 2025 (v1.0)</v>
      </c>
      <c r="B722" s="3" t="inlineStr">
        <is>
          <t>Third Parties</t>
        </is>
      </c>
      <c r="C722" s="3" t="inlineStr">
        <is>
          <t>General</t>
        </is>
      </c>
      <c r="D722" s="3" t="inlineStr">
        <is>
          <t>Meeting Material</t>
        </is>
      </c>
      <c r="E722" s="3" t="inlineStr">
        <is>
          <t>4G IRT _Maintenance_Project_Management_Tracker</t>
        </is>
      </c>
      <c r="F722" s="2" t="str">
        <f>HYPERLINK("https://vtmf.veevavault.com/ui/#doc_info/28759787/1/0", "VTMF-23105720")</f>
        <v>VTMF-23105720</v>
      </c>
      <c r="G722" s="3" t="inlineStr">
        <is>
          <t/>
        </is>
      </c>
      <c r="H722" s="3" t="inlineStr">
        <is>
          <t>Anthony Suarez (veeva.com)</t>
        </is>
      </c>
      <c r="I722" s="3" t="inlineStr">
        <is>
          <t>Gina Stefanelli</t>
        </is>
      </c>
      <c r="J722" s="4" t="n">
        <v>45743.855462962965</v>
      </c>
      <c r="K722" s="5" t="n">
        <v>45743.0</v>
      </c>
      <c r="L722" s="5" t="n">
        <v>45740.0</v>
      </c>
      <c r="M722" s="3" t="inlineStr">
        <is>
          <t>Approved</t>
        </is>
      </c>
      <c r="N722" s="3" t="inlineStr">
        <is>
          <t>Study Close</t>
        </is>
      </c>
      <c r="O722" s="3" t="inlineStr">
        <is>
          <t>42847922MDD3003</t>
        </is>
      </c>
    </row>
    <row r="723">
      <c r="A723" s="2" t="str">
        <f>HYPERLINK("https://vtmf.veevavault.com/ui/#doc_info/26417895/1/0", "42847922MDD3003---Meeting Material-24 May 2024 (v1.0)")</f>
        <v>42847922MDD3003---Meeting Material-24 May 2024 (v1.0)</v>
      </c>
      <c r="B723" s="3" t="inlineStr">
        <is>
          <t>Third Parties</t>
        </is>
      </c>
      <c r="C723" s="3" t="inlineStr">
        <is>
          <t>General</t>
        </is>
      </c>
      <c r="D723" s="3" t="inlineStr">
        <is>
          <t>Meeting Material</t>
        </is>
      </c>
      <c r="E723" s="3" t="inlineStr">
        <is>
          <t>Clario ECG Study Status Meeting Agenda/ Minutes General</t>
        </is>
      </c>
      <c r="F723" s="2" t="str">
        <f>HYPERLINK("https://vtmf.veevavault.com/ui/#doc_info/26417895/1/0", "VTMF-21144815")</f>
        <v>VTMF-21144815</v>
      </c>
      <c r="G723" s="3" t="inlineStr">
        <is>
          <t/>
        </is>
      </c>
      <c r="H723" s="3" t="inlineStr">
        <is>
          <t>Anthony Suarez (veeva.com)</t>
        </is>
      </c>
      <c r="I723" s="3" t="inlineStr">
        <is>
          <t>Jamie Hardy</t>
        </is>
      </c>
      <c r="J723" s="4" t="n">
        <v>45441.76395833334</v>
      </c>
      <c r="K723" s="5" t="n">
        <v>45441.0</v>
      </c>
      <c r="L723" s="5" t="n">
        <v>45436.0</v>
      </c>
      <c r="M723" s="3" t="inlineStr">
        <is>
          <t>Approved</t>
        </is>
      </c>
      <c r="N723" s="3" t="inlineStr">
        <is>
          <t>Study Close</t>
        </is>
      </c>
      <c r="O723" s="3" t="inlineStr">
        <is>
          <t>42847922MDD3003</t>
        </is>
      </c>
    </row>
    <row r="724">
      <c r="A724" s="2" t="str">
        <f>HYPERLINK("https://vtmf.veevavault.com/ui/#doc_info/30086430/1/0", "42847922MDD3003---Meeting Material-24 Sep 2025 (v1.0)")</f>
        <v>42847922MDD3003---Meeting Material-24 Sep 2025 (v1.0)</v>
      </c>
      <c r="B724" s="3" t="inlineStr">
        <is>
          <t>Third Parties</t>
        </is>
      </c>
      <c r="C724" s="3" t="inlineStr">
        <is>
          <t>General</t>
        </is>
      </c>
      <c r="D724" s="3" t="inlineStr">
        <is>
          <t>Meeting Material</t>
        </is>
      </c>
      <c r="E724" s="3" t="inlineStr">
        <is>
          <t>Beacon Biosignals Site Sync Meeting Minutes_SEP 2025</t>
        </is>
      </c>
      <c r="F724" s="2" t="str">
        <f>HYPERLINK("https://vtmf.veevavault.com/ui/#doc_info/30086430/1/0", "VTMF-24217831")</f>
        <v>VTMF-24217831</v>
      </c>
      <c r="G724" s="3" t="inlineStr">
        <is>
          <t/>
        </is>
      </c>
      <c r="H724" s="3" t="inlineStr">
        <is>
          <t>System</t>
        </is>
      </c>
      <c r="I724" s="3" t="inlineStr">
        <is>
          <t>Charles Hayes</t>
        </is>
      </c>
      <c r="J724" s="4" t="n">
        <v>45932.82434027778</v>
      </c>
      <c r="K724" s="5" t="n">
        <v>45932.0</v>
      </c>
      <c r="L724" s="5" t="n">
        <v>45924.0</v>
      </c>
      <c r="M724" s="3" t="inlineStr">
        <is>
          <t>Approved</t>
        </is>
      </c>
      <c r="N724" s="3" t="inlineStr">
        <is>
          <t>Study Close</t>
        </is>
      </c>
      <c r="O724" s="3" t="inlineStr">
        <is>
          <t>42847922MDD3003</t>
        </is>
      </c>
    </row>
    <row r="725">
      <c r="A725" s="2" t="str">
        <f>HYPERLINK("https://vtmf.veevavault.com/ui/#doc_info/28992173/1/0", "42847922MDD3003---Meeting Material-25 Apr 2025 (v1.0)")</f>
        <v>42847922MDD3003---Meeting Material-25 Apr 2025 (v1.0)</v>
      </c>
      <c r="B725" s="3" t="inlineStr">
        <is>
          <t>Third Parties</t>
        </is>
      </c>
      <c r="C725" s="3" t="inlineStr">
        <is>
          <t>General</t>
        </is>
      </c>
      <c r="D725" s="3" t="inlineStr">
        <is>
          <t>Meeting Material</t>
        </is>
      </c>
      <c r="E725" s="3" t="inlineStr">
        <is>
          <t>Cronos Operations Meeting Minutes Actions Log</t>
        </is>
      </c>
      <c r="F725" s="2" t="str">
        <f>HYPERLINK("https://vtmf.veevavault.com/ui/#doc_info/28992173/1/0", "VTMF-23290958")</f>
        <v>VTMF-23290958</v>
      </c>
      <c r="G725" s="3" t="inlineStr">
        <is>
          <t/>
        </is>
      </c>
      <c r="H725" s="3" t="inlineStr">
        <is>
          <t>Anthony Suarez (veeva.com)</t>
        </is>
      </c>
      <c r="I725" s="3" t="inlineStr">
        <is>
          <t>Gina Stefanelli</t>
        </is>
      </c>
      <c r="J725" s="4" t="n">
        <v>45775.58920138889</v>
      </c>
      <c r="K725" s="5" t="n">
        <v>45775.0</v>
      </c>
      <c r="L725" s="5" t="n">
        <v>45772.0</v>
      </c>
      <c r="M725" s="3" t="inlineStr">
        <is>
          <t>Approved</t>
        </is>
      </c>
      <c r="N725" s="3" t="inlineStr">
        <is>
          <t>Study Close</t>
        </is>
      </c>
      <c r="O725" s="3" t="inlineStr">
        <is>
          <t>42847922MDD3003</t>
        </is>
      </c>
    </row>
    <row r="726">
      <c r="A726" s="2" t="str">
        <f>HYPERLINK("https://vtmf.veevavault.com/ui/#doc_info/28995769/2/0", "42847922MDD3003---Meeting Material-25 Apr 2025 (v2.0)")</f>
        <v>42847922MDD3003---Meeting Material-25 Apr 2025 (v2.0)</v>
      </c>
      <c r="B726" s="3" t="inlineStr">
        <is>
          <t>Third Parties</t>
        </is>
      </c>
      <c r="C726" s="3" t="inlineStr">
        <is>
          <t>General</t>
        </is>
      </c>
      <c r="D726" s="3" t="inlineStr">
        <is>
          <t>Meeting Material</t>
        </is>
      </c>
      <c r="E726" s="3" t="inlineStr">
        <is>
          <t>Clario ECG Study Status Meeting Agenda/ Minutes General</t>
        </is>
      </c>
      <c r="F726" s="2" t="str">
        <f>HYPERLINK("https://vtmf.veevavault.com/ui/#doc_info/28995769/2/0", "VTMF-23294242")</f>
        <v>VTMF-23294242</v>
      </c>
      <c r="G726" s="3" t="inlineStr">
        <is>
          <t/>
        </is>
      </c>
      <c r="H726" s="3" t="inlineStr">
        <is>
          <t>Anthony Suarez (veeva.com)</t>
        </is>
      </c>
      <c r="I726" s="3" t="inlineStr">
        <is>
          <t>Debhora Garcia</t>
        </is>
      </c>
      <c r="J726" s="4" t="n">
        <v>45845.97273148148</v>
      </c>
      <c r="K726" s="5" t="n">
        <v>45845.0</v>
      </c>
      <c r="L726" s="5" t="n">
        <v>45772.0</v>
      </c>
      <c r="M726" s="3" t="inlineStr">
        <is>
          <t>Approved</t>
        </is>
      </c>
      <c r="N726" s="3" t="inlineStr">
        <is>
          <t>Study Close</t>
        </is>
      </c>
      <c r="O726" s="3" t="inlineStr">
        <is>
          <t>42847922MDD3003</t>
        </is>
      </c>
    </row>
    <row r="727">
      <c r="A727" s="2" t="str">
        <f>HYPERLINK("https://vtmf.veevavault.com/ui/#doc_info/29220919/1/0", "42847922MDD3003---Meeting Material-25 Apr 2025 (v1.0)")</f>
        <v>42847922MDD3003---Meeting Material-25 Apr 2025 (v1.0)</v>
      </c>
      <c r="B727" s="3" t="inlineStr">
        <is>
          <t>Third Parties</t>
        </is>
      </c>
      <c r="C727" s="3" t="inlineStr">
        <is>
          <t>General</t>
        </is>
      </c>
      <c r="D727" s="3" t="inlineStr">
        <is>
          <t>Meeting Material</t>
        </is>
      </c>
      <c r="E727" s="3" t="inlineStr">
        <is>
          <t>Cronos Data Monitoring Reports</t>
        </is>
      </c>
      <c r="F727" s="2" t="str">
        <f>HYPERLINK("https://vtmf.veevavault.com/ui/#doc_info/29220919/1/0", "VTMF-23486366")</f>
        <v>VTMF-23486366</v>
      </c>
      <c r="G727" s="3" t="inlineStr">
        <is>
          <t/>
        </is>
      </c>
      <c r="H727" s="3" t="inlineStr">
        <is>
          <t>Gina Stefanelli</t>
        </is>
      </c>
      <c r="I727" s="3" t="inlineStr">
        <is>
          <t>Debhora Garcia</t>
        </is>
      </c>
      <c r="J727" s="4" t="n">
        <v>45805.90466435185</v>
      </c>
      <c r="K727" s="5" t="n">
        <v>45805.0</v>
      </c>
      <c r="L727" s="5" t="n">
        <v>45772.0</v>
      </c>
      <c r="M727" s="3" t="inlineStr">
        <is>
          <t>Approved</t>
        </is>
      </c>
      <c r="N727" s="3" t="inlineStr">
        <is>
          <t>Study Close</t>
        </is>
      </c>
      <c r="O727" s="3" t="inlineStr">
        <is>
          <t>42847922MDD3003</t>
        </is>
      </c>
    </row>
    <row r="728">
      <c r="A728" s="2" t="str">
        <f>HYPERLINK("https://vtmf.veevavault.com/ui/#doc_info/29829494/1/0", "42847922MDD3003---Meeting Material-25 Aug 2025 (v1.0)")</f>
        <v>42847922MDD3003---Meeting Material-25 Aug 2025 (v1.0)</v>
      </c>
      <c r="B728" s="3" t="inlineStr">
        <is>
          <t>Third Parties</t>
        </is>
      </c>
      <c r="C728" s="3" t="inlineStr">
        <is>
          <t>General</t>
        </is>
      </c>
      <c r="D728" s="3" t="inlineStr">
        <is>
          <t>Meeting Material</t>
        </is>
      </c>
      <c r="E728" s="3" t="inlineStr">
        <is>
          <t>4G_Maintenance_Project_Management_Tracker</t>
        </is>
      </c>
      <c r="F728" s="2" t="str">
        <f>HYPERLINK("https://vtmf.veevavault.com/ui/#doc_info/29829494/1/0", "VTMF-24006922")</f>
        <v>VTMF-24006922</v>
      </c>
      <c r="G728" s="3" t="inlineStr">
        <is>
          <t/>
        </is>
      </c>
      <c r="H728" s="3" t="inlineStr">
        <is>
          <t>Gina Stefanelli</t>
        </is>
      </c>
      <c r="I728" s="3" t="inlineStr">
        <is>
          <t>Gina Stefanelli</t>
        </is>
      </c>
      <c r="J728" s="4" t="n">
        <v>45895.53394675926</v>
      </c>
      <c r="K728" s="5" t="n">
        <v>45895.0</v>
      </c>
      <c r="L728" s="5" t="n">
        <v>45894.0</v>
      </c>
      <c r="M728" s="3" t="inlineStr">
        <is>
          <t>Approved</t>
        </is>
      </c>
      <c r="N728" s="3" t="inlineStr">
        <is>
          <t>Study Close</t>
        </is>
      </c>
      <c r="O728" s="3" t="inlineStr">
        <is>
          <t>42847922MDD3003</t>
        </is>
      </c>
    </row>
    <row r="729">
      <c r="A729" s="2" t="str">
        <f>HYPERLINK("https://vtmf.veevavault.com/ui/#doc_info/28597453/1/0", "42847922MDD3003---Meeting Material-25 Feb 2025 (v1.0)")</f>
        <v>42847922MDD3003---Meeting Material-25 Feb 2025 (v1.0)</v>
      </c>
      <c r="B729" s="3" t="inlineStr">
        <is>
          <t>Third Parties</t>
        </is>
      </c>
      <c r="C729" s="3" t="inlineStr">
        <is>
          <t>General</t>
        </is>
      </c>
      <c r="D729" s="3" t="inlineStr">
        <is>
          <t>Meeting Material</t>
        </is>
      </c>
      <c r="E729" s="3" t="inlineStr">
        <is>
          <t>Beacon DREEM Weekly Meeting Minutes ; FEB2025</t>
        </is>
      </c>
      <c r="F729" s="2" t="str">
        <f>HYPERLINK("https://vtmf.veevavault.com/ui/#doc_info/28597453/1/0", "VTMF-22967737")</f>
        <v>VTMF-22967737</v>
      </c>
      <c r="G729" s="3" t="inlineStr">
        <is>
          <t/>
        </is>
      </c>
      <c r="H729" s="3" t="inlineStr">
        <is>
          <t>Anthony Suarez (veeva.com)</t>
        </is>
      </c>
      <c r="I729" s="3" t="inlineStr">
        <is>
          <t>Charles Hayes</t>
        </is>
      </c>
      <c r="J729" s="4" t="n">
        <v>45721.071539351855</v>
      </c>
      <c r="K729" s="5" t="n">
        <v>45720.0</v>
      </c>
      <c r="L729" s="5" t="n">
        <v>45713.0</v>
      </c>
      <c r="M729" s="3" t="inlineStr">
        <is>
          <t>Approved</t>
        </is>
      </c>
      <c r="N729" s="3" t="inlineStr">
        <is>
          <t>Study Close</t>
        </is>
      </c>
      <c r="O729" s="3" t="inlineStr">
        <is>
          <t>42847922MDD3003</t>
        </is>
      </c>
    </row>
    <row r="730">
      <c r="A730" s="2" t="str">
        <f>HYPERLINK("https://vtmf.veevavault.com/ui/#doc_info/31114392/1/0", "42847922MDD3003---Meeting Material-25 Feb 2026 (v1.0)")</f>
        <v>42847922MDD3003---Meeting Material-25 Feb 2026 (v1.0)</v>
      </c>
      <c r="B730" s="3" t="inlineStr">
        <is>
          <t>Third Parties</t>
        </is>
      </c>
      <c r="C730" s="3" t="inlineStr">
        <is>
          <t>General</t>
        </is>
      </c>
      <c r="D730" s="3" t="inlineStr">
        <is>
          <t>Meeting Material</t>
        </is>
      </c>
      <c r="E730" s="3" t="inlineStr">
        <is>
          <t>Cronos Clinical Oversight Meeting</t>
        </is>
      </c>
      <c r="F730" s="2" t="str">
        <f>HYPERLINK("https://vtmf.veevavault.com/ui/#doc_info/31114392/1/0", "VTMF-25085588")</f>
        <v>VTMF-25085588</v>
      </c>
      <c r="G730" s="3" t="inlineStr">
        <is>
          <t/>
        </is>
      </c>
      <c r="H730" s="3" t="inlineStr">
        <is>
          <t>System</t>
        </is>
      </c>
      <c r="I730" s="3" t="inlineStr">
        <is>
          <t>Gina Stefanelli</t>
        </is>
      </c>
      <c r="J730" s="4" t="n">
        <v>46085.73216435185</v>
      </c>
      <c r="K730" s="5" t="n">
        <v>46085.0</v>
      </c>
      <c r="L730" s="5" t="n">
        <v>46078.0</v>
      </c>
      <c r="M730" s="3" t="inlineStr">
        <is>
          <t>Approved</t>
        </is>
      </c>
      <c r="N730" s="3" t="inlineStr">
        <is>
          <t>Study Close</t>
        </is>
      </c>
      <c r="O730" s="3" t="inlineStr">
        <is>
          <t>42847922MDD3003</t>
        </is>
      </c>
    </row>
    <row r="731">
      <c r="A731" s="2" t="str">
        <f>HYPERLINK("https://vtmf.veevavault.com/ui/#doc_info/31151968/1/0", "42847922MDD3003---Meeting Material-25 Feb 2026 (v1.0)")</f>
        <v>42847922MDD3003---Meeting Material-25 Feb 2026 (v1.0)</v>
      </c>
      <c r="B731" s="3" t="inlineStr">
        <is>
          <t>Third Parties</t>
        </is>
      </c>
      <c r="C731" s="3" t="inlineStr">
        <is>
          <t>General</t>
        </is>
      </c>
      <c r="D731" s="3" t="inlineStr">
        <is>
          <t>Meeting Material</t>
        </is>
      </c>
      <c r="E731" s="3" t="inlineStr">
        <is>
          <t>Beacon Site Sync Meeting Minutes_FEB 2026</t>
        </is>
      </c>
      <c r="F731" s="2" t="str">
        <f>HYPERLINK("https://vtmf.veevavault.com/ui/#doc_info/31151968/1/0", "VTMF-25117119")</f>
        <v>VTMF-25117119</v>
      </c>
      <c r="G731" s="3" t="inlineStr">
        <is>
          <t/>
        </is>
      </c>
      <c r="H731" s="3" t="inlineStr">
        <is>
          <t>Charles Hayes</t>
        </is>
      </c>
      <c r="I731" s="3" t="inlineStr">
        <is>
          <t>Charles Hayes</t>
        </is>
      </c>
      <c r="J731" s="4" t="n">
        <v>46091.83872685185</v>
      </c>
      <c r="K731" s="5" t="n">
        <v>46091.0</v>
      </c>
      <c r="L731" s="5" t="n">
        <v>46078.0</v>
      </c>
      <c r="M731" s="3" t="inlineStr">
        <is>
          <t>Approved</t>
        </is>
      </c>
      <c r="N731" s="3" t="inlineStr">
        <is>
          <t>Study Close</t>
        </is>
      </c>
      <c r="O731" s="3" t="inlineStr">
        <is>
          <t>42847922MDD3003</t>
        </is>
      </c>
    </row>
    <row r="732">
      <c r="A732" s="2" t="str">
        <f>HYPERLINK("https://vtmf.veevavault.com/ui/#doc_info/26592617/1/0", "42847922MDD3003---Meeting Material-25 Jun 2024 (v1.0)")</f>
        <v>42847922MDD3003---Meeting Material-25 Jun 2024 (v1.0)</v>
      </c>
      <c r="B732" s="3" t="inlineStr">
        <is>
          <t>Third Parties</t>
        </is>
      </c>
      <c r="C732" s="3" t="inlineStr">
        <is>
          <t>General</t>
        </is>
      </c>
      <c r="D732" s="3" t="inlineStr">
        <is>
          <t>Meeting Material</t>
        </is>
      </c>
      <c r="E732" s="3" t="inlineStr">
        <is>
          <t>LabCorp Weekly Meeting ADI Log</t>
        </is>
      </c>
      <c r="F732" s="2" t="str">
        <f>HYPERLINK("https://vtmf.veevavault.com/ui/#doc_info/26592617/1/0", "VTMF-21298896")</f>
        <v>VTMF-21298896</v>
      </c>
      <c r="G732" s="3" t="inlineStr">
        <is>
          <t/>
        </is>
      </c>
      <c r="H732" s="3" t="inlineStr">
        <is>
          <t>Anthony Suarez (veeva.com)</t>
        </is>
      </c>
      <c r="I732" s="3" t="inlineStr">
        <is>
          <t>Debhora Garcia</t>
        </is>
      </c>
      <c r="J732" s="4" t="n">
        <v>45468.96885416667</v>
      </c>
      <c r="K732" s="5" t="n">
        <v>45469.0</v>
      </c>
      <c r="L732" s="5" t="n">
        <v>45468.0</v>
      </c>
      <c r="M732" s="3" t="inlineStr">
        <is>
          <t>Approved</t>
        </is>
      </c>
      <c r="N732" s="3" t="inlineStr">
        <is>
          <t>Study Close</t>
        </is>
      </c>
      <c r="O732" s="3" t="inlineStr">
        <is>
          <t>42847922MDD3003</t>
        </is>
      </c>
    </row>
    <row r="733">
      <c r="A733" s="2" t="str">
        <f>HYPERLINK("https://vtmf.veevavault.com/ui/#doc_info/29508470/1/0", "42847922MDD3003---Meeting Material-25 Jun 2025 (v1.0)")</f>
        <v>42847922MDD3003---Meeting Material-25 Jun 2025 (v1.0)</v>
      </c>
      <c r="B733" s="3" t="inlineStr">
        <is>
          <t>Third Parties</t>
        </is>
      </c>
      <c r="C733" s="3" t="inlineStr">
        <is>
          <t>General</t>
        </is>
      </c>
      <c r="D733" s="3" t="inlineStr">
        <is>
          <t>Meeting Material</t>
        </is>
      </c>
      <c r="E733" s="3" t="inlineStr">
        <is>
          <t>Beacon Biosignals Site Sync Meeting Minutes</t>
        </is>
      </c>
      <c r="F733" s="2" t="str">
        <f>HYPERLINK("https://vtmf.veevavault.com/ui/#doc_info/29508470/1/0", "VTMF-23733051")</f>
        <v>VTMF-23733051</v>
      </c>
      <c r="G733" s="3" t="inlineStr">
        <is>
          <t/>
        </is>
      </c>
      <c r="H733" s="3" t="inlineStr">
        <is>
          <t>Anthony Suarez (veeva.com)</t>
        </is>
      </c>
      <c r="I733" s="3" t="inlineStr">
        <is>
          <t>Charles Hayes</t>
        </is>
      </c>
      <c r="J733" s="4" t="n">
        <v>45845.78965277778</v>
      </c>
      <c r="K733" s="5" t="n">
        <v>45845.0</v>
      </c>
      <c r="L733" s="5" t="n">
        <v>45833.0</v>
      </c>
      <c r="M733" s="3" t="inlineStr">
        <is>
          <t>Approved</t>
        </is>
      </c>
      <c r="N733" s="3" t="inlineStr">
        <is>
          <t>Study Close</t>
        </is>
      </c>
      <c r="O733" s="3" t="inlineStr">
        <is>
          <t>42847922MDD3003</t>
        </is>
      </c>
    </row>
    <row r="734">
      <c r="A734" s="2" t="str">
        <f>HYPERLINK("https://vtmf.veevavault.com/ui/#doc_info/28805493/1/0", "42847922MDD3003---Meeting Material-25 Mar 2025 (v1.0)")</f>
        <v>42847922MDD3003---Meeting Material-25 Mar 2025 (v1.0)</v>
      </c>
      <c r="B734" s="3" t="inlineStr">
        <is>
          <t>Third Parties</t>
        </is>
      </c>
      <c r="C734" s="3" t="inlineStr">
        <is>
          <t>General</t>
        </is>
      </c>
      <c r="D734" s="3" t="inlineStr">
        <is>
          <t>Meeting Material</t>
        </is>
      </c>
      <c r="E734" s="3" t="inlineStr">
        <is>
          <t>Beacon Biosignals Polysomnography Meeting Minutes ; MAR2025</t>
        </is>
      </c>
      <c r="F734" s="2" t="str">
        <f>HYPERLINK("https://vtmf.veevavault.com/ui/#doc_info/28805493/1/0", "VTMF-23144151")</f>
        <v>VTMF-23144151</v>
      </c>
      <c r="G734" s="3" t="inlineStr">
        <is>
          <t/>
        </is>
      </c>
      <c r="H734" s="3" t="inlineStr">
        <is>
          <t>Anthony Suarez (veeva.com)</t>
        </is>
      </c>
      <c r="I734" s="3" t="inlineStr">
        <is>
          <t>Charles Hayes</t>
        </is>
      </c>
      <c r="J734" s="4" t="n">
        <v>45750.93821759259</v>
      </c>
      <c r="K734" s="5" t="n">
        <v>45750.0</v>
      </c>
      <c r="L734" s="5" t="n">
        <v>45741.0</v>
      </c>
      <c r="M734" s="3" t="inlineStr">
        <is>
          <t>Approved</t>
        </is>
      </c>
      <c r="N734" s="3" t="inlineStr">
        <is>
          <t>Study Close</t>
        </is>
      </c>
      <c r="O734" s="3" t="inlineStr">
        <is>
          <t>42847922MDD3003</t>
        </is>
      </c>
    </row>
    <row r="735">
      <c r="A735" s="2" t="str">
        <f>HYPERLINK("https://vtmf.veevavault.com/ui/#doc_info/31332855/1/0", "42847922MDD3003---Meeting Material-25 Mar 2026 (v1.0)")</f>
        <v>42847922MDD3003---Meeting Material-25 Mar 2026 (v1.0)</v>
      </c>
      <c r="B735" s="3" t="inlineStr">
        <is>
          <t>Third Parties</t>
        </is>
      </c>
      <c r="C735" s="3" t="inlineStr">
        <is>
          <t>General</t>
        </is>
      </c>
      <c r="D735" s="3" t="inlineStr">
        <is>
          <t>Meeting Material</t>
        </is>
      </c>
      <c r="E735" s="3" t="inlineStr">
        <is>
          <t>Beacon Biosignals Weekly Site Sync Meetings_MARCH 2026</t>
        </is>
      </c>
      <c r="F735" s="2" t="str">
        <f>HYPERLINK("https://vtmf.veevavault.com/ui/#doc_info/31332855/1/0", "VTMF-25268913")</f>
        <v>VTMF-25268913</v>
      </c>
      <c r="G735" s="3" t="inlineStr">
        <is>
          <t/>
        </is>
      </c>
      <c r="H735" s="3" t="inlineStr">
        <is>
          <t>System</t>
        </is>
      </c>
      <c r="I735" s="3" t="inlineStr">
        <is>
          <t>Charles Hayes</t>
        </is>
      </c>
      <c r="J735" s="4" t="n">
        <v>46114.89675925926</v>
      </c>
      <c r="K735" s="5" t="n">
        <v>46114.0</v>
      </c>
      <c r="L735" s="5" t="n">
        <v>46106.0</v>
      </c>
      <c r="M735" s="3" t="inlineStr">
        <is>
          <t>Approved</t>
        </is>
      </c>
      <c r="N735" s="3" t="inlineStr">
        <is>
          <t>Study Close</t>
        </is>
      </c>
      <c r="O735" s="3" t="inlineStr">
        <is>
          <t>42847922MDD3003</t>
        </is>
      </c>
    </row>
    <row r="736">
      <c r="A736" s="2" t="str">
        <f>HYPERLINK("https://vtmf.veevavault.com/ui/#doc_info/27506756/2/0", "42847922MDD3003---Meeting Material-25 Nov 2024 (v2.0)")</f>
        <v>42847922MDD3003---Meeting Material-25 Nov 2024 (v2.0)</v>
      </c>
      <c r="B736" s="3" t="inlineStr">
        <is>
          <t>Third Parties</t>
        </is>
      </c>
      <c r="C736" s="3" t="inlineStr">
        <is>
          <t>General</t>
        </is>
      </c>
      <c r="D736" s="3" t="inlineStr">
        <is>
          <t>Meeting Material</t>
        </is>
      </c>
      <c r="E736" s="3" t="inlineStr">
        <is>
          <t>Cronos_Data Monitoring Reports</t>
        </is>
      </c>
      <c r="F736" s="2" t="str">
        <f>HYPERLINK("https://vtmf.veevavault.com/ui/#doc_info/27506756/2/0", "VTMF-22062801")</f>
        <v>VTMF-22062801</v>
      </c>
      <c r="G736" s="3" t="inlineStr">
        <is>
          <t/>
        </is>
      </c>
      <c r="H736" s="3" t="inlineStr">
        <is>
          <t>Anthony Suarez (veeva.com)</t>
        </is>
      </c>
      <c r="I736" s="3" t="inlineStr">
        <is>
          <t>Gina Stefanelli</t>
        </is>
      </c>
      <c r="J736" s="4" t="n">
        <v>45621.58331018518</v>
      </c>
      <c r="K736" s="5" t="n">
        <v>45621.0</v>
      </c>
      <c r="L736" s="5" t="n">
        <v>45621.0</v>
      </c>
      <c r="M736" s="3" t="inlineStr">
        <is>
          <t>Approved</t>
        </is>
      </c>
      <c r="N736" s="3" t="inlineStr">
        <is>
          <t>Study Close</t>
        </is>
      </c>
      <c r="O736" s="3" t="inlineStr">
        <is>
          <t>42847922MDD3003</t>
        </is>
      </c>
    </row>
    <row r="737">
      <c r="A737" s="2" t="str">
        <f>HYPERLINK("https://vtmf.veevavault.com/ui/#doc_info/27840776/1/0", "42847922MDD3003---Meeting Material-25 Nov 2024 (v1.0)")</f>
        <v>42847922MDD3003---Meeting Material-25 Nov 2024 (v1.0)</v>
      </c>
      <c r="B737" s="3" t="inlineStr">
        <is>
          <t>Third Parties</t>
        </is>
      </c>
      <c r="C737" s="3" t="inlineStr">
        <is>
          <t>General</t>
        </is>
      </c>
      <c r="D737" s="3" t="inlineStr">
        <is>
          <t>Meeting Material</t>
        </is>
      </c>
      <c r="E737" s="3" t="inlineStr">
        <is>
          <t>MGH CTNI Bi-Weekly Call Minutes</t>
        </is>
      </c>
      <c r="F737" s="2" t="str">
        <f>HYPERLINK("https://vtmf.veevavault.com/ui/#doc_info/27840776/1/0", "VTMF-22324087")</f>
        <v>VTMF-22324087</v>
      </c>
      <c r="G737" s="3" t="inlineStr">
        <is>
          <t/>
        </is>
      </c>
      <c r="H737" s="3" t="inlineStr">
        <is>
          <t>Anthony Suarez (veeva.com)</t>
        </is>
      </c>
      <c r="I737" s="3" t="inlineStr">
        <is>
          <t>Gina Stefanelli</t>
        </is>
      </c>
      <c r="J737" s="4" t="n">
        <v>45636.92643518518</v>
      </c>
      <c r="K737" s="5" t="n">
        <v>45636.0</v>
      </c>
      <c r="L737" s="5" t="n">
        <v>45621.0</v>
      </c>
      <c r="M737" s="3" t="inlineStr">
        <is>
          <t>Approved</t>
        </is>
      </c>
      <c r="N737" s="3" t="inlineStr">
        <is>
          <t>Study Close</t>
        </is>
      </c>
      <c r="O737" s="3" t="inlineStr">
        <is>
          <t>42847922MDD3003</t>
        </is>
      </c>
    </row>
    <row r="738">
      <c r="A738" s="2" t="str">
        <f>HYPERLINK("https://vtmf.veevavault.com/ui/#doc_info/30515326/1/0", "42847922MDD3003---Meeting Material-25 Nov 2025 (v1.0)")</f>
        <v>42847922MDD3003---Meeting Material-25 Nov 2025 (v1.0)</v>
      </c>
      <c r="B738" s="3" t="inlineStr">
        <is>
          <t>Third Parties</t>
        </is>
      </c>
      <c r="C738" s="3" t="inlineStr">
        <is>
          <t>General</t>
        </is>
      </c>
      <c r="D738" s="3" t="inlineStr">
        <is>
          <t>Meeting Material</t>
        </is>
      </c>
      <c r="E738" s="3" t="inlineStr">
        <is>
          <t>Beacon Biosignals Meeting Minutes and Slides_NOV 2025</t>
        </is>
      </c>
      <c r="F738" s="2" t="str">
        <f>HYPERLINK("https://vtmf.veevavault.com/ui/#doc_info/30515326/1/0", "VTMF-24586300")</f>
        <v>VTMF-24586300</v>
      </c>
      <c r="G738" s="3" t="inlineStr">
        <is>
          <t/>
        </is>
      </c>
      <c r="H738" s="3" t="inlineStr">
        <is>
          <t>System</t>
        </is>
      </c>
      <c r="I738" s="3" t="inlineStr">
        <is>
          <t>Charles Hayes</t>
        </is>
      </c>
      <c r="J738" s="4" t="n">
        <v>45993.76011574074</v>
      </c>
      <c r="K738" s="5" t="n">
        <v>45993.0</v>
      </c>
      <c r="L738" s="5" t="n">
        <v>45986.0</v>
      </c>
      <c r="M738" s="3" t="inlineStr">
        <is>
          <t>Approved</t>
        </is>
      </c>
      <c r="N738" s="3" t="inlineStr">
        <is>
          <t>Study Close</t>
        </is>
      </c>
      <c r="O738" s="3" t="inlineStr">
        <is>
          <t>42847922MDD3003</t>
        </is>
      </c>
    </row>
    <row r="739">
      <c r="A739" s="2" t="str">
        <f>HYPERLINK("https://vtmf.veevavault.com/ui/#doc_info/26244781/1/0", "42847922MDD3003---Meeting Material-26 Apr 2024 (v1.0)")</f>
        <v>42847922MDD3003---Meeting Material-26 Apr 2024 (v1.0)</v>
      </c>
      <c r="B739" s="3" t="inlineStr">
        <is>
          <t>Third Parties</t>
        </is>
      </c>
      <c r="C739" s="3" t="inlineStr">
        <is>
          <t>General</t>
        </is>
      </c>
      <c r="D739" s="3" t="inlineStr">
        <is>
          <t>Meeting Material</t>
        </is>
      </c>
      <c r="E739" s="3" t="inlineStr">
        <is>
          <t>Clario ECG Study Status Meeting Agenda/ Minutes General</t>
        </is>
      </c>
      <c r="F739" s="2" t="str">
        <f>HYPERLINK("https://vtmf.veevavault.com/ui/#doc_info/26244781/1/0", "VTMF-20993484")</f>
        <v>VTMF-20993484</v>
      </c>
      <c r="G739" s="3" t="inlineStr">
        <is>
          <t/>
        </is>
      </c>
      <c r="H739" s="3" t="inlineStr">
        <is>
          <t>Anthony Suarez (veeva.com)</t>
        </is>
      </c>
      <c r="I739" s="3" t="inlineStr">
        <is>
          <t>Jamie Hardy</t>
        </is>
      </c>
      <c r="J739" s="4" t="n">
        <v>45413.90777777778</v>
      </c>
      <c r="K739" s="5" t="n">
        <v>45413.0</v>
      </c>
      <c r="L739" s="5" t="n">
        <v>45408.0</v>
      </c>
      <c r="M739" s="3" t="inlineStr">
        <is>
          <t>Approved</t>
        </is>
      </c>
      <c r="N739" s="3" t="inlineStr">
        <is>
          <t>Study Close</t>
        </is>
      </c>
      <c r="O739" s="3" t="inlineStr">
        <is>
          <t>42847922MDD3003</t>
        </is>
      </c>
    </row>
    <row r="740">
      <c r="A740" s="2" t="str">
        <f>HYPERLINK("https://vtmf.veevavault.com/ui/#doc_info/26338508/1/0", "42847922MDD3003---Meeting Material-26 Apr 2024 (v1.0)")</f>
        <v>42847922MDD3003---Meeting Material-26 Apr 2024 (v1.0)</v>
      </c>
      <c r="B740" s="3" t="inlineStr">
        <is>
          <t>Third Parties</t>
        </is>
      </c>
      <c r="C740" s="3" t="inlineStr">
        <is>
          <t>General</t>
        </is>
      </c>
      <c r="D740" s="3" t="inlineStr">
        <is>
          <t>Meeting Material</t>
        </is>
      </c>
      <c r="E740" s="3" t="inlineStr">
        <is>
          <t>Cronos Operations Meeting Minutes Actions Log</t>
        </is>
      </c>
      <c r="F740" s="2" t="str">
        <f>HYPERLINK("https://vtmf.veevavault.com/ui/#doc_info/26338508/1/0", "VTMF-21075532")</f>
        <v>VTMF-21075532</v>
      </c>
      <c r="G740" s="3" t="inlineStr">
        <is>
          <t/>
        </is>
      </c>
      <c r="H740" s="3" t="inlineStr">
        <is>
          <t>Gina Stefanelli</t>
        </is>
      </c>
      <c r="I740" s="3" t="inlineStr">
        <is>
          <t>Gina Stefanelli</t>
        </is>
      </c>
      <c r="J740" s="4" t="n">
        <v>45428.66203703704</v>
      </c>
      <c r="K740" s="5" t="n">
        <v>45428.0</v>
      </c>
      <c r="L740" s="5" t="n">
        <v>45408.0</v>
      </c>
      <c r="M740" s="3" t="inlineStr">
        <is>
          <t>Approved</t>
        </is>
      </c>
      <c r="N740" s="3" t="inlineStr">
        <is>
          <t>Study Close</t>
        </is>
      </c>
      <c r="O740" s="3" t="inlineStr">
        <is>
          <t>42847922MDD3003</t>
        </is>
      </c>
    </row>
    <row r="741">
      <c r="A741" s="2" t="str">
        <f>HYPERLINK("https://vtmf.veevavault.com/ui/#doc_info/27461863/1/0", "42847922MDD3003---Meeting Material-26 Aug 2024 (v1.0)")</f>
        <v>42847922MDD3003---Meeting Material-26 Aug 2024 (v1.0)</v>
      </c>
      <c r="B741" s="3" t="inlineStr">
        <is>
          <t>Third Parties</t>
        </is>
      </c>
      <c r="C741" s="3" t="inlineStr">
        <is>
          <t>General</t>
        </is>
      </c>
      <c r="D741" s="3" t="inlineStr">
        <is>
          <t>Meeting Material</t>
        </is>
      </c>
      <c r="E741" s="3" t="inlineStr">
        <is>
          <t>4G IRT Maintenance_Project_Management_Tracker</t>
        </is>
      </c>
      <c r="F741" s="2" t="str">
        <f>HYPERLINK("https://vtmf.veevavault.com/ui/#doc_info/27461863/1/0", "VTMF-22024490")</f>
        <v>VTMF-22024490</v>
      </c>
      <c r="G741" s="3" t="inlineStr">
        <is>
          <t/>
        </is>
      </c>
      <c r="H741" s="3" t="inlineStr">
        <is>
          <t>Anthony Suarez (veeva.com)</t>
        </is>
      </c>
      <c r="I741" s="3" t="inlineStr">
        <is>
          <t>Gina Stefanelli</t>
        </is>
      </c>
      <c r="J741" s="4" t="n">
        <v>45607.72450231481</v>
      </c>
      <c r="K741" s="5" t="n">
        <v>45607.0</v>
      </c>
      <c r="L741" s="5" t="n">
        <v>45530.0</v>
      </c>
      <c r="M741" s="3" t="inlineStr">
        <is>
          <t>Approved</t>
        </is>
      </c>
      <c r="N741" s="3" t="inlineStr">
        <is>
          <t>Study Close</t>
        </is>
      </c>
      <c r="O741" s="3" t="inlineStr">
        <is>
          <t>42847922MDD3003</t>
        </is>
      </c>
    </row>
    <row r="742">
      <c r="A742" s="2" t="str">
        <f>HYPERLINK("https://vtmf.veevavault.com/ui/#doc_info/29877848/1/0", "42847922MDD3003---Meeting Material-26 Aug 2025 (v1.0)")</f>
        <v>42847922MDD3003---Meeting Material-26 Aug 2025 (v1.0)</v>
      </c>
      <c r="B742" s="3" t="inlineStr">
        <is>
          <t>Third Parties</t>
        </is>
      </c>
      <c r="C742" s="3" t="inlineStr">
        <is>
          <t>General</t>
        </is>
      </c>
      <c r="D742" s="3" t="inlineStr">
        <is>
          <t>Meeting Material</t>
        </is>
      </c>
      <c r="E742" s="3" t="inlineStr">
        <is>
          <t>Beacon Biosignals Meeting Minutes and Slides_AUG 2025</t>
        </is>
      </c>
      <c r="F742" s="2" t="str">
        <f>HYPERLINK("https://vtmf.veevavault.com/ui/#doc_info/29877848/1/0", "VTMF-24048456")</f>
        <v>VTMF-24048456</v>
      </c>
      <c r="G742" s="3" t="inlineStr">
        <is>
          <t/>
        </is>
      </c>
      <c r="H742" s="3" t="inlineStr">
        <is>
          <t>System</t>
        </is>
      </c>
      <c r="I742" s="3" t="inlineStr">
        <is>
          <t>Charles Hayes</t>
        </is>
      </c>
      <c r="J742" s="4" t="n">
        <v>45902.93761574074</v>
      </c>
      <c r="K742" s="5" t="n">
        <v>45902.0</v>
      </c>
      <c r="L742" s="5" t="n">
        <v>45895.0</v>
      </c>
      <c r="M742" s="3" t="inlineStr">
        <is>
          <t>Approved</t>
        </is>
      </c>
      <c r="N742" s="3" t="inlineStr">
        <is>
          <t>Study Close</t>
        </is>
      </c>
      <c r="O742" s="3" t="inlineStr">
        <is>
          <t>42847922MDD3003</t>
        </is>
      </c>
    </row>
    <row r="743">
      <c r="A743" s="2" t="str">
        <f>HYPERLINK("https://vtmf.veevavault.com/ui/#doc_info/28605851/1/0", "42847922MDD3003---Meeting Material-26 Feb 2025 (v1.0)")</f>
        <v>42847922MDD3003---Meeting Material-26 Feb 2025 (v1.0)</v>
      </c>
      <c r="B743" s="3" t="inlineStr">
        <is>
          <t>Third Parties</t>
        </is>
      </c>
      <c r="C743" s="3" t="inlineStr">
        <is>
          <t>General</t>
        </is>
      </c>
      <c r="D743" s="3" t="inlineStr">
        <is>
          <t>Meeting Material</t>
        </is>
      </c>
      <c r="E743" s="3" t="inlineStr">
        <is>
          <t>Clario ECG Study Status Meeting Agenda/ Minutes General</t>
        </is>
      </c>
      <c r="F743" s="2" t="str">
        <f>HYPERLINK("https://vtmf.veevavault.com/ui/#doc_info/28605851/1/0", "VTMF-22975266")</f>
        <v>VTMF-22975266</v>
      </c>
      <c r="G743" s="3" t="inlineStr">
        <is>
          <t/>
        </is>
      </c>
      <c r="H743" s="3" t="inlineStr">
        <is>
          <t>Anthony Suarez (veeva.com)</t>
        </is>
      </c>
      <c r="I743" s="3" t="inlineStr">
        <is>
          <t>Debhora Garcia</t>
        </is>
      </c>
      <c r="J743" s="4" t="n">
        <v>45721.911087962966</v>
      </c>
      <c r="K743" s="5" t="n">
        <v>45721.0</v>
      </c>
      <c r="L743" s="5" t="n">
        <v>45714.0</v>
      </c>
      <c r="M743" s="3" t="inlineStr">
        <is>
          <t>Approved</t>
        </is>
      </c>
      <c r="N743" s="3" t="inlineStr">
        <is>
          <t>Study Close</t>
        </is>
      </c>
      <c r="O743" s="3" t="inlineStr">
        <is>
          <t>42847922MDD3003</t>
        </is>
      </c>
    </row>
    <row r="744">
      <c r="A744" s="2" t="str">
        <f>HYPERLINK("https://vtmf.veevavault.com/ui/#doc_info/31199533/1/0", "42847922MDD3003---Meeting Material-26 Feb 2026 (v1.0)")</f>
        <v>42847922MDD3003---Meeting Material-26 Feb 2026 (v1.0)</v>
      </c>
      <c r="B744" s="3" t="inlineStr">
        <is>
          <t>Third Parties</t>
        </is>
      </c>
      <c r="C744" s="3" t="inlineStr">
        <is>
          <t>General</t>
        </is>
      </c>
      <c r="D744" s="3" t="inlineStr">
        <is>
          <t>Meeting Material</t>
        </is>
      </c>
      <c r="E744" s="3" t="inlineStr">
        <is>
          <t>Sleep Disturbance_Meeting Minutes</t>
        </is>
      </c>
      <c r="F744" s="2" t="str">
        <f>HYPERLINK("https://vtmf.veevavault.com/ui/#doc_info/31199533/1/0", "VTMF-25157219")</f>
        <v>VTMF-25157219</v>
      </c>
      <c r="G744" s="3" t="inlineStr">
        <is>
          <t/>
        </is>
      </c>
      <c r="H744" s="3" t="inlineStr">
        <is>
          <t>System</t>
        </is>
      </c>
      <c r="I744" s="3" t="inlineStr">
        <is>
          <t>Debhora Garcia</t>
        </is>
      </c>
      <c r="J744" s="4" t="n">
        <v>46098.96650462963</v>
      </c>
      <c r="K744" s="5" t="n">
        <v>46099.0</v>
      </c>
      <c r="L744" s="5" t="n">
        <v>46079.0</v>
      </c>
      <c r="M744" s="3" t="inlineStr">
        <is>
          <t>Approved</t>
        </is>
      </c>
      <c r="N744" s="3" t="inlineStr">
        <is>
          <t>Study Close</t>
        </is>
      </c>
      <c r="O744" s="3" t="inlineStr">
        <is>
          <t>42847922MDD3003</t>
        </is>
      </c>
    </row>
    <row r="745">
      <c r="A745" s="2" t="str">
        <f>HYPERLINK("https://vtmf.veevavault.com/ui/#doc_info/29450222/1/0", "42847922MDD3003---Meeting Material-26 Jun 2025 (v1.0)")</f>
        <v>42847922MDD3003---Meeting Material-26 Jun 2025 (v1.0)</v>
      </c>
      <c r="B745" s="3" t="inlineStr">
        <is>
          <t>Third Parties</t>
        </is>
      </c>
      <c r="C745" s="3" t="inlineStr">
        <is>
          <t>General</t>
        </is>
      </c>
      <c r="D745" s="3" t="inlineStr">
        <is>
          <t>Meeting Material</t>
        </is>
      </c>
      <c r="E745" s="3" t="inlineStr">
        <is>
          <t>Labcorp Weekly Meeting_ADI Log</t>
        </is>
      </c>
      <c r="F745" s="2" t="str">
        <f>HYPERLINK("https://vtmf.veevavault.com/ui/#doc_info/29450222/1/0", "VTMF-23682749")</f>
        <v>VTMF-23682749</v>
      </c>
      <c r="G745" s="3" t="inlineStr">
        <is>
          <t/>
        </is>
      </c>
      <c r="H745" s="3" t="inlineStr">
        <is>
          <t>Anthony Suarez (veeva.com)</t>
        </is>
      </c>
      <c r="I745" s="3" t="inlineStr">
        <is>
          <t>Debhora Garcia</t>
        </is>
      </c>
      <c r="J745" s="4" t="n">
        <v>45834.828726851854</v>
      </c>
      <c r="K745" s="5" t="n">
        <v>45834.0</v>
      </c>
      <c r="L745" s="5" t="n">
        <v>45834.0</v>
      </c>
      <c r="M745" s="3" t="inlineStr">
        <is>
          <t>Approved</t>
        </is>
      </c>
      <c r="N745" s="3" t="inlineStr">
        <is>
          <t>Study Close</t>
        </is>
      </c>
      <c r="O745" s="3" t="inlineStr">
        <is>
          <t>42847922MDD3003</t>
        </is>
      </c>
    </row>
    <row r="746">
      <c r="A746" s="2" t="str">
        <f>HYPERLINK("https://vtmf.veevavault.com/ui/#doc_info/26004238/1/0", "42847922MDD3003---Meeting Material-26 Mar 2024 (v1.0)")</f>
        <v>42847922MDD3003---Meeting Material-26 Mar 2024 (v1.0)</v>
      </c>
      <c r="B746" s="3" t="inlineStr">
        <is>
          <t>Third Parties</t>
        </is>
      </c>
      <c r="C746" s="3" t="inlineStr">
        <is>
          <t>General</t>
        </is>
      </c>
      <c r="D746" s="3" t="inlineStr">
        <is>
          <t>Meeting Material</t>
        </is>
      </c>
      <c r="E746" s="3" t="inlineStr">
        <is>
          <t>LabCorp Weekly Meeting ADI Log</t>
        </is>
      </c>
      <c r="F746" s="2" t="str">
        <f>HYPERLINK("https://vtmf.veevavault.com/ui/#doc_info/26004238/1/0", "VTMF-20783548")</f>
        <v>VTMF-20783548</v>
      </c>
      <c r="G746" s="3" t="inlineStr">
        <is>
          <t/>
        </is>
      </c>
      <c r="H746" s="3" t="inlineStr">
        <is>
          <t>Anthony Suarez (veeva.com)</t>
        </is>
      </c>
      <c r="I746" s="3" t="inlineStr">
        <is>
          <t>Jamie Hardy</t>
        </is>
      </c>
      <c r="J746" s="4" t="n">
        <v>45377.63930555555</v>
      </c>
      <c r="K746" s="5" t="n">
        <v>45377.0</v>
      </c>
      <c r="L746" s="5" t="n">
        <v>45377.0</v>
      </c>
      <c r="M746" s="3" t="inlineStr">
        <is>
          <t>Approved</t>
        </is>
      </c>
      <c r="N746" s="3" t="inlineStr">
        <is>
          <t>Study Close</t>
        </is>
      </c>
      <c r="O746" s="3" t="inlineStr">
        <is>
          <t>42847922MDD3003</t>
        </is>
      </c>
    </row>
    <row r="747">
      <c r="A747" s="2" t="str">
        <f>HYPERLINK("https://vtmf.veevavault.com/ui/#doc_info/26015507/1/0", "42847922MDD3003---Meeting Material-26 Mar 2024 (v1.0)")</f>
        <v>42847922MDD3003---Meeting Material-26 Mar 2024 (v1.0)</v>
      </c>
      <c r="B747" s="3" t="inlineStr">
        <is>
          <t>Third Parties</t>
        </is>
      </c>
      <c r="C747" s="3" t="inlineStr">
        <is>
          <t>General</t>
        </is>
      </c>
      <c r="D747" s="3" t="inlineStr">
        <is>
          <t>Meeting Material</t>
        </is>
      </c>
      <c r="E747" s="3" t="inlineStr">
        <is>
          <t>IWRS Design meeting - Meeting Minutes</t>
        </is>
      </c>
      <c r="F747" s="2" t="str">
        <f>HYPERLINK("https://vtmf.veevavault.com/ui/#doc_info/26015507/1/0", "VTMF-20793313")</f>
        <v>VTMF-20793313</v>
      </c>
      <c r="G747" s="3" t="inlineStr">
        <is>
          <t/>
        </is>
      </c>
      <c r="H747" s="3" t="inlineStr">
        <is>
          <t>Gina Stefanelli</t>
        </is>
      </c>
      <c r="I747" s="3" t="inlineStr">
        <is>
          <t>Arturo Munguia</t>
        </is>
      </c>
      <c r="J747" s="4" t="n">
        <v>45378.788622685184</v>
      </c>
      <c r="K747" s="5" t="n">
        <v>45378.0</v>
      </c>
      <c r="L747" s="5" t="n">
        <v>45377.0</v>
      </c>
      <c r="M747" s="3" t="inlineStr">
        <is>
          <t>Approved</t>
        </is>
      </c>
      <c r="N747" s="3" t="inlineStr">
        <is>
          <t>Study Close</t>
        </is>
      </c>
      <c r="O747" s="3" t="inlineStr">
        <is>
          <t>42847922MDD3003</t>
        </is>
      </c>
    </row>
    <row r="748">
      <c r="A748" s="2" t="str">
        <f>HYPERLINK("https://vtmf.veevavault.com/ui/#doc_info/26023040/1/0", "42847922MDD3003---Meeting Material-26 Mar 2024 (v1.0)")</f>
        <v>42847922MDD3003---Meeting Material-26 Mar 2024 (v1.0)</v>
      </c>
      <c r="B748" s="3" t="inlineStr">
        <is>
          <t>Data Management</t>
        </is>
      </c>
      <c r="C748" s="3" t="inlineStr">
        <is>
          <t>General</t>
        </is>
      </c>
      <c r="D748" s="3" t="inlineStr">
        <is>
          <t>Meeting Material</t>
        </is>
      </c>
      <c r="E748" s="3" t="inlineStr">
        <is>
          <t>Data Plan Meeting Minutes_26Mar2024</t>
        </is>
      </c>
      <c r="F748" s="2" t="str">
        <f>HYPERLINK("https://vtmf.veevavault.com/ui/#doc_info/26023040/1/0", "VTMF-20799812")</f>
        <v>VTMF-20799812</v>
      </c>
      <c r="G748" s="3" t="inlineStr">
        <is>
          <t/>
        </is>
      </c>
      <c r="H748" s="3" t="inlineStr">
        <is>
          <t>Anthony Suarez (veeva.com)</t>
        </is>
      </c>
      <c r="I748" s="3" t="inlineStr">
        <is>
          <t>Laree LaPierre</t>
        </is>
      </c>
      <c r="J748" s="4" t="n">
        <v>45379.777546296296</v>
      </c>
      <c r="K748" s="5" t="n">
        <v>45379.0</v>
      </c>
      <c r="L748" s="5" t="n">
        <v>45377.0</v>
      </c>
      <c r="M748" s="3" t="inlineStr">
        <is>
          <t>Approved</t>
        </is>
      </c>
      <c r="N748" s="3" t="inlineStr">
        <is>
          <t>Study Start</t>
        </is>
      </c>
      <c r="O748" s="3" t="inlineStr">
        <is>
          <t>42847922MDD3003</t>
        </is>
      </c>
    </row>
    <row r="749">
      <c r="A749" s="2" t="str">
        <f>HYPERLINK("https://vtmf.veevavault.com/ui/#doc_info/31871849/1/0", "42847922MDD3003---Meeting Material-26 May 2026 (v1.0)")</f>
        <v>42847922MDD3003---Meeting Material-26 May 2026 (v1.0)</v>
      </c>
      <c r="B749" s="3" t="inlineStr">
        <is>
          <t>Data Management</t>
        </is>
      </c>
      <c r="C749" s="3" t="inlineStr">
        <is>
          <t>General</t>
        </is>
      </c>
      <c r="D749" s="3" t="inlineStr">
        <is>
          <t>Meeting Material</t>
        </is>
      </c>
      <c r="E749" s="3" t="inlineStr">
        <is>
          <t>Meeting Minutes DM-CDA/GDM freeze and lock</t>
        </is>
      </c>
      <c r="F749" s="2" t="str">
        <f>HYPERLINK("https://vtmf.veevavault.com/ui/#doc_info/31871849/1/0", "VTMF-25729967")</f>
        <v>VTMF-25729967</v>
      </c>
      <c r="G749" s="3" t="inlineStr">
        <is>
          <t/>
        </is>
      </c>
      <c r="H749" s="3" t="inlineStr">
        <is>
          <t>System</t>
        </is>
      </c>
      <c r="I749" s="3" t="inlineStr">
        <is>
          <t>Ilona Panis</t>
        </is>
      </c>
      <c r="J749" s="4" t="n">
        <v>46185.67689814815</v>
      </c>
      <c r="K749" s="5" t="n">
        <v>46185.0</v>
      </c>
      <c r="L749" s="5" t="n">
        <v>46168.0</v>
      </c>
      <c r="M749" s="3" t="inlineStr">
        <is>
          <t>Approved</t>
        </is>
      </c>
      <c r="N749" s="3" t="inlineStr">
        <is>
          <t>Study Start</t>
        </is>
      </c>
      <c r="O749" s="3" t="inlineStr">
        <is>
          <t>42847922MDD3003</t>
        </is>
      </c>
    </row>
    <row r="750">
      <c r="A750" s="2" t="str">
        <f>HYPERLINK("https://vtmf.veevavault.com/ui/#doc_info/27747243/1/0", "42847922MDD3003---Meeting Material-26 Nov 2024 (v1.0)")</f>
        <v>42847922MDD3003---Meeting Material-26 Nov 2024 (v1.0)</v>
      </c>
      <c r="B750" s="3" t="inlineStr">
        <is>
          <t>Third Parties</t>
        </is>
      </c>
      <c r="C750" s="3" t="inlineStr">
        <is>
          <t>General</t>
        </is>
      </c>
      <c r="D750" s="3" t="inlineStr">
        <is>
          <t>Meeting Material</t>
        </is>
      </c>
      <c r="E750" s="3" t="inlineStr">
        <is>
          <t>LabCorp Weekly Meeting ADI Log</t>
        </is>
      </c>
      <c r="F750" s="2" t="str">
        <f>HYPERLINK("https://vtmf.veevavault.com/ui/#doc_info/27747243/1/0", "VTMF-22249039")</f>
        <v>VTMF-22249039</v>
      </c>
      <c r="G750" s="3" t="inlineStr">
        <is>
          <t/>
        </is>
      </c>
      <c r="H750" s="3" t="inlineStr">
        <is>
          <t>Anthony Suarez (veeva.com)</t>
        </is>
      </c>
      <c r="I750" s="3" t="inlineStr">
        <is>
          <t>Gina Stefanelli</t>
        </is>
      </c>
      <c r="J750" s="4" t="n">
        <v>45622.618738425925</v>
      </c>
      <c r="K750" s="5" t="n">
        <v>45622.0</v>
      </c>
      <c r="L750" s="5" t="n">
        <v>45622.0</v>
      </c>
      <c r="M750" s="3" t="inlineStr">
        <is>
          <t>Approved</t>
        </is>
      </c>
      <c r="N750" s="3" t="inlineStr">
        <is>
          <t>Study Close</t>
        </is>
      </c>
      <c r="O750" s="3" t="inlineStr">
        <is>
          <t>42847922MDD3003</t>
        </is>
      </c>
    </row>
    <row r="751">
      <c r="A751" s="2" t="str">
        <f>HYPERLINK("https://vtmf.veevavault.com/ui/#doc_info/27158797/1/0", "42847922MDD3003---Meeting Material-26 Sep 2024 (v1.0)")</f>
        <v>42847922MDD3003---Meeting Material-26 Sep 2024 (v1.0)</v>
      </c>
      <c r="B751" s="3" t="inlineStr">
        <is>
          <t>Third Parties</t>
        </is>
      </c>
      <c r="C751" s="3" t="inlineStr">
        <is>
          <t>General</t>
        </is>
      </c>
      <c r="D751" s="3" t="inlineStr">
        <is>
          <t>Meeting Material</t>
        </is>
      </c>
      <c r="E751" s="3" t="inlineStr">
        <is>
          <t>Clario ECG Study Status Meeting Agenda/ Minutes General</t>
        </is>
      </c>
      <c r="F751" s="2" t="str">
        <f>HYPERLINK("https://vtmf.veevavault.com/ui/#doc_info/27158797/1/0", "VTMF-21774476")</f>
        <v>VTMF-21774476</v>
      </c>
      <c r="G751" s="3" t="inlineStr">
        <is>
          <t/>
        </is>
      </c>
      <c r="H751" s="3" t="inlineStr">
        <is>
          <t>Anthony Suarez (veeva.com)</t>
        </is>
      </c>
      <c r="I751" s="3" t="inlineStr">
        <is>
          <t>Debhora Garcia</t>
        </is>
      </c>
      <c r="J751" s="4" t="n">
        <v>45562.868252314816</v>
      </c>
      <c r="K751" s="5" t="n">
        <v>45562.0</v>
      </c>
      <c r="L751" s="5" t="n">
        <v>45561.0</v>
      </c>
      <c r="M751" s="3" t="inlineStr">
        <is>
          <t>Approved</t>
        </is>
      </c>
      <c r="N751" s="3" t="inlineStr">
        <is>
          <t>Study Close</t>
        </is>
      </c>
      <c r="O751" s="3" t="inlineStr">
        <is>
          <t>42847922MDD3003</t>
        </is>
      </c>
    </row>
    <row r="752">
      <c r="A752" s="2" t="str">
        <f>HYPERLINK("https://vtmf.veevavault.com/ui/#doc_info/26962331/1/0", "42847922MDD3003---Meeting Material-27 Aug 2024 (v1.0)")</f>
        <v>42847922MDD3003---Meeting Material-27 Aug 2024 (v1.0)</v>
      </c>
      <c r="B752" s="3" t="inlineStr">
        <is>
          <t>Third Parties</t>
        </is>
      </c>
      <c r="C752" s="3" t="inlineStr">
        <is>
          <t>General</t>
        </is>
      </c>
      <c r="D752" s="3" t="inlineStr">
        <is>
          <t>Meeting Material</t>
        </is>
      </c>
      <c r="E752" s="3" t="inlineStr">
        <is>
          <t>LabCorp Weekly Meeting ADI Log</t>
        </is>
      </c>
      <c r="F752" s="2" t="str">
        <f>HYPERLINK("https://vtmf.veevavault.com/ui/#doc_info/26962331/1/0", "VTMF-21614759")</f>
        <v>VTMF-21614759</v>
      </c>
      <c r="G752" s="3" t="inlineStr">
        <is>
          <t/>
        </is>
      </c>
      <c r="H752" s="3" t="inlineStr">
        <is>
          <t>Anthony Suarez (veeva.com)</t>
        </is>
      </c>
      <c r="I752" s="3" t="inlineStr">
        <is>
          <t>Debhora Garcia</t>
        </is>
      </c>
      <c r="J752" s="4" t="n">
        <v>45531.93609953704</v>
      </c>
      <c r="K752" s="5" t="n">
        <v>45531.0</v>
      </c>
      <c r="L752" s="5" t="n">
        <v>45531.0</v>
      </c>
      <c r="M752" s="3" t="inlineStr">
        <is>
          <t>Approved</t>
        </is>
      </c>
      <c r="N752" s="3" t="inlineStr">
        <is>
          <t>Study Close</t>
        </is>
      </c>
      <c r="O752" s="3" t="inlineStr">
        <is>
          <t>42847922MDD3003</t>
        </is>
      </c>
    </row>
    <row r="753">
      <c r="A753" s="2" t="str">
        <f>HYPERLINK("https://vtmf.veevavault.com/ui/#doc_info/29877863/1/0", "42847922MDD3003---Meeting Material-27 Aug 2025 (v1.0)")</f>
        <v>42847922MDD3003---Meeting Material-27 Aug 2025 (v1.0)</v>
      </c>
      <c r="B753" s="3" t="inlineStr">
        <is>
          <t>Third Parties</t>
        </is>
      </c>
      <c r="C753" s="3" t="inlineStr">
        <is>
          <t>General</t>
        </is>
      </c>
      <c r="D753" s="3" t="inlineStr">
        <is>
          <t>Meeting Material</t>
        </is>
      </c>
      <c r="E753" s="3" t="inlineStr">
        <is>
          <t>Beacon Biosignals Site Syncs AUG2025</t>
        </is>
      </c>
      <c r="F753" s="2" t="str">
        <f>HYPERLINK("https://vtmf.veevavault.com/ui/#doc_info/29877863/1/0", "VTMF-24048478")</f>
        <v>VTMF-24048478</v>
      </c>
      <c r="G753" s="3" t="inlineStr">
        <is>
          <t/>
        </is>
      </c>
      <c r="H753" s="3" t="inlineStr">
        <is>
          <t>System</t>
        </is>
      </c>
      <c r="I753" s="3" t="inlineStr">
        <is>
          <t>Charles Hayes</t>
        </is>
      </c>
      <c r="J753" s="4" t="n">
        <v>45902.9431712963</v>
      </c>
      <c r="K753" s="5" t="n">
        <v>45902.0</v>
      </c>
      <c r="L753" s="5" t="n">
        <v>45896.0</v>
      </c>
      <c r="M753" s="3" t="inlineStr">
        <is>
          <t>Approved</t>
        </is>
      </c>
      <c r="N753" s="3" t="inlineStr">
        <is>
          <t>Study Close</t>
        </is>
      </c>
      <c r="O753" s="3" t="inlineStr">
        <is>
          <t>42847922MDD3003</t>
        </is>
      </c>
    </row>
    <row r="754">
      <c r="A754" s="2" t="str">
        <f>HYPERLINK("https://vtmf.veevavault.com/ui/#doc_info/25811184/1/0", "42847922MDD3003---Meeting Material-27 Feb 2024 (v1.0)")</f>
        <v>42847922MDD3003---Meeting Material-27 Feb 2024 (v1.0)</v>
      </c>
      <c r="B754" s="3" t="inlineStr">
        <is>
          <t>Data Management</t>
        </is>
      </c>
      <c r="C754" s="3" t="inlineStr">
        <is>
          <t>General</t>
        </is>
      </c>
      <c r="D754" s="3" t="inlineStr">
        <is>
          <t>Meeting Material</t>
        </is>
      </c>
      <c r="E754" s="3" t="inlineStr">
        <is>
          <t>Data Plan Meeting Minutes_27Feb2024</t>
        </is>
      </c>
      <c r="F754" s="2" t="str">
        <f>HYPERLINK("https://vtmf.veevavault.com/ui/#doc_info/25811184/1/0", "VTMF-20612100")</f>
        <v>VTMF-20612100</v>
      </c>
      <c r="G754" s="3" t="inlineStr">
        <is>
          <t/>
        </is>
      </c>
      <c r="H754" s="3" t="inlineStr">
        <is>
          <t>Anthony Suarez (veeva.com)</t>
        </is>
      </c>
      <c r="I754" s="3" t="inlineStr">
        <is>
          <t>Laree LaPierre</t>
        </is>
      </c>
      <c r="J754" s="4" t="n">
        <v>45350.736446759256</v>
      </c>
      <c r="K754" s="5" t="n">
        <v>45350.0</v>
      </c>
      <c r="L754" s="5" t="n">
        <v>45349.0</v>
      </c>
      <c r="M754" s="3" t="inlineStr">
        <is>
          <t>Approved</t>
        </is>
      </c>
      <c r="N754" s="3" t="inlineStr">
        <is>
          <t>Study Start</t>
        </is>
      </c>
      <c r="O754" s="3" t="inlineStr">
        <is>
          <t>42847922MDD3003</t>
        </is>
      </c>
    </row>
    <row r="755">
      <c r="A755" s="2" t="str">
        <f>HYPERLINK("https://vtmf.veevavault.com/ui/#doc_info/31080030/1/0", "42847922MDD3003---Meeting Material-27 Feb 2026 (v1.0)")</f>
        <v>42847922MDD3003---Meeting Material-27 Feb 2026 (v1.0)</v>
      </c>
      <c r="B755" s="3" t="inlineStr">
        <is>
          <t>Third Parties</t>
        </is>
      </c>
      <c r="C755" s="3" t="inlineStr">
        <is>
          <t>General</t>
        </is>
      </c>
      <c r="D755" s="3" t="inlineStr">
        <is>
          <t>Meeting Material</t>
        </is>
      </c>
      <c r="E755" s="3" t="inlineStr">
        <is>
          <t>Clarivate Sleep disturbance in MDD - Agenda</t>
        </is>
      </c>
      <c r="F755" s="2" t="str">
        <f>HYPERLINK("https://vtmf.veevavault.com/ui/#doc_info/31080030/1/0", "VTMF-25056811")</f>
        <v>VTMF-25056811</v>
      </c>
      <c r="G755" s="3" t="inlineStr">
        <is>
          <t/>
        </is>
      </c>
      <c r="H755" s="3" t="inlineStr">
        <is>
          <t>System</t>
        </is>
      </c>
      <c r="I755" s="3" t="inlineStr">
        <is>
          <t>Gina Stefanelli</t>
        </is>
      </c>
      <c r="J755" s="4" t="n">
        <v>46080.583553240744</v>
      </c>
      <c r="K755" s="5" t="n">
        <v>46080.0</v>
      </c>
      <c r="L755" s="5" t="n">
        <v>46080.0</v>
      </c>
      <c r="M755" s="3" t="inlineStr">
        <is>
          <t>Approved</t>
        </is>
      </c>
      <c r="N755" s="3" t="inlineStr">
        <is>
          <t>Study Close</t>
        </is>
      </c>
      <c r="O755" s="3" t="inlineStr">
        <is>
          <t>42847922MDD3003</t>
        </is>
      </c>
    </row>
    <row r="756">
      <c r="A756" s="2" t="str">
        <f>HYPERLINK("https://vtmf.veevavault.com/ui/#doc_info/28159556/1/0", "42847922MDD3003---Meeting Material-27 Jan 2025 (v1.0)")</f>
        <v>42847922MDD3003---Meeting Material-27 Jan 2025 (v1.0)</v>
      </c>
      <c r="B756" s="3" t="inlineStr">
        <is>
          <t>Third Parties</t>
        </is>
      </c>
      <c r="C756" s="3" t="inlineStr">
        <is>
          <t>General</t>
        </is>
      </c>
      <c r="D756" s="3" t="inlineStr">
        <is>
          <t>Meeting Material</t>
        </is>
      </c>
      <c r="E756" s="3" t="inlineStr">
        <is>
          <t>Cronos Operations Meeting Minutes Actions Log</t>
        </is>
      </c>
      <c r="F756" s="2" t="str">
        <f>HYPERLINK("https://vtmf.veevavault.com/ui/#doc_info/28159556/1/0", "VTMF-22585335")</f>
        <v>VTMF-22585335</v>
      </c>
      <c r="G756" s="3" t="inlineStr">
        <is>
          <t/>
        </is>
      </c>
      <c r="H756" s="3" t="inlineStr">
        <is>
          <t>Anthony Suarez (veeva.com)</t>
        </is>
      </c>
      <c r="I756" s="3" t="inlineStr">
        <is>
          <t>Gina Stefanelli</t>
        </is>
      </c>
      <c r="J756" s="4" t="n">
        <v>45684.601319444446</v>
      </c>
      <c r="K756" s="5" t="n">
        <v>45684.0</v>
      </c>
      <c r="L756" s="5" t="n">
        <v>45684.0</v>
      </c>
      <c r="M756" s="3" t="inlineStr">
        <is>
          <t>Approved</t>
        </is>
      </c>
      <c r="N756" s="3" t="inlineStr">
        <is>
          <t>Study Close</t>
        </is>
      </c>
      <c r="O756" s="3" t="inlineStr">
        <is>
          <t>42847922MDD3003</t>
        </is>
      </c>
    </row>
    <row r="757">
      <c r="A757" s="2" t="str">
        <f>HYPERLINK("https://vtmf.veevavault.com/ui/#doc_info/28164702/1/0", "42847922MDD3003---Meeting Material-27 Jan 2025 (v1.0)")</f>
        <v>42847922MDD3003---Meeting Material-27 Jan 2025 (v1.0)</v>
      </c>
      <c r="B757" s="3" t="inlineStr">
        <is>
          <t>Third Parties</t>
        </is>
      </c>
      <c r="C757" s="3" t="inlineStr">
        <is>
          <t>General</t>
        </is>
      </c>
      <c r="D757" s="3" t="inlineStr">
        <is>
          <t>Meeting Material</t>
        </is>
      </c>
      <c r="E757" s="3" t="inlineStr">
        <is>
          <t>4G IRT Maintenance_Project_Management_Tracker</t>
        </is>
      </c>
      <c r="F757" s="2" t="str">
        <f>HYPERLINK("https://vtmf.veevavault.com/ui/#doc_info/28164702/1/0", "VTMF-22586313")</f>
        <v>VTMF-22586313</v>
      </c>
      <c r="G757" s="3" t="inlineStr">
        <is>
          <t/>
        </is>
      </c>
      <c r="H757" s="3" t="inlineStr">
        <is>
          <t>Anthony Suarez (veeva.com)</t>
        </is>
      </c>
      <c r="I757" s="3" t="inlineStr">
        <is>
          <t>Gina Stefanelli</t>
        </is>
      </c>
      <c r="J757" s="4" t="n">
        <v>45684.692037037035</v>
      </c>
      <c r="K757" s="5" t="n">
        <v>45684.0</v>
      </c>
      <c r="L757" s="5" t="n">
        <v>45684.0</v>
      </c>
      <c r="M757" s="3" t="inlineStr">
        <is>
          <t>Approved</t>
        </is>
      </c>
      <c r="N757" s="3" t="inlineStr">
        <is>
          <t>Study Close</t>
        </is>
      </c>
      <c r="O757" s="3" t="inlineStr">
        <is>
          <t>42847922MDD3003</t>
        </is>
      </c>
    </row>
    <row r="758">
      <c r="A758" s="2" t="str">
        <f>HYPERLINK("https://vtmf.veevavault.com/ui/#doc_info/30969097/1/0", "42847922MDD3003---Meeting Material-27 Jan 2026 (v1.0)")</f>
        <v>42847922MDD3003---Meeting Material-27 Jan 2026 (v1.0)</v>
      </c>
      <c r="B758" s="3" t="inlineStr">
        <is>
          <t>Third Parties</t>
        </is>
      </c>
      <c r="C758" s="3" t="inlineStr">
        <is>
          <t>General</t>
        </is>
      </c>
      <c r="D758" s="3" t="inlineStr">
        <is>
          <t>Meeting Material</t>
        </is>
      </c>
      <c r="E758" s="3" t="inlineStr">
        <is>
          <t>4G IRT Maintenance_Project_Management_Tracker</t>
        </is>
      </c>
      <c r="F758" s="2" t="str">
        <f>HYPERLINK("https://vtmf.veevavault.com/ui/#doc_info/30969097/1/0", "VTMF-24962643")</f>
        <v>VTMF-24962643</v>
      </c>
      <c r="G758" s="3" t="inlineStr">
        <is>
          <t/>
        </is>
      </c>
      <c r="H758" s="3" t="inlineStr">
        <is>
          <t>Gina Stefanelli</t>
        </is>
      </c>
      <c r="I758" s="3" t="inlineStr">
        <is>
          <t>Gina Stefanelli</t>
        </is>
      </c>
      <c r="J758" s="4" t="n">
        <v>46064.71560185185</v>
      </c>
      <c r="K758" s="5" t="n">
        <v>46064.0</v>
      </c>
      <c r="L758" s="5" t="n">
        <v>46049.0</v>
      </c>
      <c r="M758" s="3" t="inlineStr">
        <is>
          <t>Approved</t>
        </is>
      </c>
      <c r="N758" s="3" t="inlineStr">
        <is>
          <t>Study Close</t>
        </is>
      </c>
      <c r="O758" s="3" t="inlineStr">
        <is>
          <t>42847922MDD3003</t>
        </is>
      </c>
    </row>
    <row r="759">
      <c r="A759" s="2" t="str">
        <f>HYPERLINK("https://vtmf.veevavault.com/ui/#doc_info/30994540/1/0", "42847922MDD3003---Meeting Material-27 Jan 2026 (v1.0)")</f>
        <v>42847922MDD3003---Meeting Material-27 Jan 2026 (v1.0)</v>
      </c>
      <c r="B759" s="3" t="inlineStr">
        <is>
          <t>Third Parties</t>
        </is>
      </c>
      <c r="C759" s="3" t="inlineStr">
        <is>
          <t>General</t>
        </is>
      </c>
      <c r="D759" s="3" t="inlineStr">
        <is>
          <t>Meeting Material</t>
        </is>
      </c>
      <c r="E759" s="3" t="inlineStr">
        <is>
          <t>Beacon Biosignals Weekly Meeting_JAN 2026</t>
        </is>
      </c>
      <c r="F759" s="2" t="str">
        <f>HYPERLINK("https://vtmf.veevavault.com/ui/#doc_info/30994540/1/0", "VTMF-24984274")</f>
        <v>VTMF-24984274</v>
      </c>
      <c r="G759" s="3" t="inlineStr">
        <is>
          <t/>
        </is>
      </c>
      <c r="H759" s="3" t="inlineStr">
        <is>
          <t>System</t>
        </is>
      </c>
      <c r="I759" s="3" t="inlineStr">
        <is>
          <t>Charles Hayes</t>
        </is>
      </c>
      <c r="J759" s="4" t="n">
        <v>46067.85826388889</v>
      </c>
      <c r="K759" s="5" t="n">
        <v>46067.0</v>
      </c>
      <c r="L759" s="5" t="n">
        <v>46049.0</v>
      </c>
      <c r="M759" s="3" t="inlineStr">
        <is>
          <t>Approved</t>
        </is>
      </c>
      <c r="N759" s="3" t="inlineStr">
        <is>
          <t>Study Close</t>
        </is>
      </c>
      <c r="O759" s="3" t="inlineStr">
        <is>
          <t>42847922MDD3003</t>
        </is>
      </c>
    </row>
    <row r="760">
      <c r="A760" s="2" t="str">
        <f>HYPERLINK("https://vtmf.veevavault.com/ui/#doc_info/29211182/1/0", "42847922MDD3003---Meeting Material-27 May 2025 (v1.0)")</f>
        <v>42847922MDD3003---Meeting Material-27 May 2025 (v1.0)</v>
      </c>
      <c r="B760" s="3" t="inlineStr">
        <is>
          <t>Third Parties</t>
        </is>
      </c>
      <c r="C760" s="3" t="inlineStr">
        <is>
          <t>General</t>
        </is>
      </c>
      <c r="D760" s="3" t="inlineStr">
        <is>
          <t>Meeting Material</t>
        </is>
      </c>
      <c r="E760" s="3" t="inlineStr">
        <is>
          <t>Labcorp Weekly Meeting_ADI Log</t>
        </is>
      </c>
      <c r="F760" s="2" t="str">
        <f>HYPERLINK("https://vtmf.veevavault.com/ui/#doc_info/29211182/1/0", "VTMF-23478834")</f>
        <v>VTMF-23478834</v>
      </c>
      <c r="G760" s="3" t="inlineStr">
        <is>
          <t/>
        </is>
      </c>
      <c r="H760" s="3" t="inlineStr">
        <is>
          <t>Anthony Suarez (veeva.com)</t>
        </is>
      </c>
      <c r="I760" s="3" t="inlineStr">
        <is>
          <t>Debhora Garcia</t>
        </is>
      </c>
      <c r="J760" s="4" t="n">
        <v>45805.122615740744</v>
      </c>
      <c r="K760" s="5" t="n">
        <v>45804.0</v>
      </c>
      <c r="L760" s="5" t="n">
        <v>45804.0</v>
      </c>
      <c r="M760" s="3" t="inlineStr">
        <is>
          <t>Approved</t>
        </is>
      </c>
      <c r="N760" s="3" t="inlineStr">
        <is>
          <t>Study Close</t>
        </is>
      </c>
      <c r="O760" s="3" t="inlineStr">
        <is>
          <t>42847922MDD3003</t>
        </is>
      </c>
    </row>
    <row r="761">
      <c r="A761" s="2" t="str">
        <f>HYPERLINK("https://vtmf.veevavault.com/ui/#doc_info/29259046/1/0", "42847922MDD3003---Meeting Material-27 May 2025 (v1.0)")</f>
        <v>42847922MDD3003---Meeting Material-27 May 2025 (v1.0)</v>
      </c>
      <c r="B761" s="3" t="inlineStr">
        <is>
          <t>Third Parties</t>
        </is>
      </c>
      <c r="C761" s="3" t="inlineStr">
        <is>
          <t>General</t>
        </is>
      </c>
      <c r="D761" s="3" t="inlineStr">
        <is>
          <t>Meeting Material</t>
        </is>
      </c>
      <c r="E761" s="3" t="inlineStr">
        <is>
          <t>Beacon Biosignals Polysomnography Weekly Meeting Minutes May 2025</t>
        </is>
      </c>
      <c r="F761" s="2" t="str">
        <f>HYPERLINK("https://vtmf.veevavault.com/ui/#doc_info/29259046/1/0", "VTMF-23516700")</f>
        <v>VTMF-23516700</v>
      </c>
      <c r="G761" s="3" t="inlineStr">
        <is>
          <t/>
        </is>
      </c>
      <c r="H761" s="3" t="inlineStr">
        <is>
          <t>Anthony Suarez (veeva.com)</t>
        </is>
      </c>
      <c r="I761" s="3" t="inlineStr">
        <is>
          <t>Charles Hayes</t>
        </is>
      </c>
      <c r="J761" s="4" t="n">
        <v>45812.03986111111</v>
      </c>
      <c r="K761" s="5" t="n">
        <v>45811.0</v>
      </c>
      <c r="L761" s="5" t="n">
        <v>45804.0</v>
      </c>
      <c r="M761" s="3" t="inlineStr">
        <is>
          <t>Approved</t>
        </is>
      </c>
      <c r="N761" s="3" t="inlineStr">
        <is>
          <t>Study Close</t>
        </is>
      </c>
      <c r="O761" s="3" t="inlineStr">
        <is>
          <t>42847922MDD3003</t>
        </is>
      </c>
    </row>
    <row r="762">
      <c r="A762" s="2" t="str">
        <f>HYPERLINK("https://vtmf.veevavault.com/ui/#doc_info/31825608/1/0", "42847922MDD3003---Meeting Material-27 May 2026 (v1.0)")</f>
        <v>42847922MDD3003---Meeting Material-27 May 2026 (v1.0)</v>
      </c>
      <c r="B762" s="3" t="inlineStr">
        <is>
          <t>Third Parties</t>
        </is>
      </c>
      <c r="C762" s="3" t="inlineStr">
        <is>
          <t>General</t>
        </is>
      </c>
      <c r="D762" s="3" t="inlineStr">
        <is>
          <t>Meeting Material</t>
        </is>
      </c>
      <c r="E762" s="3" t="inlineStr">
        <is>
          <t>Beacon Biosignals Site Sync Meeting Materials_MAY 2026</t>
        </is>
      </c>
      <c r="F762" s="2" t="str">
        <f>HYPERLINK("https://vtmf.veevavault.com/ui/#doc_info/31825608/1/0", "VTMF-25691064")</f>
        <v>VTMF-25691064</v>
      </c>
      <c r="G762" s="3" t="inlineStr">
        <is>
          <t/>
        </is>
      </c>
      <c r="H762" s="3" t="inlineStr">
        <is>
          <t>System</t>
        </is>
      </c>
      <c r="I762" s="3" t="inlineStr">
        <is>
          <t>Charles Hayes</t>
        </is>
      </c>
      <c r="J762" s="4" t="n">
        <v>46178.73462962963</v>
      </c>
      <c r="K762" s="5" t="n">
        <v>46178.0</v>
      </c>
      <c r="L762" s="5" t="n">
        <v>46169.0</v>
      </c>
      <c r="M762" s="3" t="inlineStr">
        <is>
          <t>Approved</t>
        </is>
      </c>
      <c r="N762" s="3" t="inlineStr">
        <is>
          <t>Study Close</t>
        </is>
      </c>
      <c r="O762" s="3" t="inlineStr">
        <is>
          <t>42847922MDD3003</t>
        </is>
      </c>
    </row>
    <row r="763">
      <c r="A763" s="2" t="str">
        <f>HYPERLINK("https://vtmf.veevavault.com/ui/#doc_info/31870593/1/0", "42847922MDD3003---Meeting Material-27 May 2026 (v1.0)")</f>
        <v>42847922MDD3003---Meeting Material-27 May 2026 (v1.0)</v>
      </c>
      <c r="B763" s="3" t="inlineStr">
        <is>
          <t>Data Management</t>
        </is>
      </c>
      <c r="C763" s="3" t="inlineStr">
        <is>
          <t>General</t>
        </is>
      </c>
      <c r="D763" s="3" t="inlineStr">
        <is>
          <t>Meeting Material</t>
        </is>
      </c>
      <c r="E763" s="3" t="inlineStr">
        <is>
          <t>Meeting Minutes MHSCAT issue - DBL Part 1</t>
        </is>
      </c>
      <c r="F763" s="2" t="str">
        <f>HYPERLINK("https://vtmf.veevavault.com/ui/#doc_info/31870593/1/0", "VTMF-25729023")</f>
        <v>VTMF-25729023</v>
      </c>
      <c r="G763" s="3" t="inlineStr">
        <is>
          <t/>
        </is>
      </c>
      <c r="H763" s="3" t="inlineStr">
        <is>
          <t>System</t>
        </is>
      </c>
      <c r="I763" s="3" t="inlineStr">
        <is>
          <t>Ilona Panis</t>
        </is>
      </c>
      <c r="J763" s="4" t="n">
        <v>46185.60789351852</v>
      </c>
      <c r="K763" s="5" t="n">
        <v>46185.0</v>
      </c>
      <c r="L763" s="5" t="n">
        <v>46169.0</v>
      </c>
      <c r="M763" s="3" t="inlineStr">
        <is>
          <t>Approved</t>
        </is>
      </c>
      <c r="N763" s="3" t="inlineStr">
        <is>
          <t>Study Start</t>
        </is>
      </c>
      <c r="O763" s="3" t="inlineStr">
        <is>
          <t>42847922MDD3003</t>
        </is>
      </c>
    </row>
    <row r="764">
      <c r="A764" s="2" t="str">
        <f>HYPERLINK("https://vtmf.veevavault.com/ui/#doc_info/30475324/1/0", "42847922MDD3003---Meeting Material-27 Oct 2025 (v1.0)")</f>
        <v>42847922MDD3003---Meeting Material-27 Oct 2025 (v1.0)</v>
      </c>
      <c r="B764" s="3" t="inlineStr">
        <is>
          <t>Third Parties</t>
        </is>
      </c>
      <c r="C764" s="3" t="inlineStr">
        <is>
          <t>General</t>
        </is>
      </c>
      <c r="D764" s="3" t="inlineStr">
        <is>
          <t>Meeting Material</t>
        </is>
      </c>
      <c r="E764" s="3" t="inlineStr">
        <is>
          <t>MGH CTNI Bi Weekly Call Minutes</t>
        </is>
      </c>
      <c r="F764" s="2" t="str">
        <f>HYPERLINK("https://vtmf.veevavault.com/ui/#doc_info/30475324/1/0", "VTMF-24551694")</f>
        <v>VTMF-24551694</v>
      </c>
      <c r="G764" s="3" t="inlineStr">
        <is>
          <t/>
        </is>
      </c>
      <c r="H764" s="3" t="inlineStr">
        <is>
          <t>Gina Stefanelli</t>
        </is>
      </c>
      <c r="I764" s="3" t="inlineStr">
        <is>
          <t>Gina Stefanelli</t>
        </is>
      </c>
      <c r="J764" s="4" t="n">
        <v>45986.89491898148</v>
      </c>
      <c r="K764" s="5" t="n">
        <v>45986.0</v>
      </c>
      <c r="L764" s="5" t="n">
        <v>45957.0</v>
      </c>
      <c r="M764" s="3" t="inlineStr">
        <is>
          <t>Approved</t>
        </is>
      </c>
      <c r="N764" s="3" t="inlineStr">
        <is>
          <t>Study Close</t>
        </is>
      </c>
      <c r="O764" s="3" t="inlineStr">
        <is>
          <t>42847922MDD3003</t>
        </is>
      </c>
    </row>
    <row r="765">
      <c r="A765" s="2" t="str">
        <f>HYPERLINK("https://vtmf.veevavault.com/ui/#doc_info/27159407/1/0", "42847922MDD3003---Meeting Material-27 Sep 2024 (v1.0)")</f>
        <v>42847922MDD3003---Meeting Material-27 Sep 2024 (v1.0)</v>
      </c>
      <c r="B765" s="3" t="inlineStr">
        <is>
          <t>Third Parties</t>
        </is>
      </c>
      <c r="C765" s="3" t="inlineStr">
        <is>
          <t>General</t>
        </is>
      </c>
      <c r="D765" s="3" t="inlineStr">
        <is>
          <t>Meeting Material</t>
        </is>
      </c>
      <c r="E765" s="3" t="inlineStr">
        <is>
          <t>LabCorp Weekly Meeting ADI Log</t>
        </is>
      </c>
      <c r="F765" s="2" t="str">
        <f>HYPERLINK("https://vtmf.veevavault.com/ui/#doc_info/27159407/1/0", "VTMF-21774894")</f>
        <v>VTMF-21774894</v>
      </c>
      <c r="G765" s="3" t="inlineStr">
        <is>
          <t/>
        </is>
      </c>
      <c r="H765" s="3" t="inlineStr">
        <is>
          <t>Anthony Suarez (veeva.com)</t>
        </is>
      </c>
      <c r="I765" s="3" t="inlineStr">
        <is>
          <t>Debhora Garcia</t>
        </is>
      </c>
      <c r="J765" s="4" t="n">
        <v>45562.966944444444</v>
      </c>
      <c r="K765" s="5" t="n">
        <v>45563.0</v>
      </c>
      <c r="L765" s="5" t="n">
        <v>45562.0</v>
      </c>
      <c r="M765" s="3" t="inlineStr">
        <is>
          <t>Approved</t>
        </is>
      </c>
      <c r="N765" s="3" t="inlineStr">
        <is>
          <t>Study Close</t>
        </is>
      </c>
      <c r="O765" s="3" t="inlineStr">
        <is>
          <t>42847922MDD3003</t>
        </is>
      </c>
    </row>
    <row r="766">
      <c r="A766" s="2" t="str">
        <f>HYPERLINK("https://vtmf.veevavault.com/ui/#doc_info/29190535/1/0", "42847922MDD3003---Meeting Material-28 Apr 2025 (v1.0)")</f>
        <v>42847922MDD3003---Meeting Material-28 Apr 2025 (v1.0)</v>
      </c>
      <c r="B766" s="3" t="inlineStr">
        <is>
          <t>Third Parties</t>
        </is>
      </c>
      <c r="C766" s="3" t="inlineStr">
        <is>
          <t>General</t>
        </is>
      </c>
      <c r="D766" s="3" t="inlineStr">
        <is>
          <t>Meeting Material</t>
        </is>
      </c>
      <c r="E766" s="3" t="inlineStr">
        <is>
          <t>MGH CTNI Bi-Weekly Call Agenda</t>
        </is>
      </c>
      <c r="F766" s="2" t="str">
        <f>HYPERLINK("https://vtmf.veevavault.com/ui/#doc_info/29190535/1/0", "VTMF-23461391")</f>
        <v>VTMF-23461391</v>
      </c>
      <c r="G766" s="3" t="inlineStr">
        <is>
          <t/>
        </is>
      </c>
      <c r="H766" s="3" t="inlineStr">
        <is>
          <t>Anthony Suarez (veeva.com)</t>
        </is>
      </c>
      <c r="I766" s="3" t="inlineStr">
        <is>
          <t>Gina Stefanelli</t>
        </is>
      </c>
      <c r="J766" s="4" t="n">
        <v>45800.72372685185</v>
      </c>
      <c r="K766" s="5" t="n">
        <v>45800.0</v>
      </c>
      <c r="L766" s="5" t="n">
        <v>45775.0</v>
      </c>
      <c r="M766" s="3" t="inlineStr">
        <is>
          <t>Approved</t>
        </is>
      </c>
      <c r="N766" s="3" t="inlineStr">
        <is>
          <t>Study Close</t>
        </is>
      </c>
      <c r="O766" s="3" t="inlineStr">
        <is>
          <t>42847922MDD3003</t>
        </is>
      </c>
    </row>
    <row r="767">
      <c r="A767" s="2" t="str">
        <f>HYPERLINK("https://vtmf.veevavault.com/ui/#doc_info/29220911/1/0", "42847922MDD3003---Meeting Material-28 Apr 2025 (v1.0)")</f>
        <v>42847922MDD3003---Meeting Material-28 Apr 2025 (v1.0)</v>
      </c>
      <c r="B767" s="3" t="inlineStr">
        <is>
          <t>Third Parties</t>
        </is>
      </c>
      <c r="C767" s="3" t="inlineStr">
        <is>
          <t>General</t>
        </is>
      </c>
      <c r="D767" s="3" t="inlineStr">
        <is>
          <t>Meeting Material</t>
        </is>
      </c>
      <c r="E767" s="3" t="inlineStr">
        <is>
          <t>Cronos Monthly Clinical Oversight Meeting Slides</t>
        </is>
      </c>
      <c r="F767" s="2" t="str">
        <f>HYPERLINK("https://vtmf.veevavault.com/ui/#doc_info/29220911/1/0", "VTMF-23486351")</f>
        <v>VTMF-23486351</v>
      </c>
      <c r="G767" s="3" t="inlineStr">
        <is>
          <t/>
        </is>
      </c>
      <c r="H767" s="3" t="inlineStr">
        <is>
          <t>Gina Stefanelli</t>
        </is>
      </c>
      <c r="I767" s="3" t="inlineStr">
        <is>
          <t>Debhora Garcia</t>
        </is>
      </c>
      <c r="J767" s="4" t="n">
        <v>45805.90244212963</v>
      </c>
      <c r="K767" s="5" t="n">
        <v>45805.0</v>
      </c>
      <c r="L767" s="5" t="n">
        <v>45775.0</v>
      </c>
      <c r="M767" s="3" t="inlineStr">
        <is>
          <t>Approved</t>
        </is>
      </c>
      <c r="N767" s="3" t="inlineStr">
        <is>
          <t>Study Close</t>
        </is>
      </c>
      <c r="O767" s="3" t="inlineStr">
        <is>
          <t>42847922MDD3003</t>
        </is>
      </c>
    </row>
    <row r="768">
      <c r="A768" s="2" t="str">
        <f>HYPERLINK("https://vtmf.veevavault.com/ui/#doc_info/31630009/1/0", "42847922MDD3003---Meeting Material-28 Apr 2026 (v1.0)")</f>
        <v>42847922MDD3003---Meeting Material-28 Apr 2026 (v1.0)</v>
      </c>
      <c r="B768" s="3" t="inlineStr">
        <is>
          <t>Third Parties</t>
        </is>
      </c>
      <c r="C768" s="3" t="inlineStr">
        <is>
          <t>General</t>
        </is>
      </c>
      <c r="D768" s="3" t="inlineStr">
        <is>
          <t>Meeting Material</t>
        </is>
      </c>
      <c r="E768" s="3" t="inlineStr">
        <is>
          <t>Beacon Biosignals Weekly Touch Base Meetings_APR2026</t>
        </is>
      </c>
      <c r="F768" s="2" t="str">
        <f>HYPERLINK("https://vtmf.veevavault.com/ui/#doc_info/31630009/1/0", "VTMF-25526720")</f>
        <v>VTMF-25526720</v>
      </c>
      <c r="G768" s="3" t="inlineStr">
        <is>
          <t/>
        </is>
      </c>
      <c r="H768" s="3" t="inlineStr">
        <is>
          <t>System</t>
        </is>
      </c>
      <c r="I768" s="3" t="inlineStr">
        <is>
          <t>Charles Hayes</t>
        </is>
      </c>
      <c r="J768" s="4" t="n">
        <v>46153.80011574074</v>
      </c>
      <c r="K768" s="5" t="n">
        <v>46153.0</v>
      </c>
      <c r="L768" s="5" t="n">
        <v>46140.0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42847922MDD3003</t>
        </is>
      </c>
    </row>
    <row r="769">
      <c r="A769" s="2" t="str">
        <f>HYPERLINK("https://vtmf.veevavault.com/ui/#doc_info/28225646/1/0", "42847922MDD3003---Meeting Material-28 Jan 2025 (v1.0)")</f>
        <v>42847922MDD3003---Meeting Material-28 Jan 2025 (v1.0)</v>
      </c>
      <c r="B769" s="3" t="inlineStr">
        <is>
          <t>Third Parties</t>
        </is>
      </c>
      <c r="C769" s="3" t="inlineStr">
        <is>
          <t>General</t>
        </is>
      </c>
      <c r="D769" s="3" t="inlineStr">
        <is>
          <t>Meeting Material</t>
        </is>
      </c>
      <c r="E769" s="3" t="inlineStr">
        <is>
          <t>Beacon Biosignals EEG Meeting Materials ; JAN2025</t>
        </is>
      </c>
      <c r="F769" s="2" t="str">
        <f>HYPERLINK("https://vtmf.veevavault.com/ui/#doc_info/28225646/1/0", "VTMF-22638250")</f>
        <v>VTMF-22638250</v>
      </c>
      <c r="G769" s="3" t="inlineStr">
        <is>
          <t/>
        </is>
      </c>
      <c r="H769" s="3" t="inlineStr">
        <is>
          <t>Anthony Suarez (veeva.com)</t>
        </is>
      </c>
      <c r="I769" s="3" t="inlineStr">
        <is>
          <t>Charles Hayes</t>
        </is>
      </c>
      <c r="J769" s="4" t="n">
        <v>45692.75063657408</v>
      </c>
      <c r="K769" s="5" t="n">
        <v>45692.0</v>
      </c>
      <c r="L769" s="5" t="n">
        <v>45685.0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42847922MDD3003</t>
        </is>
      </c>
    </row>
    <row r="770">
      <c r="A770" s="2" t="str">
        <f>HYPERLINK("https://vtmf.veevavault.com/ui/#doc_info/30994538/1/0", "42847922MDD3003---Meeting Material-28 Jan 2026 (v1.0)")</f>
        <v>42847922MDD3003---Meeting Material-28 Jan 2026 (v1.0)</v>
      </c>
      <c r="B770" s="3" t="inlineStr">
        <is>
          <t>Third Parties</t>
        </is>
      </c>
      <c r="C770" s="3" t="inlineStr">
        <is>
          <t>General</t>
        </is>
      </c>
      <c r="D770" s="3" t="inlineStr">
        <is>
          <t>Meeting Material</t>
        </is>
      </c>
      <c r="E770" s="3" t="inlineStr">
        <is>
          <t>Beacon Biosignals Site Sync_JAN 2026</t>
        </is>
      </c>
      <c r="F770" s="2" t="str">
        <f>HYPERLINK("https://vtmf.veevavault.com/ui/#doc_info/30994538/1/0", "VTMF-24984272")</f>
        <v>VTMF-24984272</v>
      </c>
      <c r="G770" s="3" t="inlineStr">
        <is>
          <t/>
        </is>
      </c>
      <c r="H770" s="3" t="inlineStr">
        <is>
          <t>System</t>
        </is>
      </c>
      <c r="I770" s="3" t="inlineStr">
        <is>
          <t>Charles Hayes</t>
        </is>
      </c>
      <c r="J770" s="4" t="n">
        <v>46067.85637731481</v>
      </c>
      <c r="K770" s="5" t="n">
        <v>46067.0</v>
      </c>
      <c r="L770" s="5" t="n">
        <v>46050.0</v>
      </c>
      <c r="M770" s="3" t="inlineStr">
        <is>
          <t>Approved</t>
        </is>
      </c>
      <c r="N770" s="3" t="inlineStr">
        <is>
          <t>Study Close</t>
        </is>
      </c>
      <c r="O770" s="3" t="inlineStr">
        <is>
          <t>42847922MDD3003</t>
        </is>
      </c>
    </row>
    <row r="771">
      <c r="A771" s="2" t="str">
        <f>HYPERLINK("https://vtmf.veevavault.com/ui/#doc_info/29644125/1/0", "42847922MDD3003---Meeting Material-28 Jul 2025 (v1.0)")</f>
        <v>42847922MDD3003---Meeting Material-28 Jul 2025 (v1.0)</v>
      </c>
      <c r="B771" s="3" t="inlineStr">
        <is>
          <t>Third Parties</t>
        </is>
      </c>
      <c r="C771" s="3" t="inlineStr">
        <is>
          <t>General</t>
        </is>
      </c>
      <c r="D771" s="3" t="inlineStr">
        <is>
          <t>Meeting Material</t>
        </is>
      </c>
      <c r="E771" s="3" t="inlineStr">
        <is>
          <t>4G IRT Maintenance_Project_Management_Tracker</t>
        </is>
      </c>
      <c r="F771" s="2" t="str">
        <f>HYPERLINK("https://vtmf.veevavault.com/ui/#doc_info/29644125/1/0", "VTMF-23848745")</f>
        <v>VTMF-23848745</v>
      </c>
      <c r="G771" s="3" t="inlineStr">
        <is>
          <t/>
        </is>
      </c>
      <c r="H771" s="3" t="inlineStr">
        <is>
          <t>System</t>
        </is>
      </c>
      <c r="I771" s="3" t="inlineStr">
        <is>
          <t>Gina Stefanelli</t>
        </is>
      </c>
      <c r="J771" s="4" t="n">
        <v>45866.83038194444</v>
      </c>
      <c r="K771" s="5" t="n">
        <v>45866.0</v>
      </c>
      <c r="L771" s="5" t="n">
        <v>45866.0</v>
      </c>
      <c r="M771" s="3" t="inlineStr">
        <is>
          <t>Approved</t>
        </is>
      </c>
      <c r="N771" s="3" t="inlineStr">
        <is>
          <t>Study Close</t>
        </is>
      </c>
      <c r="O771" s="3" t="inlineStr">
        <is>
          <t>42847922MDD3003</t>
        </is>
      </c>
    </row>
    <row r="772">
      <c r="A772" s="2" t="str">
        <f>HYPERLINK("https://vtmf.veevavault.com/ui/#doc_info/26657046/1/0", "42847922MDD3003---Meeting Material-28 Jun 2024 (v1.0)")</f>
        <v>42847922MDD3003---Meeting Material-28 Jun 2024 (v1.0)</v>
      </c>
      <c r="B772" s="3" t="inlineStr">
        <is>
          <t>Third Parties</t>
        </is>
      </c>
      <c r="C772" s="3" t="inlineStr">
        <is>
          <t>General</t>
        </is>
      </c>
      <c r="D772" s="3" t="inlineStr">
        <is>
          <t>Meeting Material</t>
        </is>
      </c>
      <c r="E772" s="3" t="inlineStr">
        <is>
          <t>Cronos Operations Meeting Minutes Actions Log</t>
        </is>
      </c>
      <c r="F772" s="2" t="str">
        <f>HYPERLINK("https://vtmf.veevavault.com/ui/#doc_info/26657046/1/0", "VTMF-21354832")</f>
        <v>VTMF-21354832</v>
      </c>
      <c r="G772" s="3" t="inlineStr">
        <is>
          <t/>
        </is>
      </c>
      <c r="H772" s="3" t="inlineStr">
        <is>
          <t>Gina Stefanelli</t>
        </is>
      </c>
      <c r="I772" s="3" t="inlineStr">
        <is>
          <t>Kristina Ruzinska</t>
        </is>
      </c>
      <c r="J772" s="4" t="n">
        <v>45478.66521990741</v>
      </c>
      <c r="K772" s="5" t="n">
        <v>45478.0</v>
      </c>
      <c r="L772" s="5" t="n">
        <v>45471.0</v>
      </c>
      <c r="M772" s="3" t="inlineStr">
        <is>
          <t>Approved</t>
        </is>
      </c>
      <c r="N772" s="3" t="inlineStr">
        <is>
          <t>Study Close</t>
        </is>
      </c>
      <c r="O772" s="3" t="inlineStr">
        <is>
          <t>42847922MDD3003</t>
        </is>
      </c>
    </row>
    <row r="773">
      <c r="A773" s="2" t="str">
        <f>HYPERLINK("https://vtmf.veevavault.com/ui/#doc_info/26766518/1/0", "42847922MDD3003---Meeting Material-28 Jun 2024 (v1.0)")</f>
        <v>42847922MDD3003---Meeting Material-28 Jun 2024 (v1.0)</v>
      </c>
      <c r="B773" s="3" t="inlineStr">
        <is>
          <t>Data Management</t>
        </is>
      </c>
      <c r="C773" s="3" t="inlineStr">
        <is>
          <t>General</t>
        </is>
      </c>
      <c r="D773" s="3" t="inlineStr">
        <is>
          <t>Meeting Material</t>
        </is>
      </c>
      <c r="E773" s="3" t="inlineStr">
        <is>
          <t>IQVIA SDO Kick Off Meeting Slides_28Jun2024</t>
        </is>
      </c>
      <c r="F773" s="2" t="str">
        <f>HYPERLINK("https://vtmf.veevavault.com/ui/#doc_info/26766518/1/0", "VTMF-21450203")</f>
        <v>VTMF-21450203</v>
      </c>
      <c r="G773" s="3" t="inlineStr">
        <is>
          <t/>
        </is>
      </c>
      <c r="H773" s="3" t="inlineStr">
        <is>
          <t>Anthony Suarez (veeva.com)</t>
        </is>
      </c>
      <c r="I773" s="3" t="inlineStr">
        <is>
          <t>Shashikant Behera</t>
        </is>
      </c>
      <c r="J773" s="4" t="n">
        <v>45498.24561342593</v>
      </c>
      <c r="K773" s="5" t="n">
        <v>45497.0</v>
      </c>
      <c r="L773" s="5" t="n">
        <v>45471.0</v>
      </c>
      <c r="M773" s="3" t="inlineStr">
        <is>
          <t>Approved</t>
        </is>
      </c>
      <c r="N773" s="3" t="inlineStr">
        <is>
          <t>Study Start</t>
        </is>
      </c>
      <c r="O773" s="3" t="inlineStr">
        <is>
          <t>42847922MDD3003</t>
        </is>
      </c>
    </row>
    <row r="774">
      <c r="A774" s="2" t="str">
        <f>HYPERLINK("https://vtmf.veevavault.com/ui/#doc_info/26766535/1/0", "42847922MDD3003---Meeting Material-28 Jun 2024 (v1.0)")</f>
        <v>42847922MDD3003---Meeting Material-28 Jun 2024 (v1.0)</v>
      </c>
      <c r="B774" s="3" t="inlineStr">
        <is>
          <t>Data Management</t>
        </is>
      </c>
      <c r="C774" s="3" t="inlineStr">
        <is>
          <t>General</t>
        </is>
      </c>
      <c r="D774" s="3" t="inlineStr">
        <is>
          <t>Meeting Material</t>
        </is>
      </c>
      <c r="E774" s="3" t="inlineStr">
        <is>
          <t>IQVIA SDO Kick Off Meeting Agenda and Minutes_28Jun2024</t>
        </is>
      </c>
      <c r="F774" s="2" t="str">
        <f>HYPERLINK("https://vtmf.veevavault.com/ui/#doc_info/26766535/1/0", "VTMF-21450234")</f>
        <v>VTMF-21450234</v>
      </c>
      <c r="G774" s="3" t="inlineStr">
        <is>
          <t/>
        </is>
      </c>
      <c r="H774" s="3" t="inlineStr">
        <is>
          <t>Anthony Suarez (veeva.com)</t>
        </is>
      </c>
      <c r="I774" s="3" t="inlineStr">
        <is>
          <t>Shashikant Behera</t>
        </is>
      </c>
      <c r="J774" s="4" t="n">
        <v>45498.25304398148</v>
      </c>
      <c r="K774" s="5" t="n">
        <v>45498.0</v>
      </c>
      <c r="L774" s="5" t="n">
        <v>45471.0</v>
      </c>
      <c r="M774" s="3" t="inlineStr">
        <is>
          <t>Approved</t>
        </is>
      </c>
      <c r="N774" s="3" t="inlineStr">
        <is>
          <t>Study Start</t>
        </is>
      </c>
      <c r="O774" s="3" t="inlineStr">
        <is>
          <t>42847922MDD3003</t>
        </is>
      </c>
    </row>
    <row r="775">
      <c r="A775" s="2" t="str">
        <f>HYPERLINK("https://vtmf.veevavault.com/ui/#doc_info/26407840/1/0", "42847922MDD3003---Meeting Material-28 May 2024 (v1.0)")</f>
        <v>42847922MDD3003---Meeting Material-28 May 2024 (v1.0)</v>
      </c>
      <c r="B775" s="3" t="inlineStr">
        <is>
          <t>Third Parties</t>
        </is>
      </c>
      <c r="C775" s="3" t="inlineStr">
        <is>
          <t>General</t>
        </is>
      </c>
      <c r="D775" s="3" t="inlineStr">
        <is>
          <t>Meeting Material</t>
        </is>
      </c>
      <c r="E775" s="3" t="inlineStr">
        <is>
          <t>LabCorp Weekly Meeting ADI Log</t>
        </is>
      </c>
      <c r="F775" s="2" t="str">
        <f>HYPERLINK("https://vtmf.veevavault.com/ui/#doc_info/26407840/1/0", "VTMF-21135834")</f>
        <v>VTMF-21135834</v>
      </c>
      <c r="G775" s="3" t="inlineStr">
        <is>
          <t/>
        </is>
      </c>
      <c r="H775" s="3" t="inlineStr">
        <is>
          <t>Anthony Suarez (veeva.com)</t>
        </is>
      </c>
      <c r="I775" s="3" t="inlineStr">
        <is>
          <t>Jamie Hardy</t>
        </is>
      </c>
      <c r="J775" s="4" t="n">
        <v>45440.70861111111</v>
      </c>
      <c r="K775" s="5" t="n">
        <v>45440.0</v>
      </c>
      <c r="L775" s="5" t="n">
        <v>45440.0</v>
      </c>
      <c r="M775" s="3" t="inlineStr">
        <is>
          <t>Approved</t>
        </is>
      </c>
      <c r="N775" s="3" t="inlineStr">
        <is>
          <t>Study Close</t>
        </is>
      </c>
      <c r="O775" s="3" t="inlineStr">
        <is>
          <t>42847922MDD3003</t>
        </is>
      </c>
    </row>
    <row r="776">
      <c r="A776" s="2" t="str">
        <f>HYPERLINK("https://vtmf.veevavault.com/ui/#doc_info/26418041/1/0", "42847922MDD3003---Meeting Material-28 May 2024 (v1.0)")</f>
        <v>42847922MDD3003---Meeting Material-28 May 2024 (v1.0)</v>
      </c>
      <c r="B776" s="3" t="inlineStr">
        <is>
          <t>Third Parties</t>
        </is>
      </c>
      <c r="C776" s="3" t="inlineStr">
        <is>
          <t>General</t>
        </is>
      </c>
      <c r="D776" s="3" t="inlineStr">
        <is>
          <t>Meeting Material</t>
        </is>
      </c>
      <c r="E776" s="3" t="inlineStr">
        <is>
          <t>Cronos Operations Meeting Minutes Actions Log</t>
        </is>
      </c>
      <c r="F776" s="2" t="str">
        <f>HYPERLINK("https://vtmf.veevavault.com/ui/#doc_info/26418041/1/0", "VTMF-21144896")</f>
        <v>VTMF-21144896</v>
      </c>
      <c r="G776" s="3" t="inlineStr">
        <is>
          <t/>
        </is>
      </c>
      <c r="H776" s="3" t="inlineStr">
        <is>
          <t>Gina Stefanelli</t>
        </is>
      </c>
      <c r="I776" s="3" t="inlineStr">
        <is>
          <t>Gina Stefanelli</t>
        </is>
      </c>
      <c r="J776" s="4" t="n">
        <v>45441.77542824074</v>
      </c>
      <c r="K776" s="5" t="n">
        <v>45441.0</v>
      </c>
      <c r="L776" s="5" t="n">
        <v>45440.0</v>
      </c>
      <c r="M776" s="3" t="inlineStr">
        <is>
          <t>Approved</t>
        </is>
      </c>
      <c r="N776" s="3" t="inlineStr">
        <is>
          <t>Study Close</t>
        </is>
      </c>
      <c r="O776" s="3" t="inlineStr">
        <is>
          <t>42847922MDD3003</t>
        </is>
      </c>
    </row>
    <row r="777">
      <c r="A777" s="2" t="str">
        <f>HYPERLINK("https://vtmf.veevavault.com/ui/#doc_info/27876503/1/0", "42847922MDD3003---Meeting Material-28 Oct 2024 (v1.0)")</f>
        <v>42847922MDD3003---Meeting Material-28 Oct 2024 (v1.0)</v>
      </c>
      <c r="B777" s="3" t="inlineStr">
        <is>
          <t>Third Parties</t>
        </is>
      </c>
      <c r="C777" s="3" t="inlineStr">
        <is>
          <t>General</t>
        </is>
      </c>
      <c r="D777" s="3" t="inlineStr">
        <is>
          <t>Meeting Material</t>
        </is>
      </c>
      <c r="E777" s="3" t="inlineStr">
        <is>
          <t>MGH CTNI Bi-Weekly Call Minutes</t>
        </is>
      </c>
      <c r="F777" s="2" t="str">
        <f>HYPERLINK("https://vtmf.veevavault.com/ui/#doc_info/27876503/1/0", "VTMF-22353824")</f>
        <v>VTMF-22353824</v>
      </c>
      <c r="G777" s="3" t="inlineStr">
        <is>
          <t/>
        </is>
      </c>
      <c r="H777" s="3" t="inlineStr">
        <is>
          <t>Anthony Suarez (veeva.com)</t>
        </is>
      </c>
      <c r="I777" s="3" t="inlineStr">
        <is>
          <t>Gina Stefanelli</t>
        </is>
      </c>
      <c r="J777" s="4" t="n">
        <v>45639.68085648148</v>
      </c>
      <c r="K777" s="5" t="n">
        <v>45639.0</v>
      </c>
      <c r="L777" s="5" t="n">
        <v>45593.0</v>
      </c>
      <c r="M777" s="3" t="inlineStr">
        <is>
          <t>Approved</t>
        </is>
      </c>
      <c r="N777" s="3" t="inlineStr">
        <is>
          <t>Study Close</t>
        </is>
      </c>
      <c r="O777" s="3" t="inlineStr">
        <is>
          <t>42847922MDD3003</t>
        </is>
      </c>
    </row>
    <row r="778">
      <c r="A778" s="2" t="str">
        <f>HYPERLINK("https://vtmf.veevavault.com/ui/#doc_info/27937649/1/0", "42847922MDD3003---Meeting Material-28 Oct 2024 (v1.0)")</f>
        <v>42847922MDD3003---Meeting Material-28 Oct 2024 (v1.0)</v>
      </c>
      <c r="B778" s="3" t="inlineStr">
        <is>
          <t>Third Parties</t>
        </is>
      </c>
      <c r="C778" s="3" t="inlineStr">
        <is>
          <t>General</t>
        </is>
      </c>
      <c r="D778" s="3" t="inlineStr">
        <is>
          <t>Meeting Material</t>
        </is>
      </c>
      <c r="E778" s="3" t="inlineStr">
        <is>
          <t>Cronos Operations Meeting Minutes Actions Log</t>
        </is>
      </c>
      <c r="F778" s="2" t="str">
        <f>HYPERLINK("https://vtmf.veevavault.com/ui/#doc_info/27937649/1/0", "VTMF-22399144")</f>
        <v>VTMF-22399144</v>
      </c>
      <c r="G778" s="3" t="inlineStr">
        <is>
          <t/>
        </is>
      </c>
      <c r="H778" s="3" t="inlineStr">
        <is>
          <t>Anthony Suarez (veeva.com)</t>
        </is>
      </c>
      <c r="I778" s="3" t="inlineStr">
        <is>
          <t>Gina Stefanelli</t>
        </is>
      </c>
      <c r="J778" s="4" t="n">
        <v>45644.84884259259</v>
      </c>
      <c r="K778" s="5" t="n">
        <v>45644.0</v>
      </c>
      <c r="L778" s="5" t="n">
        <v>45593.0</v>
      </c>
      <c r="M778" s="3" t="inlineStr">
        <is>
          <t>Approved</t>
        </is>
      </c>
      <c r="N778" s="3" t="inlineStr">
        <is>
          <t>Study Close</t>
        </is>
      </c>
      <c r="O778" s="3" t="inlineStr">
        <is>
          <t>42847922MDD3003</t>
        </is>
      </c>
    </row>
    <row r="779">
      <c r="A779" s="2" t="str">
        <f>HYPERLINK("https://vtmf.veevavault.com/ui/#doc_info/30333597/1/0", "42847922MDD3003---Meeting Material-28 Oct 2025 (v1.0)")</f>
        <v>42847922MDD3003---Meeting Material-28 Oct 2025 (v1.0)</v>
      </c>
      <c r="B779" s="3" t="inlineStr">
        <is>
          <t>Third Parties</t>
        </is>
      </c>
      <c r="C779" s="3" t="inlineStr">
        <is>
          <t>General</t>
        </is>
      </c>
      <c r="D779" s="3" t="inlineStr">
        <is>
          <t>Meeting Material</t>
        </is>
      </c>
      <c r="E779" s="3" t="inlineStr">
        <is>
          <t>Beacon Weekly Meeting Minutes_OCT2025</t>
        </is>
      </c>
      <c r="F779" s="2" t="str">
        <f>HYPERLINK("https://vtmf.veevavault.com/ui/#doc_info/30333597/1/0", "VTMF-24429070")</f>
        <v>VTMF-24429070</v>
      </c>
      <c r="G779" s="3" t="inlineStr">
        <is>
          <t/>
        </is>
      </c>
      <c r="H779" s="3" t="inlineStr">
        <is>
          <t>System</t>
        </is>
      </c>
      <c r="I779" s="3" t="inlineStr">
        <is>
          <t>Charles Hayes</t>
        </is>
      </c>
      <c r="J779" s="4" t="n">
        <v>45968.99721064815</v>
      </c>
      <c r="K779" s="5" t="n">
        <v>45968.0</v>
      </c>
      <c r="L779" s="5" t="n">
        <v>45958.0</v>
      </c>
      <c r="M779" s="3" t="inlineStr">
        <is>
          <t>Approved</t>
        </is>
      </c>
      <c r="N779" s="3" t="inlineStr">
        <is>
          <t>Study Close</t>
        </is>
      </c>
      <c r="O779" s="3" t="inlineStr">
        <is>
          <t>42847922MDD3003</t>
        </is>
      </c>
    </row>
    <row r="780">
      <c r="A780" s="2" t="str">
        <f>HYPERLINK("https://vtmf.veevavault.com/ui/#doc_info/29039962/1/0", "42847922MDD3003---Meeting Material-29 Apr 2025 (v1.0)")</f>
        <v>42847922MDD3003---Meeting Material-29 Apr 2025 (v1.0)</v>
      </c>
      <c r="B780" s="3" t="inlineStr">
        <is>
          <t>Third Parties</t>
        </is>
      </c>
      <c r="C780" s="3" t="inlineStr">
        <is>
          <t>General</t>
        </is>
      </c>
      <c r="D780" s="3" t="inlineStr">
        <is>
          <t>Meeting Material</t>
        </is>
      </c>
      <c r="E780" s="3" t="inlineStr">
        <is>
          <t>Beacon Polysomnography Meeting Minutes ; APR2025</t>
        </is>
      </c>
      <c r="F780" s="2" t="str">
        <f>HYPERLINK("https://vtmf.veevavault.com/ui/#doc_info/29039962/1/0", "VTMF-23332632")</f>
        <v>VTMF-23332632</v>
      </c>
      <c r="G780" s="3" t="inlineStr">
        <is>
          <t/>
        </is>
      </c>
      <c r="H780" s="3" t="inlineStr">
        <is>
          <t>Anthony Suarez (veeva.com)</t>
        </is>
      </c>
      <c r="I780" s="3" t="inlineStr">
        <is>
          <t>Charles Hayes</t>
        </is>
      </c>
      <c r="J780" s="4" t="n">
        <v>45782.9194212963</v>
      </c>
      <c r="K780" s="5" t="n">
        <v>45782.0</v>
      </c>
      <c r="L780" s="5" t="n">
        <v>45776.0</v>
      </c>
      <c r="M780" s="3" t="inlineStr">
        <is>
          <t>Approved</t>
        </is>
      </c>
      <c r="N780" s="3" t="inlineStr">
        <is>
          <t>Study Close</t>
        </is>
      </c>
      <c r="O780" s="3" t="inlineStr">
        <is>
          <t>42847922MDD3003</t>
        </is>
      </c>
    </row>
    <row r="781">
      <c r="A781" s="2" t="str">
        <f>HYPERLINK("https://vtmf.veevavault.com/ui/#doc_info/31629691/1/0", "42847922MDD3003---Meeting Material-29 Apr 2026 (v1.0)")</f>
        <v>42847922MDD3003---Meeting Material-29 Apr 2026 (v1.0)</v>
      </c>
      <c r="B781" s="3" t="inlineStr">
        <is>
          <t>Third Parties</t>
        </is>
      </c>
      <c r="C781" s="3" t="inlineStr">
        <is>
          <t>General</t>
        </is>
      </c>
      <c r="D781" s="3" t="inlineStr">
        <is>
          <t>Meeting Material</t>
        </is>
      </c>
      <c r="E781" s="3" t="inlineStr">
        <is>
          <t>Beacon Biosignals Site Sync Meetings_APR 2026</t>
        </is>
      </c>
      <c r="F781" s="2" t="str">
        <f>HYPERLINK("https://vtmf.veevavault.com/ui/#doc_info/31629691/1/0", "VTMF-25526688")</f>
        <v>VTMF-25526688</v>
      </c>
      <c r="G781" s="3" t="inlineStr">
        <is>
          <t/>
        </is>
      </c>
      <c r="H781" s="3" t="inlineStr">
        <is>
          <t>System</t>
        </is>
      </c>
      <c r="I781" s="3" t="inlineStr">
        <is>
          <t>Charles Hayes</t>
        </is>
      </c>
      <c r="J781" s="4" t="n">
        <v>46153.79549768518</v>
      </c>
      <c r="K781" s="5" t="n">
        <v>46153.0</v>
      </c>
      <c r="L781" s="5" t="n">
        <v>46141.0</v>
      </c>
      <c r="M781" s="3" t="inlineStr">
        <is>
          <t>Approved</t>
        </is>
      </c>
      <c r="N781" s="3" t="inlineStr">
        <is>
          <t>Study Close</t>
        </is>
      </c>
      <c r="O781" s="3" t="inlineStr">
        <is>
          <t>42847922MDD3003</t>
        </is>
      </c>
    </row>
    <row r="782">
      <c r="A782" s="2" t="str">
        <f>HYPERLINK("https://vtmf.veevavault.com/ui/#doc_info/26085549/1/0", "42847922MDD3003---Meeting Material-29 Jan 2024 (v1.0)")</f>
        <v>42847922MDD3003---Meeting Material-29 Jan 2024 (v1.0)</v>
      </c>
      <c r="B782" s="3" t="inlineStr">
        <is>
          <t>Third Parties</t>
        </is>
      </c>
      <c r="C782" s="3" t="inlineStr">
        <is>
          <t>General</t>
        </is>
      </c>
      <c r="D782" s="3" t="inlineStr">
        <is>
          <t>Meeting Material</t>
        </is>
      </c>
      <c r="E782" s="3" t="inlineStr">
        <is>
          <t>Greenphire Kick-Off Meeting Minutes ClinCard</t>
        </is>
      </c>
      <c r="F782" s="2" t="str">
        <f>HYPERLINK("https://vtmf.veevavault.com/ui/#doc_info/26085549/1/0", "VTMF-20855399")</f>
        <v>VTMF-20855399</v>
      </c>
      <c r="G782" s="3" t="inlineStr">
        <is>
          <t/>
        </is>
      </c>
      <c r="H782" s="3" t="inlineStr">
        <is>
          <t>Gina Stefanelli</t>
        </is>
      </c>
      <c r="I782" s="3" t="inlineStr">
        <is>
          <t>Jamie Hardy</t>
        </is>
      </c>
      <c r="J782" s="4" t="n">
        <v>45390.61462962963</v>
      </c>
      <c r="K782" s="5" t="n">
        <v>45390.0</v>
      </c>
      <c r="L782" s="5" t="n">
        <v>45320.0</v>
      </c>
      <c r="M782" s="3" t="inlineStr">
        <is>
          <t>Approved</t>
        </is>
      </c>
      <c r="N782" s="3" t="inlineStr">
        <is>
          <t>Study Close</t>
        </is>
      </c>
      <c r="O782" s="3" t="inlineStr">
        <is>
          <t>42847922MDD3003</t>
        </is>
      </c>
    </row>
    <row r="783">
      <c r="A783" s="2" t="str">
        <f>HYPERLINK("https://vtmf.veevavault.com/ui/#doc_info/30880705/1/0", "42847922MDD3003---Meeting Material-29 Jan 2026 (v1.0)")</f>
        <v>42847922MDD3003---Meeting Material-29 Jan 2026 (v1.0)</v>
      </c>
      <c r="B783" s="3" t="inlineStr">
        <is>
          <t>Third Parties</t>
        </is>
      </c>
      <c r="C783" s="3" t="inlineStr">
        <is>
          <t>General</t>
        </is>
      </c>
      <c r="D783" s="3" t="inlineStr">
        <is>
          <t>Meeting Material</t>
        </is>
      </c>
      <c r="E783" s="3" t="inlineStr">
        <is>
          <t>LabCorp Weekly Meeting ADI Log</t>
        </is>
      </c>
      <c r="F783" s="2" t="str">
        <f>HYPERLINK("https://vtmf.veevavault.com/ui/#doc_info/30880705/1/0", "VTMF-24888264")</f>
        <v>VTMF-24888264</v>
      </c>
      <c r="G783" s="3" t="inlineStr">
        <is>
          <t/>
        </is>
      </c>
      <c r="H783" s="3" t="inlineStr">
        <is>
          <t>System</t>
        </is>
      </c>
      <c r="I783" s="3" t="inlineStr">
        <is>
          <t>Debhora Garcia</t>
        </is>
      </c>
      <c r="J783" s="4" t="n">
        <v>46051.86609953704</v>
      </c>
      <c r="K783" s="5" t="n">
        <v>46051.0</v>
      </c>
      <c r="L783" s="5" t="n">
        <v>46051.0</v>
      </c>
      <c r="M783" s="3" t="inlineStr">
        <is>
          <t>Approved</t>
        </is>
      </c>
      <c r="N783" s="3" t="inlineStr">
        <is>
          <t>Study Close</t>
        </is>
      </c>
      <c r="O783" s="3" t="inlineStr">
        <is>
          <t>42847922MDD3003</t>
        </is>
      </c>
    </row>
    <row r="784">
      <c r="A784" s="2" t="str">
        <f>HYPERLINK("https://vtmf.veevavault.com/ui/#doc_info/30922995/1/0", "42847922MDD3003---Meeting Material-29 Jan 2026 (v1.0)")</f>
        <v>42847922MDD3003---Meeting Material-29 Jan 2026 (v1.0)</v>
      </c>
      <c r="B784" s="3" t="inlineStr">
        <is>
          <t>Third Parties</t>
        </is>
      </c>
      <c r="C784" s="3" t="inlineStr">
        <is>
          <t>General</t>
        </is>
      </c>
      <c r="D784" s="3" t="inlineStr">
        <is>
          <t>Meeting Material</t>
        </is>
      </c>
      <c r="E784" s="3" t="inlineStr">
        <is>
          <t>Sleep Disturbance Trial Interviews- Project Update</t>
        </is>
      </c>
      <c r="F784" s="2" t="str">
        <f>HYPERLINK("https://vtmf.veevavault.com/ui/#doc_info/30922995/1/0", "VTMF-24924150")</f>
        <v>VTMF-24924150</v>
      </c>
      <c r="G784" s="3" t="inlineStr">
        <is>
          <t/>
        </is>
      </c>
      <c r="H784" s="3" t="inlineStr">
        <is>
          <t>System</t>
        </is>
      </c>
      <c r="I784" s="3" t="inlineStr">
        <is>
          <t>Debhora Garcia</t>
        </is>
      </c>
      <c r="J784" s="4" t="n">
        <v>46058.040497685186</v>
      </c>
      <c r="K784" s="5" t="n">
        <v>46057.0</v>
      </c>
      <c r="L784" s="5" t="n">
        <v>46051.0</v>
      </c>
      <c r="M784" s="3" t="inlineStr">
        <is>
          <t>Approved</t>
        </is>
      </c>
      <c r="N784" s="3" t="inlineStr">
        <is>
          <t>Study Close</t>
        </is>
      </c>
      <c r="O784" s="3" t="inlineStr">
        <is>
          <t>42847922MDD3003</t>
        </is>
      </c>
    </row>
    <row r="785">
      <c r="A785" s="2" t="str">
        <f>HYPERLINK("https://vtmf.veevavault.com/ui/#doc_info/26795604/1/0", "42847922MDD3003---Meeting Material-29 Jul 2024 (v1.0)")</f>
        <v>42847922MDD3003---Meeting Material-29 Jul 2024 (v1.0)</v>
      </c>
      <c r="B785" s="3" t="inlineStr">
        <is>
          <t>Third Parties</t>
        </is>
      </c>
      <c r="C785" s="3" t="inlineStr">
        <is>
          <t>General</t>
        </is>
      </c>
      <c r="D785" s="3" t="inlineStr">
        <is>
          <t>Meeting Material</t>
        </is>
      </c>
      <c r="E785" s="3" t="inlineStr">
        <is>
          <t>4G IRT  _Maintenance_Project_Management_Tracker</t>
        </is>
      </c>
      <c r="F785" s="2" t="str">
        <f>HYPERLINK("https://vtmf.veevavault.com/ui/#doc_info/26795604/1/0", "VTMF-21474836")</f>
        <v>VTMF-21474836</v>
      </c>
      <c r="G785" s="3" t="inlineStr">
        <is>
          <t/>
        </is>
      </c>
      <c r="H785" s="3" t="inlineStr">
        <is>
          <t>Anthony Suarez (veeva.com)</t>
        </is>
      </c>
      <c r="I785" s="3" t="inlineStr">
        <is>
          <t>Gina Stefanelli</t>
        </is>
      </c>
      <c r="J785" s="4" t="n">
        <v>45503.61107638889</v>
      </c>
      <c r="K785" s="5" t="n">
        <v>45503.0</v>
      </c>
      <c r="L785" s="5" t="n">
        <v>45502.0</v>
      </c>
      <c r="M785" s="3" t="inlineStr">
        <is>
          <t>Approved</t>
        </is>
      </c>
      <c r="N785" s="3" t="inlineStr">
        <is>
          <t>Study Close</t>
        </is>
      </c>
      <c r="O785" s="3" t="inlineStr">
        <is>
          <t>42847922MDD3003</t>
        </is>
      </c>
    </row>
    <row r="786">
      <c r="A786" s="2" t="str">
        <f>HYPERLINK("https://vtmf.veevavault.com/ui/#doc_info/26798620/1/0", "42847922MDD3003---Meeting Material-29 Jul 2024 (v1.0)")</f>
        <v>42847922MDD3003---Meeting Material-29 Jul 2024 (v1.0)</v>
      </c>
      <c r="B786" s="3" t="inlineStr">
        <is>
          <t>Third Parties</t>
        </is>
      </c>
      <c r="C786" s="3" t="inlineStr">
        <is>
          <t>General</t>
        </is>
      </c>
      <c r="D786" s="3" t="inlineStr">
        <is>
          <t>Meeting Material</t>
        </is>
      </c>
      <c r="E786" s="3" t="inlineStr">
        <is>
          <t>Clario ECG Study Status Meeting Agenda/ Minutes General</t>
        </is>
      </c>
      <c r="F786" s="2" t="str">
        <f>HYPERLINK("https://vtmf.veevavault.com/ui/#doc_info/26798620/1/0", "VTMF-21477351")</f>
        <v>VTMF-21477351</v>
      </c>
      <c r="G786" s="3" t="inlineStr">
        <is>
          <t/>
        </is>
      </c>
      <c r="H786" s="3" t="inlineStr">
        <is>
          <t>Anthony Suarez (veeva.com)</t>
        </is>
      </c>
      <c r="I786" s="3" t="inlineStr">
        <is>
          <t>Debhora Garcia</t>
        </is>
      </c>
      <c r="J786" s="4" t="n">
        <v>45503.928877314815</v>
      </c>
      <c r="K786" s="5" t="n">
        <v>45583.0</v>
      </c>
      <c r="L786" s="5" t="n">
        <v>45502.0</v>
      </c>
      <c r="M786" s="3" t="inlineStr">
        <is>
          <t>Approved</t>
        </is>
      </c>
      <c r="N786" s="3" t="inlineStr">
        <is>
          <t>Study Close</t>
        </is>
      </c>
      <c r="O786" s="3" t="inlineStr">
        <is>
          <t>42847922MDD3003</t>
        </is>
      </c>
    </row>
    <row r="787">
      <c r="A787" s="2" t="str">
        <f>HYPERLINK("https://vtmf.veevavault.com/ui/#doc_info/29703067/1/0", "42847922MDD3003---Meeting Material-29 Jul 2025 (v1.0)")</f>
        <v>42847922MDD3003---Meeting Material-29 Jul 2025 (v1.0)</v>
      </c>
      <c r="B787" s="3" t="inlineStr">
        <is>
          <t>Third Parties</t>
        </is>
      </c>
      <c r="C787" s="3" t="inlineStr">
        <is>
          <t>General</t>
        </is>
      </c>
      <c r="D787" s="3" t="inlineStr">
        <is>
          <t>Meeting Material</t>
        </is>
      </c>
      <c r="E787" s="3" t="inlineStr">
        <is>
          <t>Beacon Weekly Meeting Minutes JULY 2025</t>
        </is>
      </c>
      <c r="F787" s="2" t="str">
        <f>HYPERLINK("https://vtmf.veevavault.com/ui/#doc_info/29703067/1/0", "VTMF-23898690")</f>
        <v>VTMF-23898690</v>
      </c>
      <c r="G787" s="3" t="inlineStr">
        <is>
          <t/>
        </is>
      </c>
      <c r="H787" s="3" t="inlineStr">
        <is>
          <t>System</t>
        </is>
      </c>
      <c r="I787" s="3" t="inlineStr">
        <is>
          <t>Charles Hayes</t>
        </is>
      </c>
      <c r="J787" s="4" t="n">
        <v>45874.59427083333</v>
      </c>
      <c r="K787" s="5" t="n">
        <v>45874.0</v>
      </c>
      <c r="L787" s="5" t="n">
        <v>45867.0</v>
      </c>
      <c r="M787" s="3" t="inlineStr">
        <is>
          <t>Approved</t>
        </is>
      </c>
      <c r="N787" s="3" t="inlineStr">
        <is>
          <t>Study Close</t>
        </is>
      </c>
      <c r="O787" s="3" t="inlineStr">
        <is>
          <t>42847922MDD3003</t>
        </is>
      </c>
    </row>
    <row r="788">
      <c r="A788" s="2" t="str">
        <f>HYPERLINK("https://vtmf.veevavault.com/ui/#doc_info/27359165/1/0", "42847922MDD3003---Meeting Material-29 Oct 2024 (v1.0)")</f>
        <v>42847922MDD3003---Meeting Material-29 Oct 2024 (v1.0)</v>
      </c>
      <c r="B788" s="3" t="inlineStr">
        <is>
          <t>Third Parties</t>
        </is>
      </c>
      <c r="C788" s="3" t="inlineStr">
        <is>
          <t>General</t>
        </is>
      </c>
      <c r="D788" s="3" t="inlineStr">
        <is>
          <t>Meeting Material</t>
        </is>
      </c>
      <c r="E788" s="3" t="inlineStr">
        <is>
          <t>Labcorp Weekly Meeting_ADI log</t>
        </is>
      </c>
      <c r="F788" s="2" t="str">
        <f>HYPERLINK("https://vtmf.veevavault.com/ui/#doc_info/27359165/1/0", "VTMF-21947036")</f>
        <v>VTMF-21947036</v>
      </c>
      <c r="G788" s="3" t="inlineStr">
        <is>
          <t/>
        </is>
      </c>
      <c r="H788" s="3" t="inlineStr">
        <is>
          <t>Anthony Suarez (veeva.com)</t>
        </is>
      </c>
      <c r="I788" s="3" t="inlineStr">
        <is>
          <t>Debhora Garcia</t>
        </is>
      </c>
      <c r="J788" s="4" t="n">
        <v>45594.74140046296</v>
      </c>
      <c r="K788" s="5" t="n">
        <v>45594.0</v>
      </c>
      <c r="L788" s="5" t="n">
        <v>45594.0</v>
      </c>
      <c r="M788" s="3" t="inlineStr">
        <is>
          <t>Approved</t>
        </is>
      </c>
      <c r="N788" s="3" t="inlineStr">
        <is>
          <t>Study Close</t>
        </is>
      </c>
      <c r="O788" s="3" t="inlineStr">
        <is>
          <t>42847922MDD3003</t>
        </is>
      </c>
    </row>
    <row r="789">
      <c r="A789" s="2" t="str">
        <f>HYPERLINK("https://vtmf.veevavault.com/ui/#doc_info/30101396/1/0", "42847922MDD3003---Meeting Material-29 Sep 2025 (v1.0)")</f>
        <v>42847922MDD3003---Meeting Material-29 Sep 2025 (v1.0)</v>
      </c>
      <c r="B789" s="3" t="inlineStr">
        <is>
          <t>Third Parties</t>
        </is>
      </c>
      <c r="C789" s="3" t="inlineStr">
        <is>
          <t>General</t>
        </is>
      </c>
      <c r="D789" s="3" t="inlineStr">
        <is>
          <t>Meeting Material</t>
        </is>
      </c>
      <c r="E789" s="3" t="inlineStr">
        <is>
          <t>MGH CTNI Bi-Weekly Call Minutes</t>
        </is>
      </c>
      <c r="F789" s="2" t="str">
        <f>HYPERLINK("https://vtmf.veevavault.com/ui/#doc_info/30101396/1/0", "VTMF-24230700")</f>
        <v>VTMF-24230700</v>
      </c>
      <c r="G789" s="3" t="inlineStr">
        <is>
          <t/>
        </is>
      </c>
      <c r="H789" s="3" t="inlineStr">
        <is>
          <t>Gina Stefanelli</t>
        </is>
      </c>
      <c r="I789" s="3" t="inlineStr">
        <is>
          <t>Gina Stefanelli</t>
        </is>
      </c>
      <c r="J789" s="4" t="n">
        <v>45936.637604166666</v>
      </c>
      <c r="K789" s="5" t="n">
        <v>45936.0</v>
      </c>
      <c r="L789" s="5" t="n">
        <v>45929.0</v>
      </c>
      <c r="M789" s="3" t="inlineStr">
        <is>
          <t>Approved</t>
        </is>
      </c>
      <c r="N789" s="3" t="inlineStr">
        <is>
          <t>Study Close</t>
        </is>
      </c>
      <c r="O789" s="3" t="inlineStr">
        <is>
          <t>42847922MDD3003</t>
        </is>
      </c>
    </row>
    <row r="790">
      <c r="A790" s="2" t="str">
        <f>HYPERLINK("https://vtmf.veevavault.com/ui/#doc_info/26234599/1/0", "42847922MDD3003---Meeting Material-30 Apr 2024 (v1.0)")</f>
        <v>42847922MDD3003---Meeting Material-30 Apr 2024 (v1.0)</v>
      </c>
      <c r="B790" s="3" t="inlineStr">
        <is>
          <t>Third Parties</t>
        </is>
      </c>
      <c r="C790" s="3" t="inlineStr">
        <is>
          <t>General</t>
        </is>
      </c>
      <c r="D790" s="3" t="inlineStr">
        <is>
          <t>Meeting Material</t>
        </is>
      </c>
      <c r="E790" s="3" t="inlineStr">
        <is>
          <t>LabCorp Weekly Meeting ADI Log</t>
        </is>
      </c>
      <c r="F790" s="2" t="str">
        <f>HYPERLINK("https://vtmf.veevavault.com/ui/#doc_info/26234599/1/0", "VTMF-20984701")</f>
        <v>VTMF-20984701</v>
      </c>
      <c r="G790" s="3" t="inlineStr">
        <is>
          <t/>
        </is>
      </c>
      <c r="H790" s="3" t="inlineStr">
        <is>
          <t>Anthony Suarez (veeva.com)</t>
        </is>
      </c>
      <c r="I790" s="3" t="inlineStr">
        <is>
          <t>Jamie Hardy</t>
        </is>
      </c>
      <c r="J790" s="4" t="n">
        <v>45412.65650462963</v>
      </c>
      <c r="K790" s="5" t="n">
        <v>45412.0</v>
      </c>
      <c r="L790" s="5" t="n">
        <v>45412.0</v>
      </c>
      <c r="M790" s="3" t="inlineStr">
        <is>
          <t>Approved</t>
        </is>
      </c>
      <c r="N790" s="3" t="inlineStr">
        <is>
          <t>Study Close</t>
        </is>
      </c>
      <c r="O790" s="3" t="inlineStr">
        <is>
          <t>42847922MDD3003</t>
        </is>
      </c>
    </row>
    <row r="791">
      <c r="A791" s="2" t="str">
        <f>HYPERLINK("https://vtmf.veevavault.com/ui/#doc_info/31203030/1/0", "42847922MDD3003---Meeting Material-30 Jan 2026 (v1.0)")</f>
        <v>42847922MDD3003---Meeting Material-30 Jan 2026 (v1.0)</v>
      </c>
      <c r="B791" s="3" t="inlineStr">
        <is>
          <t>Third Parties</t>
        </is>
      </c>
      <c r="C791" s="3" t="inlineStr">
        <is>
          <t>General</t>
        </is>
      </c>
      <c r="D791" s="3" t="inlineStr">
        <is>
          <t>Meeting Material</t>
        </is>
      </c>
      <c r="E791" s="3" t="inlineStr">
        <is>
          <t>Cronos_Data Monitoring Reports</t>
        </is>
      </c>
      <c r="F791" s="2" t="str">
        <f>HYPERLINK("https://vtmf.veevavault.com/ui/#doc_info/31203030/1/0", "VTMF-25160301")</f>
        <v>VTMF-25160301</v>
      </c>
      <c r="G791" s="3" t="inlineStr">
        <is>
          <t/>
        </is>
      </c>
      <c r="H791" s="3" t="inlineStr">
        <is>
          <t>System</t>
        </is>
      </c>
      <c r="I791" s="3" t="inlineStr">
        <is>
          <t>Amelie Fauveau</t>
        </is>
      </c>
      <c r="J791" s="4" t="n">
        <v>46099.49947916667</v>
      </c>
      <c r="K791" s="5" t="n">
        <v>46104.0</v>
      </c>
      <c r="L791" s="5" t="n">
        <v>46052.0</v>
      </c>
      <c r="M791" s="3" t="inlineStr">
        <is>
          <t>Approved</t>
        </is>
      </c>
      <c r="N791" s="3" t="inlineStr">
        <is>
          <t>Study Close</t>
        </is>
      </c>
      <c r="O791" s="3" t="inlineStr">
        <is>
          <t>42847922MDD3003</t>
        </is>
      </c>
    </row>
    <row r="792">
      <c r="A792" s="2" t="str">
        <f>HYPERLINK("https://vtmf.veevavault.com/ui/#doc_info/26798623/1/0", "42847922MDD3003---Meeting Material-30 Jul 2024 (v1.0)")</f>
        <v>42847922MDD3003---Meeting Material-30 Jul 2024 (v1.0)</v>
      </c>
      <c r="B792" s="3" t="inlineStr">
        <is>
          <t>Third Parties</t>
        </is>
      </c>
      <c r="C792" s="3" t="inlineStr">
        <is>
          <t>General</t>
        </is>
      </c>
      <c r="D792" s="3" t="inlineStr">
        <is>
          <t>Meeting Material</t>
        </is>
      </c>
      <c r="E792" s="3" t="inlineStr">
        <is>
          <t>LabCorp Weekly Meeting ADI Log</t>
        </is>
      </c>
      <c r="F792" s="2" t="str">
        <f>HYPERLINK("https://vtmf.veevavault.com/ui/#doc_info/26798623/1/0", "VTMF-21477364")</f>
        <v>VTMF-21477364</v>
      </c>
      <c r="G792" s="3" t="inlineStr">
        <is>
          <t/>
        </is>
      </c>
      <c r="H792" s="3" t="inlineStr">
        <is>
          <t>Anthony Suarez (veeva.com)</t>
        </is>
      </c>
      <c r="I792" s="3" t="inlineStr">
        <is>
          <t>Debhora Garcia</t>
        </is>
      </c>
      <c r="J792" s="4" t="n">
        <v>45503.931666666664</v>
      </c>
      <c r="K792" s="5" t="n">
        <v>45583.0</v>
      </c>
      <c r="L792" s="5" t="n">
        <v>45503.0</v>
      </c>
      <c r="M792" s="3" t="inlineStr">
        <is>
          <t>Approved</t>
        </is>
      </c>
      <c r="N792" s="3" t="inlineStr">
        <is>
          <t>Study Close</t>
        </is>
      </c>
      <c r="O792" s="3" t="inlineStr">
        <is>
          <t>42847922MDD3003</t>
        </is>
      </c>
    </row>
    <row r="793">
      <c r="A793" s="2" t="str">
        <f>HYPERLINK("https://vtmf.veevavault.com/ui/#doc_info/29697803/1/0", "42847922MDD3003---Meeting Material-30 Jul 2025 (v1.0)")</f>
        <v>42847922MDD3003---Meeting Material-30 Jul 2025 (v1.0)</v>
      </c>
      <c r="B793" s="3" t="inlineStr">
        <is>
          <t>Third Parties</t>
        </is>
      </c>
      <c r="C793" s="3" t="inlineStr">
        <is>
          <t>General</t>
        </is>
      </c>
      <c r="D793" s="3" t="inlineStr">
        <is>
          <t>Meeting Material</t>
        </is>
      </c>
      <c r="E793" s="3" t="inlineStr">
        <is>
          <t>Beacon Dreem Site Sync July 2025</t>
        </is>
      </c>
      <c r="F793" s="2" t="str">
        <f>HYPERLINK("https://vtmf.veevavault.com/ui/#doc_info/29697803/1/0", "VTMF-23894201")</f>
        <v>VTMF-23894201</v>
      </c>
      <c r="G793" s="3" t="inlineStr">
        <is>
          <t/>
        </is>
      </c>
      <c r="H793" s="3" t="inlineStr">
        <is>
          <t>System</t>
        </is>
      </c>
      <c r="I793" s="3" t="inlineStr">
        <is>
          <t>Charles Hayes</t>
        </is>
      </c>
      <c r="J793" s="4" t="n">
        <v>45873.96288194445</v>
      </c>
      <c r="K793" s="5" t="n">
        <v>45873.0</v>
      </c>
      <c r="L793" s="5" t="n">
        <v>45868.0</v>
      </c>
      <c r="M793" s="3" t="inlineStr">
        <is>
          <t>Approved</t>
        </is>
      </c>
      <c r="N793" s="3" t="inlineStr">
        <is>
          <t>Study Close</t>
        </is>
      </c>
      <c r="O793" s="3" t="inlineStr">
        <is>
          <t>42847922MDD3003</t>
        </is>
      </c>
    </row>
    <row r="794">
      <c r="A794" s="2" t="str">
        <f>HYPERLINK("https://vtmf.veevavault.com/ui/#doc_info/29467901/1/0", "42847922MDD3003---Meeting Material-30 Jun 2025 (v1.0)")</f>
        <v>42847922MDD3003---Meeting Material-30 Jun 2025 (v1.0)</v>
      </c>
      <c r="B794" s="3" t="inlineStr">
        <is>
          <t>Third Parties</t>
        </is>
      </c>
      <c r="C794" s="3" t="inlineStr">
        <is>
          <t>General</t>
        </is>
      </c>
      <c r="D794" s="3" t="inlineStr">
        <is>
          <t>Meeting Material</t>
        </is>
      </c>
      <c r="E794" s="3" t="inlineStr">
        <is>
          <t>4G IRT Maintenance_Project_Management_Tracker</t>
        </is>
      </c>
      <c r="F794" s="2" t="str">
        <f>HYPERLINK("https://vtmf.veevavault.com/ui/#doc_info/29467901/1/0", "VTMF-23698297")</f>
        <v>VTMF-23698297</v>
      </c>
      <c r="G794" s="3" t="inlineStr">
        <is>
          <t/>
        </is>
      </c>
      <c r="H794" s="3" t="inlineStr">
        <is>
          <t>System</t>
        </is>
      </c>
      <c r="I794" s="3" t="inlineStr">
        <is>
          <t>Gina Stefanelli</t>
        </is>
      </c>
      <c r="J794" s="4" t="n">
        <v>45838.7403587963</v>
      </c>
      <c r="K794" s="5" t="n">
        <v>45838.0</v>
      </c>
      <c r="L794" s="5" t="n">
        <v>45838.0</v>
      </c>
      <c r="M794" s="3" t="inlineStr">
        <is>
          <t>Approved</t>
        </is>
      </c>
      <c r="N794" s="3" t="inlineStr">
        <is>
          <t>Study Close</t>
        </is>
      </c>
      <c r="O794" s="3" t="inlineStr">
        <is>
          <t>42847922MDD3003</t>
        </is>
      </c>
    </row>
    <row r="795">
      <c r="A795" s="2" t="str">
        <f>HYPERLINK("https://vtmf.veevavault.com/ui/#doc_info/27170820/1/0", "42847922MDD3003---Meeting Material-30 Sep 2024 (v1.0)")</f>
        <v>42847922MDD3003---Meeting Material-30 Sep 2024 (v1.0)</v>
      </c>
      <c r="B795" s="3" t="inlineStr">
        <is>
          <t>Third Parties</t>
        </is>
      </c>
      <c r="C795" s="3" t="inlineStr">
        <is>
          <t>General</t>
        </is>
      </c>
      <c r="D795" s="3" t="inlineStr">
        <is>
          <t>Meeting Material</t>
        </is>
      </c>
      <c r="E795" s="3" t="inlineStr">
        <is>
          <t>MGH CTNI Bi-Weekly Call Agenda</t>
        </is>
      </c>
      <c r="F795" s="2" t="str">
        <f>HYPERLINK("https://vtmf.veevavault.com/ui/#doc_info/27170820/1/0", "VTMF-21785124")</f>
        <v>VTMF-21785124</v>
      </c>
      <c r="G795" s="3" t="inlineStr">
        <is>
          <t/>
        </is>
      </c>
      <c r="H795" s="3" t="inlineStr">
        <is>
          <t>Anthony Suarez (veeva.com)</t>
        </is>
      </c>
      <c r="I795" s="3" t="inlineStr">
        <is>
          <t>Debhora Garcia</t>
        </is>
      </c>
      <c r="J795" s="4" t="n">
        <v>45566.05950231481</v>
      </c>
      <c r="K795" s="5" t="n">
        <v>45566.0</v>
      </c>
      <c r="L795" s="5" t="n">
        <v>45565.0</v>
      </c>
      <c r="M795" s="3" t="inlineStr">
        <is>
          <t>Approved</t>
        </is>
      </c>
      <c r="N795" s="3" t="inlineStr">
        <is>
          <t>Study Close</t>
        </is>
      </c>
      <c r="O795" s="3" t="inlineStr">
        <is>
          <t>42847922MDD3003</t>
        </is>
      </c>
    </row>
    <row r="796">
      <c r="A796" s="2" t="str">
        <f>HYPERLINK("https://vtmf.veevavault.com/ui/#doc_info/30086405/1/0", "42847922MDD3003---Meeting Material-30 Sep 2025 (v1.0)")</f>
        <v>42847922MDD3003---Meeting Material-30 Sep 2025 (v1.0)</v>
      </c>
      <c r="B796" s="3" t="inlineStr">
        <is>
          <t>Third Parties</t>
        </is>
      </c>
      <c r="C796" s="3" t="inlineStr">
        <is>
          <t>General</t>
        </is>
      </c>
      <c r="D796" s="3" t="inlineStr">
        <is>
          <t>Meeting Material</t>
        </is>
      </c>
      <c r="E796" s="3" t="inlineStr">
        <is>
          <t>Beacon Biosignals Meeting Minutes_SEP 2025</t>
        </is>
      </c>
      <c r="F796" s="2" t="str">
        <f>HYPERLINK("https://vtmf.veevavault.com/ui/#doc_info/30086405/1/0", "VTMF-24217789")</f>
        <v>VTMF-24217789</v>
      </c>
      <c r="G796" s="3" t="inlineStr">
        <is>
          <t/>
        </is>
      </c>
      <c r="H796" s="3" t="inlineStr">
        <is>
          <t>System</t>
        </is>
      </c>
      <c r="I796" s="3" t="inlineStr">
        <is>
          <t>Charles Hayes</t>
        </is>
      </c>
      <c r="J796" s="4" t="n">
        <v>45932.81668981481</v>
      </c>
      <c r="K796" s="5" t="n">
        <v>45932.0</v>
      </c>
      <c r="L796" s="5" t="n">
        <v>45930.0</v>
      </c>
      <c r="M796" s="3" t="inlineStr">
        <is>
          <t>Approved</t>
        </is>
      </c>
      <c r="N796" s="3" t="inlineStr">
        <is>
          <t>Study Close</t>
        </is>
      </c>
      <c r="O796" s="3" t="inlineStr">
        <is>
          <t>42847922MDD3003</t>
        </is>
      </c>
    </row>
    <row r="797">
      <c r="A797" s="2" t="str">
        <f>HYPERLINK("https://vtmf.veevavault.com/ui/#doc_info/30136998/1/0", "42847922MDD3003---Meeting Material-31 Jul 2025 (v1.0)")</f>
        <v>42847922MDD3003---Meeting Material-31 Jul 2025 (v1.0)</v>
      </c>
      <c r="B797" s="3" t="inlineStr">
        <is>
          <t>Third Parties</t>
        </is>
      </c>
      <c r="C797" s="3" t="inlineStr">
        <is>
          <t>General</t>
        </is>
      </c>
      <c r="D797" s="3" t="inlineStr">
        <is>
          <t>Meeting Material</t>
        </is>
      </c>
      <c r="E797" s="3" t="inlineStr">
        <is>
          <t>11162 - JJClarivate - Sleep disturbance in MDD Meeting minutes and actions (31st July 2025)</t>
        </is>
      </c>
      <c r="F797" s="2" t="str">
        <f>HYPERLINK("https://vtmf.veevavault.com/ui/#doc_info/30136998/1/0", "VTMF-24261409")</f>
        <v>VTMF-24261409</v>
      </c>
      <c r="G797" s="3" t="inlineStr">
        <is>
          <t/>
        </is>
      </c>
      <c r="H797" s="3" t="inlineStr">
        <is>
          <t>System</t>
        </is>
      </c>
      <c r="I797" s="3" t="inlineStr">
        <is>
          <t>Debhora Garcia</t>
        </is>
      </c>
      <c r="J797" s="4" t="n">
        <v>45940.887557870374</v>
      </c>
      <c r="K797" s="5" t="n">
        <v>45940.0</v>
      </c>
      <c r="L797" s="5" t="n">
        <v>45869.0</v>
      </c>
      <c r="M797" s="3" t="inlineStr">
        <is>
          <t>Approved</t>
        </is>
      </c>
      <c r="N797" s="3" t="inlineStr">
        <is>
          <t>Study Close</t>
        </is>
      </c>
      <c r="O797" s="3" t="inlineStr">
        <is>
          <t>42847922MDD3003</t>
        </is>
      </c>
    </row>
    <row r="798">
      <c r="A798" s="2" t="str">
        <f>HYPERLINK("https://vtmf.veevavault.com/ui/#doc_info/28824389/1/0", "42847922MDD3003---Meeting Material-31 Mar 2025 (v1.0)")</f>
        <v>42847922MDD3003---Meeting Material-31 Mar 2025 (v1.0)</v>
      </c>
      <c r="B798" s="3" t="inlineStr">
        <is>
          <t>Third Parties</t>
        </is>
      </c>
      <c r="C798" s="3" t="inlineStr">
        <is>
          <t>General</t>
        </is>
      </c>
      <c r="D798" s="3" t="inlineStr">
        <is>
          <t>Meeting Material</t>
        </is>
      </c>
      <c r="E798" s="3" t="inlineStr">
        <is>
          <t>MGH CTNI Bi-Weekly Call Minutes</t>
        </is>
      </c>
      <c r="F798" s="2" t="str">
        <f>HYPERLINK("https://vtmf.veevavault.com/ui/#doc_info/28824389/1/0", "VTMF-23159845")</f>
        <v>VTMF-23159845</v>
      </c>
      <c r="G798" s="3" t="inlineStr">
        <is>
          <t/>
        </is>
      </c>
      <c r="H798" s="3" t="inlineStr">
        <is>
          <t>Anthony Suarez (veeva.com)</t>
        </is>
      </c>
      <c r="I798" s="3" t="inlineStr">
        <is>
          <t>Gina Stefanelli</t>
        </is>
      </c>
      <c r="J798" s="4" t="n">
        <v>45754.598495370374</v>
      </c>
      <c r="K798" s="5" t="n">
        <v>45754.0</v>
      </c>
      <c r="L798" s="5" t="n">
        <v>45747.0</v>
      </c>
      <c r="M798" s="3" t="inlineStr">
        <is>
          <t>Approved</t>
        </is>
      </c>
      <c r="N798" s="3" t="inlineStr">
        <is>
          <t>Study Close</t>
        </is>
      </c>
      <c r="O798" s="3" t="inlineStr">
        <is>
          <t>42847922MDD3003</t>
        </is>
      </c>
    </row>
    <row r="799">
      <c r="A799" s="2" t="str">
        <f>HYPERLINK("https://vtmf.veevavault.com/ui/#doc_info/31332747/1/0", "42847922MDD3003---Meeting Material-31 Mar 2026 (v1.0)")</f>
        <v>42847922MDD3003---Meeting Material-31 Mar 2026 (v1.0)</v>
      </c>
      <c r="B799" s="3" t="inlineStr">
        <is>
          <t>Third Parties</t>
        </is>
      </c>
      <c r="C799" s="3" t="inlineStr">
        <is>
          <t>General</t>
        </is>
      </c>
      <c r="D799" s="3" t="inlineStr">
        <is>
          <t>Meeting Material</t>
        </is>
      </c>
      <c r="E799" s="3" t="inlineStr">
        <is>
          <t>Beacon Biosignals Weekly Meetings_MARCH 2026</t>
        </is>
      </c>
      <c r="F799" s="2" t="str">
        <f>HYPERLINK("https://vtmf.veevavault.com/ui/#doc_info/31332747/1/0", "VTMF-25268824")</f>
        <v>VTMF-25268824</v>
      </c>
      <c r="G799" s="3" t="inlineStr">
        <is>
          <t/>
        </is>
      </c>
      <c r="H799" s="3" t="inlineStr">
        <is>
          <t>System</t>
        </is>
      </c>
      <c r="I799" s="3" t="inlineStr">
        <is>
          <t>Charles Hayes</t>
        </is>
      </c>
      <c r="J799" s="4" t="n">
        <v>46114.882789351854</v>
      </c>
      <c r="K799" s="5" t="n">
        <v>46114.0</v>
      </c>
      <c r="L799" s="5" t="n">
        <v>46112.0</v>
      </c>
      <c r="M799" s="3" t="inlineStr">
        <is>
          <t>Approved</t>
        </is>
      </c>
      <c r="N799" s="3" t="inlineStr">
        <is>
          <t>Study Close</t>
        </is>
      </c>
      <c r="O799" s="3" t="inlineStr">
        <is>
          <t>42847922MDD3003</t>
        </is>
      </c>
    </row>
    <row r="800">
      <c r="A800" s="2" t="str">
        <f>HYPERLINK("https://vtmf.veevavault.com/ui/#doc_info/26657154/1/0", "42847922MDD3003---Meeting Material-31 May 2024 (v1.0)")</f>
        <v>42847922MDD3003---Meeting Material-31 May 2024 (v1.0)</v>
      </c>
      <c r="B800" s="3" t="inlineStr">
        <is>
          <t>Third Parties</t>
        </is>
      </c>
      <c r="C800" s="3" t="inlineStr">
        <is>
          <t>General</t>
        </is>
      </c>
      <c r="D800" s="3" t="inlineStr">
        <is>
          <t>Meeting Material</t>
        </is>
      </c>
      <c r="E800" s="3" t="inlineStr">
        <is>
          <t>Cronos Operations Meeting Minutes Actions Log</t>
        </is>
      </c>
      <c r="F800" s="2" t="str">
        <f>HYPERLINK("https://vtmf.veevavault.com/ui/#doc_info/26657154/1/0", "VTMF-21354918")</f>
        <v>VTMF-21354918</v>
      </c>
      <c r="G800" s="3" t="inlineStr">
        <is>
          <t/>
        </is>
      </c>
      <c r="H800" s="3" t="inlineStr">
        <is>
          <t>Gina Stefanelli</t>
        </is>
      </c>
      <c r="I800" s="3" t="inlineStr">
        <is>
          <t>Kristina Ruzinska</t>
        </is>
      </c>
      <c r="J800" s="4" t="n">
        <v>45478.67449074074</v>
      </c>
      <c r="K800" s="5" t="n">
        <v>45478.0</v>
      </c>
      <c r="L800" s="5" t="n">
        <v>45443.0</v>
      </c>
      <c r="M800" s="3" t="inlineStr">
        <is>
          <t>Approved</t>
        </is>
      </c>
      <c r="N800" s="3" t="inlineStr">
        <is>
          <t>Study Close</t>
        </is>
      </c>
      <c r="O800" s="3" t="inlineStr">
        <is>
          <t>42847922MDD3003</t>
        </is>
      </c>
    </row>
    <row r="801">
      <c r="A801" s="2" t="str">
        <f>HYPERLINK("https://vtmf.veevavault.com/ui/#doc_info/30318088/1/0", "42847922MDD3003---Meeting Material-31 Oct 2025 (v1.0)")</f>
        <v>42847922MDD3003---Meeting Material-31 Oct 2025 (v1.0)</v>
      </c>
      <c r="B801" s="3" t="inlineStr">
        <is>
          <t>Third Parties</t>
        </is>
      </c>
      <c r="C801" s="3" t="inlineStr">
        <is>
          <t>General</t>
        </is>
      </c>
      <c r="D801" s="3" t="inlineStr">
        <is>
          <t>Meeting Material</t>
        </is>
      </c>
      <c r="E801" s="3" t="inlineStr">
        <is>
          <t>Cronos Data Monitoring Reports</t>
        </is>
      </c>
      <c r="F801" s="2" t="str">
        <f>HYPERLINK("https://vtmf.veevavault.com/ui/#doc_info/30318088/1/0", "VTMF-24415393")</f>
        <v>VTMF-24415393</v>
      </c>
      <c r="G801" s="3" t="inlineStr">
        <is>
          <t/>
        </is>
      </c>
      <c r="H801" s="3" t="inlineStr">
        <is>
          <t>Gina Stefanelli</t>
        </is>
      </c>
      <c r="I801" s="3" t="inlineStr">
        <is>
          <t>Gina Stefanelli</t>
        </is>
      </c>
      <c r="J801" s="4" t="n">
        <v>45967.59071759259</v>
      </c>
      <c r="K801" s="5" t="n">
        <v>45967.0</v>
      </c>
      <c r="L801" s="5" t="n">
        <v>45961.0</v>
      </c>
      <c r="M801" s="3" t="inlineStr">
        <is>
          <t>Approved</t>
        </is>
      </c>
      <c r="N801" s="3" t="inlineStr">
        <is>
          <t>Study Close</t>
        </is>
      </c>
      <c r="O801" s="3" t="inlineStr">
        <is>
          <t>42847922MDD3003</t>
        </is>
      </c>
    </row>
    <row r="802">
      <c r="A802" s="2" t="str">
        <f>HYPERLINK("https://vtmf.veevavault.com/ui/#doc_info/26207850/1/0", "42847922MDD3003---Meeting Plan-23 Apr 2024 (v1.0)")</f>
        <v>42847922MDD3003---Meeting Plan-23 Apr 2024 (v1.0)</v>
      </c>
      <c r="B802" s="3" t="inlineStr">
        <is>
          <t>Trial Management</t>
        </is>
      </c>
      <c r="C802" s="3" t="inlineStr">
        <is>
          <t>General</t>
        </is>
      </c>
      <c r="D802" s="3" t="inlineStr">
        <is>
          <t>Meeting Plan</t>
        </is>
      </c>
      <c r="E802" s="3" t="inlineStr">
        <is>
          <t>Meeting Plan v 1.0 23Apr2024</t>
        </is>
      </c>
      <c r="F802" s="2" t="str">
        <f>HYPERLINK("https://vtmf.veevavault.com/ui/#doc_info/26207850/1/0", "VTMF-20961869")</f>
        <v>VTMF-20961869</v>
      </c>
      <c r="G802" s="3" t="inlineStr">
        <is>
          <t/>
        </is>
      </c>
      <c r="H802" s="3" t="inlineStr">
        <is>
          <t>System</t>
        </is>
      </c>
      <c r="I802" s="3" t="inlineStr">
        <is>
          <t>Marija Jovanovic</t>
        </is>
      </c>
      <c r="J802" s="4" t="n">
        <v>45407.71800925926</v>
      </c>
      <c r="K802" s="5" t="n">
        <v>45407.0</v>
      </c>
      <c r="L802" s="5" t="n">
        <v>45405.0</v>
      </c>
      <c r="M802" s="3" t="inlineStr">
        <is>
          <t>Approved</t>
        </is>
      </c>
      <c r="N802" s="3" t="inlineStr">
        <is>
          <t>Study Start</t>
        </is>
      </c>
      <c r="O802" s="3" t="inlineStr">
        <is>
          <t>42847922MDD3003</t>
        </is>
      </c>
    </row>
    <row r="803">
      <c r="A803" s="2" t="str">
        <f>HYPERLINK("https://vtmf.veevavault.com/ui/#doc_info/27312147/1/0", "42847922MDD3003---Message House-16 Oct 2025 (v1.0)")</f>
        <v>42847922MDD3003---Message House-16 Oct 2025 (v1.0)</v>
      </c>
      <c r="B803" s="3" t="inlineStr">
        <is>
          <t>Central Trial Documents</t>
        </is>
      </c>
      <c r="C803" s="3" t="inlineStr">
        <is>
          <t>Subject Documents</t>
        </is>
      </c>
      <c r="D803" s="3" t="inlineStr">
        <is>
          <t>Message House</t>
        </is>
      </c>
      <c r="E803" s="3" t="inlineStr">
        <is>
          <t>Neuropsychiatry - Core Communications Message House_v2.0</t>
        </is>
      </c>
      <c r="F803" s="2" t="str">
        <f>HYPERLINK("https://vtmf.veevavault.com/ui/#doc_info/27312147/1/0", "VTMF-21907460")</f>
        <v>VTMF-21907460</v>
      </c>
      <c r="G803" s="3" t="inlineStr">
        <is>
          <t/>
        </is>
      </c>
      <c r="H803" s="3" t="inlineStr">
        <is>
          <t>System</t>
        </is>
      </c>
      <c r="I803" s="3" t="inlineStr">
        <is>
          <t>Katelyn Long</t>
        </is>
      </c>
      <c r="J803" s="4" t="n">
        <v>45957.66607638889</v>
      </c>
      <c r="K803" s="5" t="n">
        <v>45959.0</v>
      </c>
      <c r="L803" s="5" t="n">
        <v>45946.0</v>
      </c>
      <c r="M803" s="3" t="inlineStr">
        <is>
          <t>Approved</t>
        </is>
      </c>
      <c r="N803" s="3" t="inlineStr">
        <is>
          <t>Study Start</t>
        </is>
      </c>
      <c r="O803" s="3" t="inlineStr">
        <is>
          <t>42847922MDD3003, 42847922MDD3011, 54135419SUI3003, 89495120MDD2001</t>
        </is>
      </c>
    </row>
    <row r="804">
      <c r="A804" s="2" t="str">
        <f>HYPERLINK("https://vtmf.veevavault.com/ui/#doc_info/27388390/1/0", "42847922MDD3003---Monitor Meeting-17 Oct 2024 (v1.0)")</f>
        <v>42847922MDD3003---Monitor Meeting-17 Oct 2024 (v1.0)</v>
      </c>
      <c r="B804" s="3" t="inlineStr">
        <is>
          <t>Trial Management</t>
        </is>
      </c>
      <c r="C804" s="3" t="inlineStr">
        <is>
          <t>Meetings</t>
        </is>
      </c>
      <c r="D804" s="3" t="inlineStr">
        <is>
          <t>Monitor Meeting</t>
        </is>
      </c>
      <c r="E804" s="3" t="inlineStr">
        <is>
          <t>MDD3003_3005_3007_CRONOS CRA Training - FINAL</t>
        </is>
      </c>
      <c r="F804" s="2" t="str">
        <f>HYPERLINK("https://vtmf.veevavault.com/ui/#doc_info/27388390/1/0", "VTMF-21967072")</f>
        <v>VTMF-21967072</v>
      </c>
      <c r="G804" s="3" t="inlineStr">
        <is>
          <t/>
        </is>
      </c>
      <c r="H804" s="3" t="inlineStr">
        <is>
          <t>Anthony Suarez (veeva.com)</t>
        </is>
      </c>
      <c r="I804" s="3" t="inlineStr">
        <is>
          <t>Gina Stefanelli</t>
        </is>
      </c>
      <c r="J804" s="4" t="n">
        <v>45597.736284722225</v>
      </c>
      <c r="K804" s="5" t="n">
        <v>45597.0</v>
      </c>
      <c r="L804" s="5" t="n">
        <v>45582.0</v>
      </c>
      <c r="M804" s="3" t="inlineStr">
        <is>
          <t>Approved</t>
        </is>
      </c>
      <c r="N804" s="3" t="inlineStr">
        <is>
          <t>Study Start</t>
        </is>
      </c>
      <c r="O804" s="3" t="inlineStr">
        <is>
          <t>42847922MDD3003, 67953964MDD3005, 67953964MDD3007</t>
        </is>
      </c>
    </row>
    <row r="805">
      <c r="A805" s="2" t="str">
        <f>HYPERLINK("https://vtmf.veevavault.com/ui/#doc_info/26525074/1/0", "42847922MDD3003---Monitoring Plan-14 Jun 2024 (v1.0)")</f>
        <v>42847922MDD3003---Monitoring Plan-14 Jun 2024 (v1.0)</v>
      </c>
      <c r="B805" s="3" t="inlineStr">
        <is>
          <t>Trial Management</t>
        </is>
      </c>
      <c r="C805" s="3" t="inlineStr">
        <is>
          <t>Trial Oversight</t>
        </is>
      </c>
      <c r="D805" s="3" t="inlineStr">
        <is>
          <t>Monitoring Plan</t>
        </is>
      </c>
      <c r="E805" s="3" t="inlineStr">
        <is>
          <t>Protocol Specific Monitoring Guidelines v. 1.0</t>
        </is>
      </c>
      <c r="F805" s="2" t="str">
        <f>HYPERLINK("https://vtmf.veevavault.com/ui/#doc_info/26525074/1/0", "VTMF-21239677")</f>
        <v>VTMF-21239677</v>
      </c>
      <c r="G805" s="3" t="inlineStr">
        <is>
          <t/>
        </is>
      </c>
      <c r="H805" s="3" t="inlineStr">
        <is>
          <t>Gina Stefanelli</t>
        </is>
      </c>
      <c r="I805" s="3" t="inlineStr">
        <is>
          <t>Arlean Worthy</t>
        </is>
      </c>
      <c r="J805" s="4" t="n">
        <v>45457.678460648145</v>
      </c>
      <c r="K805" s="5" t="n">
        <v>45457.0</v>
      </c>
      <c r="L805" s="5" t="n">
        <v>45457.0</v>
      </c>
      <c r="M805" s="3" t="inlineStr">
        <is>
          <t>Approved</t>
        </is>
      </c>
      <c r="N805" s="3" t="inlineStr">
        <is>
          <t>Study Start</t>
        </is>
      </c>
      <c r="O805" s="3" t="inlineStr">
        <is>
          <t>42847922MDD3003</t>
        </is>
      </c>
    </row>
    <row r="806">
      <c r="A806" s="2" t="str">
        <f>HYPERLINK("https://vtmf.veevavault.com/ui/#doc_info/29414331/1/0", "42847922MDD3003---Monitoring Plan-20 Jun 2025 (v1.0)")</f>
        <v>42847922MDD3003---Monitoring Plan-20 Jun 2025 (v1.0)</v>
      </c>
      <c r="B806" s="3" t="inlineStr">
        <is>
          <t>Trial Management</t>
        </is>
      </c>
      <c r="C806" s="3" t="inlineStr">
        <is>
          <t>Trial Oversight</t>
        </is>
      </c>
      <c r="D806" s="3" t="inlineStr">
        <is>
          <t>Monitoring Plan</t>
        </is>
      </c>
      <c r="E806" s="3" t="inlineStr">
        <is>
          <t>Protocol-Specific Monitoring Guidelines _V.3.0</t>
        </is>
      </c>
      <c r="F806" s="2" t="str">
        <f>HYPERLINK("https://vtmf.veevavault.com/ui/#doc_info/29414331/1/0", "VTMF-23651788")</f>
        <v>VTMF-23651788</v>
      </c>
      <c r="G806" s="3" t="inlineStr">
        <is>
          <t/>
        </is>
      </c>
      <c r="H806" s="3" t="inlineStr">
        <is>
          <t>Gina Stefanelli</t>
        </is>
      </c>
      <c r="I806" s="3" t="inlineStr">
        <is>
          <t>Arlean Worthy</t>
        </is>
      </c>
      <c r="J806" s="4" t="n">
        <v>45828.82295138889</v>
      </c>
      <c r="K806" s="5" t="n">
        <v>45828.0</v>
      </c>
      <c r="L806" s="5" t="n">
        <v>45828.0</v>
      </c>
      <c r="M806" s="3" t="inlineStr">
        <is>
          <t>Approved</t>
        </is>
      </c>
      <c r="N806" s="3" t="inlineStr">
        <is>
          <t>Study Start</t>
        </is>
      </c>
      <c r="O806" s="3" t="inlineStr">
        <is>
          <t>42847922MDD3003</t>
        </is>
      </c>
    </row>
    <row r="807">
      <c r="A807" s="2" t="str">
        <f>HYPERLINK("https://vtmf.veevavault.com/ui/#doc_info/30829232/1/0", "42847922MDD3003---Monitoring Plan-21 Jan 2026 (v1.0)")</f>
        <v>42847922MDD3003---Monitoring Plan-21 Jan 2026 (v1.0)</v>
      </c>
      <c r="B807" s="3" t="inlineStr">
        <is>
          <t>Trial Management</t>
        </is>
      </c>
      <c r="C807" s="3" t="inlineStr">
        <is>
          <t>Trial Oversight</t>
        </is>
      </c>
      <c r="D807" s="3" t="inlineStr">
        <is>
          <t>Monitoring Plan</t>
        </is>
      </c>
      <c r="E807" s="3" t="inlineStr">
        <is>
          <t>Protocol Specific Monitoring Guidelines v. 4.0</t>
        </is>
      </c>
      <c r="F807" s="2" t="str">
        <f>HYPERLINK("https://vtmf.veevavault.com/ui/#doc_info/30829232/1/0", "VTMF-24844235")</f>
        <v>VTMF-24844235</v>
      </c>
      <c r="G807" s="3" t="inlineStr">
        <is>
          <t/>
        </is>
      </c>
      <c r="H807" s="3" t="inlineStr">
        <is>
          <t>Gina Stefanelli</t>
        </is>
      </c>
      <c r="I807" s="3" t="inlineStr">
        <is>
          <t>Gina Stefanelli</t>
        </is>
      </c>
      <c r="J807" s="4" t="n">
        <v>46044.663136574076</v>
      </c>
      <c r="K807" s="5" t="n">
        <v>46044.0</v>
      </c>
      <c r="L807" s="5" t="n">
        <v>46043.0</v>
      </c>
      <c r="M807" s="3" t="inlineStr">
        <is>
          <t>Approved</t>
        </is>
      </c>
      <c r="N807" s="3" t="inlineStr">
        <is>
          <t>Study Start</t>
        </is>
      </c>
      <c r="O807" s="3" t="inlineStr">
        <is>
          <t>42847922MDD3003</t>
        </is>
      </c>
    </row>
    <row r="808">
      <c r="A808" s="2" t="str">
        <f>HYPERLINK("https://vtmf.veevavault.com/ui/#doc_info/31510873/1/0", "42847922MDD3003---Monitoring Plan-22 Apr 2026 (v1.0)")</f>
        <v>42847922MDD3003---Monitoring Plan-22 Apr 2026 (v1.0)</v>
      </c>
      <c r="B808" s="3" t="inlineStr">
        <is>
          <t>Trial Management</t>
        </is>
      </c>
      <c r="C808" s="3" t="inlineStr">
        <is>
          <t>Trial Oversight</t>
        </is>
      </c>
      <c r="D808" s="3" t="inlineStr">
        <is>
          <t>Monitoring Plan</t>
        </is>
      </c>
      <c r="E808" s="3" t="inlineStr">
        <is>
          <t>PSMG TV-FRM-07535_Version 5.0</t>
        </is>
      </c>
      <c r="F808" s="2" t="str">
        <f>HYPERLINK("https://vtmf.veevavault.com/ui/#doc_info/31510873/1/0", "VTMF-25427685")</f>
        <v>VTMF-25427685</v>
      </c>
      <c r="G808" s="3" t="inlineStr">
        <is>
          <t/>
        </is>
      </c>
      <c r="H808" s="3" t="inlineStr">
        <is>
          <t>System</t>
        </is>
      </c>
      <c r="I808" s="3" t="inlineStr">
        <is>
          <t>Debhora Garcia</t>
        </is>
      </c>
      <c r="J808" s="4" t="n">
        <v>46134.879375</v>
      </c>
      <c r="K808" s="5" t="n">
        <v>46135.0</v>
      </c>
      <c r="L808" s="5" t="n">
        <v>46134.0</v>
      </c>
      <c r="M808" s="3" t="inlineStr">
        <is>
          <t>Approved</t>
        </is>
      </c>
      <c r="N808" s="3" t="inlineStr">
        <is>
          <t>Study Start</t>
        </is>
      </c>
      <c r="O808" s="3" t="inlineStr">
        <is>
          <t>42847922MDD3003</t>
        </is>
      </c>
    </row>
    <row r="809">
      <c r="A809" s="2" t="str">
        <f>HYPERLINK("https://vtmf.veevavault.com/ui/#doc_info/27739204/1/0", "42847922MDD3003---Monitoring Plan-25 Nov 2024 (v1.0)")</f>
        <v>42847922MDD3003---Monitoring Plan-25 Nov 2024 (v1.0)</v>
      </c>
      <c r="B809" s="3" t="inlineStr">
        <is>
          <t>Trial Management</t>
        </is>
      </c>
      <c r="C809" s="3" t="inlineStr">
        <is>
          <t>Trial Oversight</t>
        </is>
      </c>
      <c r="D809" s="3" t="inlineStr">
        <is>
          <t>Monitoring Plan</t>
        </is>
      </c>
      <c r="E809" s="3" t="inlineStr">
        <is>
          <t>Protocol Specific Monitoring Guidelines v. 2.0</t>
        </is>
      </c>
      <c r="F809" s="2" t="str">
        <f>HYPERLINK("https://vtmf.veevavault.com/ui/#doc_info/27739204/1/0", "VTMF-22242981")</f>
        <v>VTMF-22242981</v>
      </c>
      <c r="G809" s="3" t="inlineStr">
        <is>
          <t/>
        </is>
      </c>
      <c r="H809" s="3" t="inlineStr">
        <is>
          <t>Gina Stefanelli</t>
        </is>
      </c>
      <c r="I809" s="3" t="inlineStr">
        <is>
          <t>Arlean Worthy</t>
        </is>
      </c>
      <c r="J809" s="4" t="n">
        <v>45621.78618055556</v>
      </c>
      <c r="K809" s="5" t="n">
        <v>45621.0</v>
      </c>
      <c r="L809" s="5" t="n">
        <v>45621.0</v>
      </c>
      <c r="M809" s="3" t="inlineStr">
        <is>
          <t>Approved</t>
        </is>
      </c>
      <c r="N809" s="3" t="inlineStr">
        <is>
          <t>Study Start</t>
        </is>
      </c>
      <c r="O809" s="3" t="inlineStr">
        <is>
          <t>42847922MDD3003</t>
        </is>
      </c>
    </row>
    <row r="810">
      <c r="A810" s="2" t="str">
        <f>HYPERLINK("https://vtmf.veevavault.com/ui/#doc_info/29067939/1/0", "42847922MDD3003---Non-IP Supply Plan-01 May 2025 (v1.0)")</f>
        <v>42847922MDD3003---Non-IP Supply Plan-01 May 2025 (v1.0)</v>
      </c>
      <c r="B810" s="3" t="inlineStr">
        <is>
          <t>IP and Trial Supplies</t>
        </is>
      </c>
      <c r="C810" s="3" t="inlineStr">
        <is>
          <t>Non-IP Documentation</t>
        </is>
      </c>
      <c r="D810" s="3" t="inlineStr">
        <is>
          <t>Non-IP Supply Plan</t>
        </is>
      </c>
      <c r="E810" s="3" t="inlineStr">
        <is>
          <t>Beacon Bio Polysomnography Medical Device Management Plan_V1 ; 01MAY2025</t>
        </is>
      </c>
      <c r="F810" s="2" t="str">
        <f>HYPERLINK("https://vtmf.veevavault.com/ui/#doc_info/29067939/1/0", "VTMF-23356876")</f>
        <v>VTMF-23356876</v>
      </c>
      <c r="G810" s="3" t="inlineStr">
        <is>
          <t/>
        </is>
      </c>
      <c r="H810" s="3" t="inlineStr">
        <is>
          <t>Anthony Suarez (veeva.com)</t>
        </is>
      </c>
      <c r="I810" s="3" t="inlineStr">
        <is>
          <t>Charles Hayes</t>
        </is>
      </c>
      <c r="J810" s="4" t="n">
        <v>45785.5840625</v>
      </c>
      <c r="K810" s="5" t="n">
        <v>45785.0</v>
      </c>
      <c r="L810" s="5" t="n">
        <v>45778.0</v>
      </c>
      <c r="M810" s="3" t="inlineStr">
        <is>
          <t>Approved</t>
        </is>
      </c>
      <c r="N810" s="3" t="inlineStr">
        <is>
          <t>Available for Distribution, CLIX Filing, Not associated to a milestone</t>
        </is>
      </c>
      <c r="O810" s="3" t="inlineStr">
        <is>
          <t>42847922MDD3003</t>
        </is>
      </c>
    </row>
    <row r="811">
      <c r="A811" s="2" t="str">
        <f>HYPERLINK("https://vtmf.veevavault.com/ui/#doc_info/26859147/1/0", "42847922MDD3003---Normal Ranges- (v1.0)")</f>
        <v>42847922MDD3003---Normal Ranges- (v1.0)</v>
      </c>
      <c r="B811" s="3" t="inlineStr">
        <is>
          <t>Centralized Testing</t>
        </is>
      </c>
      <c r="C811" s="3" t="inlineStr">
        <is>
          <t>Facility Documentation</t>
        </is>
      </c>
      <c r="D811" s="3" t="inlineStr">
        <is>
          <t>Normal Ranges</t>
        </is>
      </c>
      <c r="E811" s="3" t="inlineStr">
        <is>
          <t>42847922MDD3003 Ranges and Alerts_Labcorp_LATAM</t>
        </is>
      </c>
      <c r="F811" s="2" t="str">
        <f>HYPERLINK("https://vtmf.veevavault.com/ui/#doc_info/26859147/1/0", "VTMF-21528249")</f>
        <v>VTMF-21528249</v>
      </c>
      <c r="G811" s="3" t="inlineStr">
        <is>
          <t/>
        </is>
      </c>
      <c r="H811" s="3" t="inlineStr">
        <is>
          <t>System</t>
        </is>
      </c>
      <c r="I811" s="3" t="inlineStr">
        <is>
          <t>Debhora Garcia</t>
        </is>
      </c>
      <c r="J811" s="4" t="n">
        <v>45512.969722222224</v>
      </c>
      <c r="K811" s="5" t="n">
        <v>45513.0</v>
      </c>
      <c r="L811" s="5" t="inlineStr">
        <is>
          <t/>
        </is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42847922MDD3003</t>
        </is>
      </c>
    </row>
    <row r="812">
      <c r="A812" s="2" t="str">
        <f>HYPERLINK("https://vtmf.veevavault.com/ui/#doc_info/26859152/1/0", "42847922MDD3003---Normal Ranges- (v1.0)")</f>
        <v>42847922MDD3003---Normal Ranges- (v1.0)</v>
      </c>
      <c r="B812" s="3" t="inlineStr">
        <is>
          <t>Centralized Testing</t>
        </is>
      </c>
      <c r="C812" s="3" t="inlineStr">
        <is>
          <t>Facility Documentation</t>
        </is>
      </c>
      <c r="D812" s="3" t="inlineStr">
        <is>
          <t>Normal Ranges</t>
        </is>
      </c>
      <c r="E812" s="3" t="inlineStr">
        <is>
          <t>42847922MDD3003 Ranges and Alerts_Labcorp_NA</t>
        </is>
      </c>
      <c r="F812" s="2" t="str">
        <f>HYPERLINK("https://vtmf.veevavault.com/ui/#doc_info/26859152/1/0", "VTMF-21528260")</f>
        <v>VTMF-21528260</v>
      </c>
      <c r="G812" s="3" t="inlineStr">
        <is>
          <t/>
        </is>
      </c>
      <c r="H812" s="3" t="inlineStr">
        <is>
          <t>Anthony Suarez (veeva.com)</t>
        </is>
      </c>
      <c r="I812" s="3" t="inlineStr">
        <is>
          <t>Debhora Garcia</t>
        </is>
      </c>
      <c r="J812" s="4" t="n">
        <v>45512.97127314815</v>
      </c>
      <c r="K812" s="5" t="n">
        <v>45513.0</v>
      </c>
      <c r="L812" s="5" t="inlineStr">
        <is>
          <t/>
        </is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42847922MDD3003</t>
        </is>
      </c>
    </row>
    <row r="813">
      <c r="A813" s="2" t="str">
        <f>HYPERLINK("https://vtmf.veevavault.com/ui/#doc_info/26859154/1/0", "42847922MDD3003---Normal Ranges- (v1.0)")</f>
        <v>42847922MDD3003---Normal Ranges- (v1.0)</v>
      </c>
      <c r="B813" s="3" t="inlineStr">
        <is>
          <t>Centralized Testing</t>
        </is>
      </c>
      <c r="C813" s="3" t="inlineStr">
        <is>
          <t>Facility Documentation</t>
        </is>
      </c>
      <c r="D813" s="3" t="inlineStr">
        <is>
          <t>Normal Ranges</t>
        </is>
      </c>
      <c r="E813" s="3" t="inlineStr">
        <is>
          <t>42847922MDD3003 Ranges and Alerts_Labcorp_EMEA</t>
        </is>
      </c>
      <c r="F813" s="2" t="str">
        <f>HYPERLINK("https://vtmf.veevavault.com/ui/#doc_info/26859154/1/0", "VTMF-21528266")</f>
        <v>VTMF-21528266</v>
      </c>
      <c r="G813" s="3" t="inlineStr">
        <is>
          <t/>
        </is>
      </c>
      <c r="H813" s="3" t="inlineStr">
        <is>
          <t>Anthony Suarez (veeva.com)</t>
        </is>
      </c>
      <c r="I813" s="3" t="inlineStr">
        <is>
          <t>Debhora Garcia</t>
        </is>
      </c>
      <c r="J813" s="4" t="n">
        <v>45512.97209490741</v>
      </c>
      <c r="K813" s="5" t="n">
        <v>45513.0</v>
      </c>
      <c r="L813" s="5" t="inlineStr">
        <is>
          <t/>
        </is>
      </c>
      <c r="M813" s="3" t="inlineStr">
        <is>
          <t>Approved</t>
        </is>
      </c>
      <c r="N813" s="3" t="inlineStr">
        <is>
          <t>Available for Distribution, Study Start</t>
        </is>
      </c>
      <c r="O813" s="3" t="inlineStr">
        <is>
          <t>42847922MDD3003</t>
        </is>
      </c>
    </row>
    <row r="814">
      <c r="A814" s="2" t="str">
        <f>HYPERLINK("https://vtmf.veevavault.com/ui/#doc_info/28841598/1/0", "42847922MDD3003---Ongoing Third Party Oversight-02 Apr 2025 (v1.0)")</f>
        <v>42847922MDD3003---Ongoing Third Party Oversight-02 Apr 2025 (v1.0)</v>
      </c>
      <c r="B814" s="3" t="inlineStr">
        <is>
          <t>Third Parties</t>
        </is>
      </c>
      <c r="C814" s="3" t="inlineStr">
        <is>
          <t>Third Party Oversight</t>
        </is>
      </c>
      <c r="D814" s="3" t="inlineStr">
        <is>
          <t>Ongoing Third Party Oversight</t>
        </is>
      </c>
      <c r="E814" s="3" t="inlineStr">
        <is>
          <t>Status Meeting Minutes 02Apr2025</t>
        </is>
      </c>
      <c r="F814" s="2" t="str">
        <f>HYPERLINK("https://vtmf.veevavault.com/ui/#doc_info/28841598/1/0", "VTMF-23174236")</f>
        <v>VTMF-23174236</v>
      </c>
      <c r="G814" s="3" t="inlineStr">
        <is>
          <t/>
        </is>
      </c>
      <c r="H814" s="3" t="inlineStr">
        <is>
          <t>Anthony Suarez (veeva.com)</t>
        </is>
      </c>
      <c r="I814" s="3" t="inlineStr">
        <is>
          <t>Stephanie Bachman</t>
        </is>
      </c>
      <c r="J814" s="4" t="n">
        <v>45756.57859953704</v>
      </c>
      <c r="K814" s="5" t="n">
        <v>45756.0</v>
      </c>
      <c r="L814" s="5" t="n">
        <v>45749.0</v>
      </c>
      <c r="M814" s="3" t="inlineStr">
        <is>
          <t>Approved</t>
        </is>
      </c>
      <c r="N814" s="3" t="inlineStr">
        <is>
          <t/>
        </is>
      </c>
      <c r="O814" s="3" t="inlineStr">
        <is>
          <t>42847922MDD3003</t>
        </is>
      </c>
    </row>
    <row r="815">
      <c r="A815" s="2" t="str">
        <f>HYPERLINK("https://vtmf.veevavault.com/ui/#doc_info/27235537/1/0", "42847922MDD3003---Ongoing Third Party Oversight-02 Oct 2024 (v1.0)")</f>
        <v>42847922MDD3003---Ongoing Third Party Oversight-02 Oct 2024 (v1.0)</v>
      </c>
      <c r="B815" s="3" t="inlineStr">
        <is>
          <t>Third Parties</t>
        </is>
      </c>
      <c r="C815" s="3" t="inlineStr">
        <is>
          <t>Third Party Oversight</t>
        </is>
      </c>
      <c r="D815" s="3" t="inlineStr">
        <is>
          <t>Ongoing Third Party Oversight</t>
        </is>
      </c>
      <c r="E815" s="3" t="inlineStr">
        <is>
          <t>Weekly Status Meeting Minutes</t>
        </is>
      </c>
      <c r="F815" s="2" t="str">
        <f>HYPERLINK("https://vtmf.veevavault.com/ui/#doc_info/27235537/1/0", "VTMF-21841074")</f>
        <v>VTMF-21841074</v>
      </c>
      <c r="G815" s="3" t="inlineStr">
        <is>
          <t/>
        </is>
      </c>
      <c r="H815" s="3" t="inlineStr">
        <is>
          <t>Anthony Suarez (veeva.com)</t>
        </is>
      </c>
      <c r="I815" s="3" t="inlineStr">
        <is>
          <t>Stephanie Bachman</t>
        </is>
      </c>
      <c r="J815" s="4" t="n">
        <v>45575.88706018519</v>
      </c>
      <c r="K815" s="5" t="n">
        <v>45575.0</v>
      </c>
      <c r="L815" s="5" t="n">
        <v>45567.0</v>
      </c>
      <c r="M815" s="3" t="inlineStr">
        <is>
          <t>Approved</t>
        </is>
      </c>
      <c r="N815" s="3" t="inlineStr">
        <is>
          <t/>
        </is>
      </c>
      <c r="O815" s="3" t="inlineStr">
        <is>
          <t>42847922MDD3003</t>
        </is>
      </c>
    </row>
    <row r="816">
      <c r="A816" s="2" t="str">
        <f>HYPERLINK("https://vtmf.veevavault.com/ui/#doc_info/26257571/1/0", "42847922MDD3003---Ongoing Third Party Oversight-03 May 2024 (v1.0)")</f>
        <v>42847922MDD3003---Ongoing Third Party Oversight-03 May 2024 (v1.0)</v>
      </c>
      <c r="B816" s="3" t="inlineStr">
        <is>
          <t>Third Parties</t>
        </is>
      </c>
      <c r="C816" s="3" t="inlineStr">
        <is>
          <t>Third Party Oversight</t>
        </is>
      </c>
      <c r="D816" s="3" t="inlineStr">
        <is>
          <t>Ongoing Third Party Oversight</t>
        </is>
      </c>
      <c r="E816" s="3" t="inlineStr">
        <is>
          <t>42847922MDD3003- Guides, instructions and manuals for scales</t>
        </is>
      </c>
      <c r="F816" s="2" t="str">
        <f>HYPERLINK("https://vtmf.veevavault.com/ui/#doc_info/26257571/1/0", "VTMF-21004352")</f>
        <v>VTMF-21004352</v>
      </c>
      <c r="G816" s="3" t="inlineStr">
        <is>
          <t/>
        </is>
      </c>
      <c r="H816" s="3" t="inlineStr">
        <is>
          <t>Anthony Suarez (veeva.com)</t>
        </is>
      </c>
      <c r="I816" s="3" t="inlineStr">
        <is>
          <t>Hina Rauf</t>
        </is>
      </c>
      <c r="J816" s="4" t="n">
        <v>45415.66875</v>
      </c>
      <c r="K816" s="5" t="n">
        <v>45415.0</v>
      </c>
      <c r="L816" s="5" t="n">
        <v>45415.0</v>
      </c>
      <c r="M816" s="3" t="inlineStr">
        <is>
          <t>Approved</t>
        </is>
      </c>
      <c r="N816" s="3" t="inlineStr">
        <is>
          <t/>
        </is>
      </c>
      <c r="O816" s="3" t="inlineStr">
        <is>
          <t>42847922MDD3003</t>
        </is>
      </c>
    </row>
    <row r="817">
      <c r="A817" s="2" t="str">
        <f>HYPERLINK("https://vtmf.veevavault.com/ui/#doc_info/27804894/1/0", "42847922MDD3003---Ongoing Third Party Oversight-04 Dec 2024 (v1.0)")</f>
        <v>42847922MDD3003---Ongoing Third Party Oversight-04 Dec 2024 (v1.0)</v>
      </c>
      <c r="B817" s="3" t="inlineStr">
        <is>
          <t>Third Parties</t>
        </is>
      </c>
      <c r="C817" s="3" t="inlineStr">
        <is>
          <t>Third Party Oversight</t>
        </is>
      </c>
      <c r="D817" s="3" t="inlineStr">
        <is>
          <t>Ongoing Third Party Oversight</t>
        </is>
      </c>
      <c r="E817" s="3" t="inlineStr">
        <is>
          <t>Status Meeting Minutes 04Dec2024</t>
        </is>
      </c>
      <c r="F817" s="2" t="str">
        <f>HYPERLINK("https://vtmf.veevavault.com/ui/#doc_info/27804894/1/0", "VTMF-22293786")</f>
        <v>VTMF-22293786</v>
      </c>
      <c r="G817" s="3" t="inlineStr">
        <is>
          <t/>
        </is>
      </c>
      <c r="H817" s="3" t="inlineStr">
        <is>
          <t>Anthony Suarez (veeva.com)</t>
        </is>
      </c>
      <c r="I817" s="3" t="inlineStr">
        <is>
          <t>Stephanie Bachman</t>
        </is>
      </c>
      <c r="J817" s="4" t="n">
        <v>45631.08431712963</v>
      </c>
      <c r="K817" s="5" t="n">
        <v>45631.0</v>
      </c>
      <c r="L817" s="5" t="n">
        <v>45630.0</v>
      </c>
      <c r="M817" s="3" t="inlineStr">
        <is>
          <t>Approved</t>
        </is>
      </c>
      <c r="N817" s="3" t="inlineStr">
        <is>
          <t/>
        </is>
      </c>
      <c r="O817" s="3" t="inlineStr">
        <is>
          <t>42847922MDD3003</t>
        </is>
      </c>
    </row>
    <row r="818">
      <c r="A818" s="2" t="str">
        <f>HYPERLINK("https://vtmf.veevavault.com/ui/#doc_info/28245245/1/0", "42847922MDD3003---Ongoing Third Party Oversight-05 Feb 2025 (v1.0)")</f>
        <v>42847922MDD3003---Ongoing Third Party Oversight-05 Feb 2025 (v1.0)</v>
      </c>
      <c r="B818" s="3" t="inlineStr">
        <is>
          <t>Third Parties</t>
        </is>
      </c>
      <c r="C818" s="3" t="inlineStr">
        <is>
          <t>Third Party Oversight</t>
        </is>
      </c>
      <c r="D818" s="3" t="inlineStr">
        <is>
          <t>Ongoing Third Party Oversight</t>
        </is>
      </c>
      <c r="E818" s="3" t="inlineStr">
        <is>
          <t>Status Meeting Minutes 05Feb2025</t>
        </is>
      </c>
      <c r="F818" s="2" t="str">
        <f>HYPERLINK("https://vtmf.veevavault.com/ui/#doc_info/28245245/1/0", "VTMF-22655099")</f>
        <v>VTMF-22655099</v>
      </c>
      <c r="G818" s="3" t="inlineStr">
        <is>
          <t/>
        </is>
      </c>
      <c r="H818" s="3" t="inlineStr">
        <is>
          <t>Anthony Suarez (veeva.com)</t>
        </is>
      </c>
      <c r="I818" s="3" t="inlineStr">
        <is>
          <t>Stephanie Bachman</t>
        </is>
      </c>
      <c r="J818" s="4" t="n">
        <v>45694.76372685185</v>
      </c>
      <c r="K818" s="5" t="n">
        <v>45694.0</v>
      </c>
      <c r="L818" s="5" t="n">
        <v>45693.0</v>
      </c>
      <c r="M818" s="3" t="inlineStr">
        <is>
          <t>Approved</t>
        </is>
      </c>
      <c r="N818" s="3" t="inlineStr">
        <is>
          <t/>
        </is>
      </c>
      <c r="O818" s="3" t="inlineStr">
        <is>
          <t>42847922MDD3003</t>
        </is>
      </c>
    </row>
    <row r="819">
      <c r="A819" s="2" t="str">
        <f>HYPERLINK("https://vtmf.veevavault.com/ui/#doc_info/25851836/1/0", "42847922MDD3003---Ongoing Third Party Oversight-05 Mar 2024 (v1.0)")</f>
        <v>42847922MDD3003---Ongoing Third Party Oversight-05 Mar 2024 (v1.0)</v>
      </c>
      <c r="B819" s="3" t="inlineStr">
        <is>
          <t>Third Parties</t>
        </is>
      </c>
      <c r="C819" s="3" t="inlineStr">
        <is>
          <t>Third Party Oversight</t>
        </is>
      </c>
      <c r="D819" s="3" t="inlineStr">
        <is>
          <t>Ongoing Third Party Oversight</t>
        </is>
      </c>
      <c r="E819" s="3" t="inlineStr">
        <is>
          <t>42847922MDD3003 ICON Status reports February 2024</t>
        </is>
      </c>
      <c r="F819" s="2" t="str">
        <f>HYPERLINK("https://vtmf.veevavault.com/ui/#doc_info/25851836/1/0", "VTMF-20648592")</f>
        <v>VTMF-20648592</v>
      </c>
      <c r="G819" s="3" t="inlineStr">
        <is>
          <t/>
        </is>
      </c>
      <c r="H819" s="3" t="inlineStr">
        <is>
          <t>Anthony Suarez (veeva.com)</t>
        </is>
      </c>
      <c r="I819" s="3" t="inlineStr">
        <is>
          <t>Hina Rauf</t>
        </is>
      </c>
      <c r="J819" s="4" t="n">
        <v>45356.57976851852</v>
      </c>
      <c r="K819" s="5" t="n">
        <v>45356.0</v>
      </c>
      <c r="L819" s="5" t="n">
        <v>45356.0</v>
      </c>
      <c r="M819" s="3" t="inlineStr">
        <is>
          <t>Approved</t>
        </is>
      </c>
      <c r="N819" s="3" t="inlineStr">
        <is>
          <t/>
        </is>
      </c>
      <c r="O819" s="3" t="inlineStr">
        <is>
          <t>42847922MDD3003</t>
        </is>
      </c>
    </row>
    <row r="820">
      <c r="A820" s="2" t="str">
        <f>HYPERLINK("https://vtmf.veevavault.com/ui/#doc_info/28653328/1/0", "42847922MDD3003---Ongoing Third Party Oversight-05 Mar 2025 (v1.0)")</f>
        <v>42847922MDD3003---Ongoing Third Party Oversight-05 Mar 2025 (v1.0)</v>
      </c>
      <c r="B820" s="3" t="inlineStr">
        <is>
          <t>Third Parties</t>
        </is>
      </c>
      <c r="C820" s="3" t="inlineStr">
        <is>
          <t>Third Party Oversight</t>
        </is>
      </c>
      <c r="D820" s="3" t="inlineStr">
        <is>
          <t>Ongoing Third Party Oversight</t>
        </is>
      </c>
      <c r="E820" s="3" t="inlineStr">
        <is>
          <t>Status Meeting Minutes</t>
        </is>
      </c>
      <c r="F820" s="2" t="str">
        <f>HYPERLINK("https://vtmf.veevavault.com/ui/#doc_info/28653328/1/0", "VTMF-23016344")</f>
        <v>VTMF-23016344</v>
      </c>
      <c r="G820" s="3" t="inlineStr">
        <is>
          <t/>
        </is>
      </c>
      <c r="H820" s="3" t="inlineStr">
        <is>
          <t>Anthony Suarez (veeva.com)</t>
        </is>
      </c>
      <c r="I820" s="3" t="inlineStr">
        <is>
          <t>Stephanie Bachman</t>
        </is>
      </c>
      <c r="J820" s="4" t="n">
        <v>45728.71450231481</v>
      </c>
      <c r="K820" s="5" t="n">
        <v>45728.0</v>
      </c>
      <c r="L820" s="5" t="n">
        <v>45721.0</v>
      </c>
      <c r="M820" s="3" t="inlineStr">
        <is>
          <t>Approved</t>
        </is>
      </c>
      <c r="N820" s="3" t="inlineStr">
        <is>
          <t/>
        </is>
      </c>
      <c r="O820" s="3" t="inlineStr">
        <is>
          <t>42847922MDD3003</t>
        </is>
      </c>
    </row>
    <row r="821">
      <c r="A821" s="2" t="str">
        <f>HYPERLINK("https://vtmf.veevavault.com/ui/#doc_info/25892178/1/0", "42847922MDD3003---Ongoing Third Party Oversight-06 Mar 2024 (v1.0)")</f>
        <v>42847922MDD3003---Ongoing Third Party Oversight-06 Mar 2024 (v1.0)</v>
      </c>
      <c r="B821" s="3" t="inlineStr">
        <is>
          <t>Third Parties</t>
        </is>
      </c>
      <c r="C821" s="3" t="inlineStr">
        <is>
          <t>Third Party Oversight</t>
        </is>
      </c>
      <c r="D821" s="3" t="inlineStr">
        <is>
          <t>Ongoing Third Party Oversight</t>
        </is>
      </c>
      <c r="E821" s="3" t="inlineStr">
        <is>
          <t>Weekly Status Meeting Minutes 06Mar2024</t>
        </is>
      </c>
      <c r="F821" s="2" t="str">
        <f>HYPERLINK("https://vtmf.veevavault.com/ui/#doc_info/25892178/1/0", "VTMF-20684284")</f>
        <v>VTMF-20684284</v>
      </c>
      <c r="G821" s="3" t="inlineStr">
        <is>
          <t/>
        </is>
      </c>
      <c r="H821" s="3" t="inlineStr">
        <is>
          <t>Anthony Suarez (veeva.com)</t>
        </is>
      </c>
      <c r="I821" s="3" t="inlineStr">
        <is>
          <t>Stephanie Bachman</t>
        </is>
      </c>
      <c r="J821" s="4" t="n">
        <v>45362.577048611114</v>
      </c>
      <c r="K821" s="5" t="n">
        <v>45362.0</v>
      </c>
      <c r="L821" s="5" t="n">
        <v>45357.0</v>
      </c>
      <c r="M821" s="3" t="inlineStr">
        <is>
          <t>Approved</t>
        </is>
      </c>
      <c r="N821" s="3" t="inlineStr">
        <is>
          <t/>
        </is>
      </c>
      <c r="O821" s="3" t="inlineStr">
        <is>
          <t>42847922MDD3003</t>
        </is>
      </c>
    </row>
    <row r="822">
      <c r="A822" s="2" t="str">
        <f>HYPERLINK("https://vtmf.veevavault.com/ui/#doc_info/25709736/2/0", "42847922MDD3003---Ongoing Third Party Oversight-07 Feb 2024 (v2.0)")</f>
        <v>42847922MDD3003---Ongoing Third Party Oversight-07 Feb 2024 (v2.0)</v>
      </c>
      <c r="B822" s="3" t="inlineStr">
        <is>
          <t>Third Parties</t>
        </is>
      </c>
      <c r="C822" s="3" t="inlineStr">
        <is>
          <t>Third Party Oversight</t>
        </is>
      </c>
      <c r="D822" s="3" t="inlineStr">
        <is>
          <t>Ongoing Third Party Oversight</t>
        </is>
      </c>
      <c r="E822" s="3" t="inlineStr">
        <is>
          <t>Weekly Status Meeting Minutes_07Feb2024</t>
        </is>
      </c>
      <c r="F822" s="2" t="str">
        <f>HYPERLINK("https://vtmf.veevavault.com/ui/#doc_info/25709736/2/0", "VTMF-20523849")</f>
        <v>VTMF-20523849</v>
      </c>
      <c r="G822" s="3" t="inlineStr">
        <is>
          <t/>
        </is>
      </c>
      <c r="H822" s="3" t="inlineStr">
        <is>
          <t>System</t>
        </is>
      </c>
      <c r="I822" s="3" t="inlineStr">
        <is>
          <t>Stephanie Bachman</t>
        </is>
      </c>
      <c r="J822" s="4" t="n">
        <v>46099.569872685184</v>
      </c>
      <c r="K822" s="5" t="n">
        <v>46150.0</v>
      </c>
      <c r="L822" s="5" t="n">
        <v>45329.0</v>
      </c>
      <c r="M822" s="3" t="inlineStr">
        <is>
          <t>Approved</t>
        </is>
      </c>
      <c r="N822" s="3" t="inlineStr">
        <is>
          <t/>
        </is>
      </c>
      <c r="O822" s="3" t="inlineStr">
        <is>
          <t>42847922MDD3003</t>
        </is>
      </c>
    </row>
    <row r="823">
      <c r="A823" s="2" t="str">
        <f>HYPERLINK("https://vtmf.veevavault.com/ui/#doc_info/31203479/1/0", "42847922MDD3003---Ongoing Third Party Oversight-07 Feb 2024 (v1.0)")</f>
        <v>42847922MDD3003---Ongoing Third Party Oversight-07 Feb 2024 (v1.0)</v>
      </c>
      <c r="B823" s="3" t="inlineStr">
        <is>
          <t>Third Parties</t>
        </is>
      </c>
      <c r="C823" s="3" t="inlineStr">
        <is>
          <t>Third Party Oversight</t>
        </is>
      </c>
      <c r="D823" s="3" t="inlineStr">
        <is>
          <t>Ongoing Third Party Oversight</t>
        </is>
      </c>
      <c r="E823" s="3" t="inlineStr">
        <is>
          <t>Kick Of Meeting Minutes 07Feb2024</t>
        </is>
      </c>
      <c r="F823" s="2" t="str">
        <f>HYPERLINK("https://vtmf.veevavault.com/ui/#doc_info/31203479/1/0", "VTMF-25160721")</f>
        <v>VTMF-25160721</v>
      </c>
      <c r="G823" s="3" t="inlineStr">
        <is>
          <t/>
        </is>
      </c>
      <c r="H823" s="3" t="inlineStr">
        <is>
          <t>System</t>
        </is>
      </c>
      <c r="I823" s="3" t="inlineStr">
        <is>
          <t>Stephanie Bachman</t>
        </is>
      </c>
      <c r="J823" s="4" t="n">
        <v>46099.55519675926</v>
      </c>
      <c r="K823" s="5" t="n">
        <v>46150.0</v>
      </c>
      <c r="L823" s="5" t="n">
        <v>45329.0</v>
      </c>
      <c r="M823" s="3" t="inlineStr">
        <is>
          <t>Approved</t>
        </is>
      </c>
      <c r="N823" s="3" t="inlineStr">
        <is>
          <t/>
        </is>
      </c>
      <c r="O823" s="3" t="inlineStr">
        <is>
          <t>42847922MDD3003</t>
        </is>
      </c>
    </row>
    <row r="824">
      <c r="A824" s="2" t="str">
        <f>HYPERLINK("https://vtmf.veevavault.com/ui/#doc_info/28049257/1/0", "42847922MDD3003---Ongoing Third Party Oversight-08 Jan 2025 (v1.0)")</f>
        <v>42847922MDD3003---Ongoing Third Party Oversight-08 Jan 2025 (v1.0)</v>
      </c>
      <c r="B824" s="3" t="inlineStr">
        <is>
          <t>Third Parties</t>
        </is>
      </c>
      <c r="C824" s="3" t="inlineStr">
        <is>
          <t>Third Party Oversight</t>
        </is>
      </c>
      <c r="D824" s="3" t="inlineStr">
        <is>
          <t>Ongoing Third Party Oversight</t>
        </is>
      </c>
      <c r="E824" s="3" t="inlineStr">
        <is>
          <t>Status Meeting Minutes 08Jan2025</t>
        </is>
      </c>
      <c r="F824" s="2" t="str">
        <f>HYPERLINK("https://vtmf.veevavault.com/ui/#doc_info/28049257/1/0", "VTMF-22492981")</f>
        <v>VTMF-22492981</v>
      </c>
      <c r="G824" s="3" t="inlineStr">
        <is>
          <t/>
        </is>
      </c>
      <c r="H824" s="3" t="inlineStr">
        <is>
          <t>Anthony Suarez (veeva.com)</t>
        </is>
      </c>
      <c r="I824" s="3" t="inlineStr">
        <is>
          <t>Stephanie Bachman</t>
        </is>
      </c>
      <c r="J824" s="4" t="n">
        <v>45666.743842592594</v>
      </c>
      <c r="K824" s="5" t="n">
        <v>45666.0</v>
      </c>
      <c r="L824" s="5" t="n">
        <v>45665.0</v>
      </c>
      <c r="M824" s="3" t="inlineStr">
        <is>
          <t>Approved</t>
        </is>
      </c>
      <c r="N824" s="3" t="inlineStr">
        <is>
          <t/>
        </is>
      </c>
      <c r="O824" s="3" t="inlineStr">
        <is>
          <t>42847922MDD3003</t>
        </is>
      </c>
    </row>
    <row r="825">
      <c r="A825" s="2" t="str">
        <f>HYPERLINK("https://vtmf.veevavault.com/ui/#doc_info/26298061/1/0", "42847922MDD3003---Ongoing Third Party Oversight-08 May 2024 (v1.0)")</f>
        <v>42847922MDD3003---Ongoing Third Party Oversight-08 May 2024 (v1.0)</v>
      </c>
      <c r="B825" s="3" t="inlineStr">
        <is>
          <t>Third Parties</t>
        </is>
      </c>
      <c r="C825" s="3" t="inlineStr">
        <is>
          <t>Third Party Oversight</t>
        </is>
      </c>
      <c r="D825" s="3" t="inlineStr">
        <is>
          <t>Ongoing Third Party Oversight</t>
        </is>
      </c>
      <c r="E825" s="3" t="inlineStr">
        <is>
          <t>Weekly Status Meeting Minutes_08May2024</t>
        </is>
      </c>
      <c r="F825" s="2" t="str">
        <f>HYPERLINK("https://vtmf.veevavault.com/ui/#doc_info/26298061/1/0", "VTMF-21040129")</f>
        <v>VTMF-21040129</v>
      </c>
      <c r="G825" s="3" t="inlineStr">
        <is>
          <t/>
        </is>
      </c>
      <c r="H825" s="3" t="inlineStr">
        <is>
          <t>Anthony Suarez (veeva.com)</t>
        </is>
      </c>
      <c r="I825" s="3" t="inlineStr">
        <is>
          <t>Stephanie Bachman</t>
        </is>
      </c>
      <c r="J825" s="4" t="n">
        <v>45421.92269675926</v>
      </c>
      <c r="K825" s="5" t="n">
        <v>45421.0</v>
      </c>
      <c r="L825" s="5" t="n">
        <v>45420.0</v>
      </c>
      <c r="M825" s="3" t="inlineStr">
        <is>
          <t>Approved</t>
        </is>
      </c>
      <c r="N825" s="3" t="inlineStr">
        <is>
          <t/>
        </is>
      </c>
      <c r="O825" s="3" t="inlineStr">
        <is>
          <t>42847922MDD3003</t>
        </is>
      </c>
    </row>
    <row r="826">
      <c r="A826" s="2" t="str">
        <f>HYPERLINK("https://vtmf.veevavault.com/ui/#doc_info/26685475/1/0", "42847922MDD3003---Ongoing Third Party Oversight-10 Jul 2024 (v1.0)")</f>
        <v>42847922MDD3003---Ongoing Third Party Oversight-10 Jul 2024 (v1.0)</v>
      </c>
      <c r="B826" s="3" t="inlineStr">
        <is>
          <t>Third Parties</t>
        </is>
      </c>
      <c r="C826" s="3" t="inlineStr">
        <is>
          <t>Third Party Oversight</t>
        </is>
      </c>
      <c r="D826" s="3" t="inlineStr">
        <is>
          <t>Ongoing Third Party Oversight</t>
        </is>
      </c>
      <c r="E826" s="3" t="inlineStr">
        <is>
          <t>Status Meeting Minutes 10Jul2024</t>
        </is>
      </c>
      <c r="F826" s="2" t="str">
        <f>HYPERLINK("https://vtmf.veevavault.com/ui/#doc_info/26685475/1/0", "VTMF-21379921")</f>
        <v>VTMF-21379921</v>
      </c>
      <c r="G826" s="3" t="inlineStr">
        <is>
          <t/>
        </is>
      </c>
      <c r="H826" s="3" t="inlineStr">
        <is>
          <t>Anthony Suarez (veeva.com)</t>
        </is>
      </c>
      <c r="I826" s="3" t="inlineStr">
        <is>
          <t>Stephanie Bachman</t>
        </is>
      </c>
      <c r="J826" s="4" t="n">
        <v>45483.88607638889</v>
      </c>
      <c r="K826" s="5" t="n">
        <v>45483.0</v>
      </c>
      <c r="L826" s="5" t="n">
        <v>45483.0</v>
      </c>
      <c r="M826" s="3" t="inlineStr">
        <is>
          <t>Approved</t>
        </is>
      </c>
      <c r="N826" s="3" t="inlineStr">
        <is>
          <t/>
        </is>
      </c>
      <c r="O826" s="3" t="inlineStr">
        <is>
          <t>42847922MDD3003</t>
        </is>
      </c>
    </row>
    <row r="827">
      <c r="A827" s="2" t="str">
        <f>HYPERLINK("https://vtmf.veevavault.com/ui/#doc_info/29936348/1/0", "42847922MDD3003---Ongoing Third Party Oversight-10 Sep 2025 (v1.0)")</f>
        <v>42847922MDD3003---Ongoing Third Party Oversight-10 Sep 2025 (v1.0)</v>
      </c>
      <c r="B827" s="3" t="inlineStr">
        <is>
          <t>Third Parties</t>
        </is>
      </c>
      <c r="C827" s="3" t="inlineStr">
        <is>
          <t>Third Party Oversight</t>
        </is>
      </c>
      <c r="D827" s="3" t="inlineStr">
        <is>
          <t>Ongoing Third Party Oversight</t>
        </is>
      </c>
      <c r="E827" s="3" t="inlineStr">
        <is>
          <t>42847922MDD3003 Oversight Plan 2025</t>
        </is>
      </c>
      <c r="F827" s="2" t="str">
        <f>HYPERLINK("https://vtmf.veevavault.com/ui/#doc_info/29936348/1/0", "VTMF-24098646")</f>
        <v>VTMF-24098646</v>
      </c>
      <c r="G827" s="3" t="inlineStr">
        <is>
          <t/>
        </is>
      </c>
      <c r="H827" s="3" t="inlineStr">
        <is>
          <t>System</t>
        </is>
      </c>
      <c r="I827" s="3" t="inlineStr">
        <is>
          <t>Paul Brandt</t>
        </is>
      </c>
      <c r="J827" s="4" t="n">
        <v>45911.7316087963</v>
      </c>
      <c r="K827" s="5" t="n">
        <v>45911.0</v>
      </c>
      <c r="L827" s="5" t="n">
        <v>45910.0</v>
      </c>
      <c r="M827" s="3" t="inlineStr">
        <is>
          <t>Approved</t>
        </is>
      </c>
      <c r="N827" s="3" t="inlineStr">
        <is>
          <t/>
        </is>
      </c>
      <c r="O827" s="3" t="inlineStr">
        <is>
          <t>42847922MDD3003</t>
        </is>
      </c>
    </row>
    <row r="828">
      <c r="A828" s="2" t="str">
        <f>HYPERLINK("https://vtmf.veevavault.com/ui/#doc_info/29936352/1/0", "42847922MDD3003---Ongoing Third Party Oversight-10 Sep 2025 (v1.0)")</f>
        <v>42847922MDD3003---Ongoing Third Party Oversight-10 Sep 2025 (v1.0)</v>
      </c>
      <c r="B828" s="3" t="inlineStr">
        <is>
          <t>Third Parties</t>
        </is>
      </c>
      <c r="C828" s="3" t="inlineStr">
        <is>
          <t>Third Party Oversight</t>
        </is>
      </c>
      <c r="D828" s="3" t="inlineStr">
        <is>
          <t>Ongoing Third Party Oversight</t>
        </is>
      </c>
      <c r="E828" s="3" t="inlineStr">
        <is>
          <t>42847922MDD3003 Change Release History 2025 - Oversight Plan</t>
        </is>
      </c>
      <c r="F828" s="2" t="str">
        <f>HYPERLINK("https://vtmf.veevavault.com/ui/#doc_info/29936352/1/0", "VTMF-24098661")</f>
        <v>VTMF-24098661</v>
      </c>
      <c r="G828" s="3" t="inlineStr">
        <is>
          <t/>
        </is>
      </c>
      <c r="H828" s="3" t="inlineStr">
        <is>
          <t>System</t>
        </is>
      </c>
      <c r="I828" s="3" t="inlineStr">
        <is>
          <t>Paul Brandt</t>
        </is>
      </c>
      <c r="J828" s="4" t="n">
        <v>45911.73449074074</v>
      </c>
      <c r="K828" s="5" t="n">
        <v>45911.0</v>
      </c>
      <c r="L828" s="5" t="n">
        <v>45910.0</v>
      </c>
      <c r="M828" s="3" t="inlineStr">
        <is>
          <t>Approved</t>
        </is>
      </c>
      <c r="N828" s="3" t="inlineStr">
        <is>
          <t/>
        </is>
      </c>
      <c r="O828" s="3" t="inlineStr">
        <is>
          <t>42847922MDD3003</t>
        </is>
      </c>
    </row>
    <row r="829">
      <c r="A829" s="2" t="str">
        <f>HYPERLINK("https://vtmf.veevavault.com/ui/#doc_info/27865731/1/0", "42847922MDD3003---Ongoing Third Party Oversight-11 Dec 2024 (v1.0)")</f>
        <v>42847922MDD3003---Ongoing Third Party Oversight-11 Dec 2024 (v1.0)</v>
      </c>
      <c r="B829" s="3" t="inlineStr">
        <is>
          <t>Third Parties</t>
        </is>
      </c>
      <c r="C829" s="3" t="inlineStr">
        <is>
          <t>Third Party Oversight</t>
        </is>
      </c>
      <c r="D829" s="3" t="inlineStr">
        <is>
          <t>Ongoing Third Party Oversight</t>
        </is>
      </c>
      <c r="E829" s="3" t="inlineStr">
        <is>
          <t>Status Meeting Minutes 11Dec2024</t>
        </is>
      </c>
      <c r="F829" s="2" t="str">
        <f>HYPERLINK("https://vtmf.veevavault.com/ui/#doc_info/27865731/1/0", "VTMF-22346045")</f>
        <v>VTMF-22346045</v>
      </c>
      <c r="G829" s="3" t="inlineStr">
        <is>
          <t/>
        </is>
      </c>
      <c r="H829" s="3" t="inlineStr">
        <is>
          <t>Anthony Suarez (veeva.com)</t>
        </is>
      </c>
      <c r="I829" s="3" t="inlineStr">
        <is>
          <t>Stephanie Bachman</t>
        </is>
      </c>
      <c r="J829" s="4" t="n">
        <v>45638.5887037037</v>
      </c>
      <c r="K829" s="5" t="n">
        <v>45638.0</v>
      </c>
      <c r="L829" s="5" t="n">
        <v>45637.0</v>
      </c>
      <c r="M829" s="3" t="inlineStr">
        <is>
          <t>Approved</t>
        </is>
      </c>
      <c r="N829" s="3" t="inlineStr">
        <is>
          <t/>
        </is>
      </c>
      <c r="O829" s="3" t="inlineStr">
        <is>
          <t>42847922MDD3003</t>
        </is>
      </c>
    </row>
    <row r="830">
      <c r="A830" s="2" t="str">
        <f>HYPERLINK("https://vtmf.veevavault.com/ui/#doc_info/27064524/1/0", "42847922MDD3003---Ongoing Third Party Oversight-11 Sep 2024 (v1.0)")</f>
        <v>42847922MDD3003---Ongoing Third Party Oversight-11 Sep 2024 (v1.0)</v>
      </c>
      <c r="B830" s="3" t="inlineStr">
        <is>
          <t>Third Parties</t>
        </is>
      </c>
      <c r="C830" s="3" t="inlineStr">
        <is>
          <t>Third Party Oversight</t>
        </is>
      </c>
      <c r="D830" s="3" t="inlineStr">
        <is>
          <t>Ongoing Third Party Oversight</t>
        </is>
      </c>
      <c r="E830" s="3" t="inlineStr">
        <is>
          <t>Weekly Status Meeting Minutes 11Sep2024</t>
        </is>
      </c>
      <c r="F830" s="2" t="str">
        <f>HYPERLINK("https://vtmf.veevavault.com/ui/#doc_info/27064524/1/0", "VTMF-21694137")</f>
        <v>VTMF-21694137</v>
      </c>
      <c r="G830" s="3" t="inlineStr">
        <is>
          <t/>
        </is>
      </c>
      <c r="H830" s="3" t="inlineStr">
        <is>
          <t>Anthony Suarez (veeva.com)</t>
        </is>
      </c>
      <c r="I830" s="3" t="inlineStr">
        <is>
          <t>Stephanie Bachman</t>
        </is>
      </c>
      <c r="J830" s="4" t="n">
        <v>45547.561203703706</v>
      </c>
      <c r="K830" s="5" t="n">
        <v>45547.0</v>
      </c>
      <c r="L830" s="5" t="n">
        <v>45546.0</v>
      </c>
      <c r="M830" s="3" t="inlineStr">
        <is>
          <t>Approved</t>
        </is>
      </c>
      <c r="N830" s="3" t="inlineStr">
        <is>
          <t/>
        </is>
      </c>
      <c r="O830" s="3" t="inlineStr">
        <is>
          <t>42847922MDD3003</t>
        </is>
      </c>
    </row>
    <row r="831">
      <c r="A831" s="2" t="str">
        <f>HYPERLINK("https://vtmf.veevavault.com/ui/#doc_info/28285044/1/0", "42847922MDD3003---Ongoing Third Party Oversight-12 Feb 2025 (v1.0)")</f>
        <v>42847922MDD3003---Ongoing Third Party Oversight-12 Feb 2025 (v1.0)</v>
      </c>
      <c r="B831" s="3" t="inlineStr">
        <is>
          <t>Third Parties</t>
        </is>
      </c>
      <c r="C831" s="3" t="inlineStr">
        <is>
          <t>Third Party Oversight</t>
        </is>
      </c>
      <c r="D831" s="3" t="inlineStr">
        <is>
          <t>Ongoing Third Party Oversight</t>
        </is>
      </c>
      <c r="E831" s="3" t="inlineStr">
        <is>
          <t>Status Meeting Minutes 12Feb2025</t>
        </is>
      </c>
      <c r="F831" s="2" t="str">
        <f>HYPERLINK("https://vtmf.veevavault.com/ui/#doc_info/28285044/1/0", "VTMF-22689798")</f>
        <v>VTMF-22689798</v>
      </c>
      <c r="G831" s="3" t="inlineStr">
        <is>
          <t/>
        </is>
      </c>
      <c r="H831" s="3" t="inlineStr">
        <is>
          <t>Anthony Suarez (veeva.com)</t>
        </is>
      </c>
      <c r="I831" s="3" t="inlineStr">
        <is>
          <t>Stephanie Bachman</t>
        </is>
      </c>
      <c r="J831" s="4" t="n">
        <v>45700.867685185185</v>
      </c>
      <c r="K831" s="5" t="n">
        <v>45700.0</v>
      </c>
      <c r="L831" s="5" t="n">
        <v>45700.0</v>
      </c>
      <c r="M831" s="3" t="inlineStr">
        <is>
          <t>Approved</t>
        </is>
      </c>
      <c r="N831" s="3" t="inlineStr">
        <is>
          <t/>
        </is>
      </c>
      <c r="O831" s="3" t="inlineStr">
        <is>
          <t>42847922MDD3003</t>
        </is>
      </c>
    </row>
    <row r="832">
      <c r="A832" s="2" t="str">
        <f>HYPERLINK("https://vtmf.veevavault.com/ui/#doc_info/26510881/1/0", "42847922MDD3003---Ongoing Third Party Oversight-12 Jun 2024 (v1.0)")</f>
        <v>42847922MDD3003---Ongoing Third Party Oversight-12 Jun 2024 (v1.0)</v>
      </c>
      <c r="B832" s="3" t="inlineStr">
        <is>
          <t>Third Parties</t>
        </is>
      </c>
      <c r="C832" s="3" t="inlineStr">
        <is>
          <t>Third Party Oversight</t>
        </is>
      </c>
      <c r="D832" s="3" t="inlineStr">
        <is>
          <t>Ongoing Third Party Oversight</t>
        </is>
      </c>
      <c r="E832" s="3" t="inlineStr">
        <is>
          <t>Weekly Status Meeting Minutes 12Jun2024</t>
        </is>
      </c>
      <c r="F832" s="2" t="str">
        <f>HYPERLINK("https://vtmf.veevavault.com/ui/#doc_info/26510881/1/0", "VTMF-21227327")</f>
        <v>VTMF-21227327</v>
      </c>
      <c r="G832" s="3" t="inlineStr">
        <is>
          <t/>
        </is>
      </c>
      <c r="H832" s="3" t="inlineStr">
        <is>
          <t>Anthony Suarez (veeva.com)</t>
        </is>
      </c>
      <c r="I832" s="3" t="inlineStr">
        <is>
          <t>Stephanie Bachman</t>
        </is>
      </c>
      <c r="J832" s="4" t="n">
        <v>45455.92212962963</v>
      </c>
      <c r="K832" s="5" t="n">
        <v>45455.0</v>
      </c>
      <c r="L832" s="5" t="n">
        <v>45455.0</v>
      </c>
      <c r="M832" s="3" t="inlineStr">
        <is>
          <t>Approved</t>
        </is>
      </c>
      <c r="N832" s="3" t="inlineStr">
        <is>
          <t/>
        </is>
      </c>
      <c r="O832" s="3" t="inlineStr">
        <is>
          <t>42847922MDD3003</t>
        </is>
      </c>
    </row>
    <row r="833">
      <c r="A833" s="2" t="str">
        <f>HYPERLINK("https://vtmf.veevavault.com/ui/#doc_info/25905338/1/0", "42847922MDD3003---Ongoing Third Party Oversight-12 Mar 2024 (v1.0)")</f>
        <v>42847922MDD3003---Ongoing Third Party Oversight-12 Mar 2024 (v1.0)</v>
      </c>
      <c r="B833" s="3" t="inlineStr">
        <is>
          <t>Third Parties</t>
        </is>
      </c>
      <c r="C833" s="3" t="inlineStr">
        <is>
          <t>Third Party Oversight</t>
        </is>
      </c>
      <c r="D833" s="3" t="inlineStr">
        <is>
          <t>Ongoing Third Party Oversight</t>
        </is>
      </c>
      <c r="E833" s="3" t="inlineStr">
        <is>
          <t>42847922MDD3003 Source Documents (CSD/CSD Instructions)</t>
        </is>
      </c>
      <c r="F833" s="2" t="str">
        <f>HYPERLINK("https://vtmf.veevavault.com/ui/#doc_info/25905338/1/0", "VTMF-20696007")</f>
        <v>VTMF-20696007</v>
      </c>
      <c r="G833" s="3" t="inlineStr">
        <is>
          <t/>
        </is>
      </c>
      <c r="H833" s="3" t="inlineStr">
        <is>
          <t>Anthony Suarez (veeva.com)</t>
        </is>
      </c>
      <c r="I833" s="3" t="inlineStr">
        <is>
          <t>Stephanie Bachman</t>
        </is>
      </c>
      <c r="J833" s="4" t="n">
        <v>45363.92633101852</v>
      </c>
      <c r="K833" s="5" t="n">
        <v>45364.0</v>
      </c>
      <c r="L833" s="5" t="n">
        <v>45363.0</v>
      </c>
      <c r="M833" s="3" t="inlineStr">
        <is>
          <t>Approved</t>
        </is>
      </c>
      <c r="N833" s="3" t="inlineStr">
        <is>
          <t/>
        </is>
      </c>
      <c r="O833" s="3" t="inlineStr">
        <is>
          <t>42847922MDD3003</t>
        </is>
      </c>
    </row>
    <row r="834">
      <c r="A834" s="2" t="str">
        <f>HYPERLINK("https://vtmf.veevavault.com/ui/#doc_info/28704706/1/0", "42847922MDD3003---Ongoing Third Party Oversight-12 Mar 2025 (v1.0)")</f>
        <v>42847922MDD3003---Ongoing Third Party Oversight-12 Mar 2025 (v1.0)</v>
      </c>
      <c r="B834" s="3" t="inlineStr">
        <is>
          <t>Third Parties</t>
        </is>
      </c>
      <c r="C834" s="3" t="inlineStr">
        <is>
          <t>Third Party Oversight</t>
        </is>
      </c>
      <c r="D834" s="3" t="inlineStr">
        <is>
          <t>Ongoing Third Party Oversight</t>
        </is>
      </c>
      <c r="E834" s="3" t="inlineStr">
        <is>
          <t>Status Meeting Minutes 12Mar2025</t>
        </is>
      </c>
      <c r="F834" s="2" t="str">
        <f>HYPERLINK("https://vtmf.veevavault.com/ui/#doc_info/28704706/1/0", "VTMF-23058952")</f>
        <v>VTMF-23058952</v>
      </c>
      <c r="G834" s="3" t="inlineStr">
        <is>
          <t/>
        </is>
      </c>
      <c r="H834" s="3" t="inlineStr">
        <is>
          <t>Anthony Suarez (veeva.com)</t>
        </is>
      </c>
      <c r="I834" s="3" t="inlineStr">
        <is>
          <t>Stephanie Bachman</t>
        </is>
      </c>
      <c r="J834" s="4" t="n">
        <v>45736.00497685185</v>
      </c>
      <c r="K834" s="5" t="n">
        <v>45736.0</v>
      </c>
      <c r="L834" s="5" t="n">
        <v>45728.0</v>
      </c>
      <c r="M834" s="3" t="inlineStr">
        <is>
          <t>Approved</t>
        </is>
      </c>
      <c r="N834" s="3" t="inlineStr">
        <is>
          <t/>
        </is>
      </c>
      <c r="O834" s="3" t="inlineStr">
        <is>
          <t>42847922MDD3003</t>
        </is>
      </c>
    </row>
    <row r="835">
      <c r="A835" s="2" t="str">
        <f>HYPERLINK("https://vtmf.veevavault.com/ui/#doc_info/30525832/1/0", "42847922MDD3003---Ongoing Third Party Oversight-12 Nov 2025 (v1.0)")</f>
        <v>42847922MDD3003---Ongoing Third Party Oversight-12 Nov 2025 (v1.0)</v>
      </c>
      <c r="B835" s="3" t="inlineStr">
        <is>
          <t>Third Parties</t>
        </is>
      </c>
      <c r="C835" s="3" t="inlineStr">
        <is>
          <t>Third Party Oversight</t>
        </is>
      </c>
      <c r="D835" s="3" t="inlineStr">
        <is>
          <t>Ongoing Third Party Oversight</t>
        </is>
      </c>
      <c r="E835" s="3" t="inlineStr">
        <is>
          <t>Clario eCOA Study Log</t>
        </is>
      </c>
      <c r="F835" s="2" t="str">
        <f>HYPERLINK("https://vtmf.veevavault.com/ui/#doc_info/30525832/1/0", "VTMF-24592589")</f>
        <v>VTMF-24592589</v>
      </c>
      <c r="G835" s="3" t="inlineStr">
        <is>
          <t/>
        </is>
      </c>
      <c r="H835" s="3" t="inlineStr">
        <is>
          <t>System</t>
        </is>
      </c>
      <c r="I835" s="3" t="inlineStr">
        <is>
          <t>Charles Hayes</t>
        </is>
      </c>
      <c r="J835" s="4" t="n">
        <v>45994.61295138889</v>
      </c>
      <c r="K835" s="5" t="n">
        <v>45994.0</v>
      </c>
      <c r="L835" s="5" t="n">
        <v>45973.0</v>
      </c>
      <c r="M835" s="3" t="inlineStr">
        <is>
          <t>Approved</t>
        </is>
      </c>
      <c r="N835" s="3" t="inlineStr">
        <is>
          <t/>
        </is>
      </c>
      <c r="O835" s="3" t="inlineStr">
        <is>
          <t>42847922MDD3003</t>
        </is>
      </c>
    </row>
    <row r="836">
      <c r="A836" s="2" t="str">
        <f>HYPERLINK("https://vtmf.veevavault.com/ui/#doc_info/25722825/1/0", "42847922MDD3003---Ongoing Third Party Oversight-13 Feb 2024 (v1.0)")</f>
        <v>42847922MDD3003---Ongoing Third Party Oversight-13 Feb 2024 (v1.0)</v>
      </c>
      <c r="B836" s="3" t="inlineStr">
        <is>
          <t>Third Parties</t>
        </is>
      </c>
      <c r="C836" s="3" t="inlineStr">
        <is>
          <t>Third Party Oversight</t>
        </is>
      </c>
      <c r="D836" s="3" t="inlineStr">
        <is>
          <t>Ongoing Third Party Oversight</t>
        </is>
      </c>
      <c r="E836" s="3" t="inlineStr">
        <is>
          <t>42847922MDD3003 ICON Status reports Jan2024</t>
        </is>
      </c>
      <c r="F836" s="2" t="str">
        <f>HYPERLINK("https://vtmf.veevavault.com/ui/#doc_info/25722825/1/0", "VTMF-20535383")</f>
        <v>VTMF-20535383</v>
      </c>
      <c r="G836" s="3" t="inlineStr">
        <is>
          <t/>
        </is>
      </c>
      <c r="H836" s="3" t="inlineStr">
        <is>
          <t>Anthony Suarez (veeva.com)</t>
        </is>
      </c>
      <c r="I836" s="3" t="inlineStr">
        <is>
          <t>Hina Rauf</t>
        </is>
      </c>
      <c r="J836" s="4" t="n">
        <v>45337.46969907408</v>
      </c>
      <c r="K836" s="5" t="n">
        <v>45337.0</v>
      </c>
      <c r="L836" s="5" t="n">
        <v>45335.0</v>
      </c>
      <c r="M836" s="3" t="inlineStr">
        <is>
          <t>Approved</t>
        </is>
      </c>
      <c r="N836" s="3" t="inlineStr">
        <is>
          <t/>
        </is>
      </c>
      <c r="O836" s="3" t="inlineStr">
        <is>
          <t>42847922MDD3003</t>
        </is>
      </c>
    </row>
    <row r="837">
      <c r="A837" s="2" t="str">
        <f>HYPERLINK("https://vtmf.veevavault.com/ui/#doc_info/25924133/1/0", "42847922MDD3003---Ongoing Third Party Oversight-13 Mar 2024 (v1.0)")</f>
        <v>42847922MDD3003---Ongoing Third Party Oversight-13 Mar 2024 (v1.0)</v>
      </c>
      <c r="B837" s="3" t="inlineStr">
        <is>
          <t>Third Parties</t>
        </is>
      </c>
      <c r="C837" s="3" t="inlineStr">
        <is>
          <t>Third Party Oversight</t>
        </is>
      </c>
      <c r="D837" s="3" t="inlineStr">
        <is>
          <t>Ongoing Third Party Oversight</t>
        </is>
      </c>
      <c r="E837" s="3" t="inlineStr">
        <is>
          <t>Weekly Status Meeting Minutes 13Mar2024</t>
        </is>
      </c>
      <c r="F837" s="2" t="str">
        <f>HYPERLINK("https://vtmf.veevavault.com/ui/#doc_info/25924133/1/0", "VTMF-20712508")</f>
        <v>VTMF-20712508</v>
      </c>
      <c r="G837" s="3" t="inlineStr">
        <is>
          <t/>
        </is>
      </c>
      <c r="H837" s="3" t="inlineStr">
        <is>
          <t>Anthony Suarez (veeva.com)</t>
        </is>
      </c>
      <c r="I837" s="3" t="inlineStr">
        <is>
          <t>Stephanie Bachman</t>
        </is>
      </c>
      <c r="J837" s="4" t="n">
        <v>45365.79189814815</v>
      </c>
      <c r="K837" s="5" t="n">
        <v>45365.0</v>
      </c>
      <c r="L837" s="5" t="n">
        <v>45364.0</v>
      </c>
      <c r="M837" s="3" t="inlineStr">
        <is>
          <t>Approved</t>
        </is>
      </c>
      <c r="N837" s="3" t="inlineStr">
        <is>
          <t/>
        </is>
      </c>
      <c r="O837" s="3" t="inlineStr">
        <is>
          <t>42847922MDD3003</t>
        </is>
      </c>
    </row>
    <row r="838">
      <c r="A838" s="2" t="str">
        <f>HYPERLINK("https://vtmf.veevavault.com/ui/#doc_info/30559178/1/0", "42847922MDD3003---Ongoing Third Party Oversight-14 Aug 2025 (v1.0)")</f>
        <v>42847922MDD3003---Ongoing Third Party Oversight-14 Aug 2025 (v1.0)</v>
      </c>
      <c r="B838" s="3" t="inlineStr">
        <is>
          <t>Third Parties</t>
        </is>
      </c>
      <c r="C838" s="3" t="inlineStr">
        <is>
          <t>Third Party Oversight</t>
        </is>
      </c>
      <c r="D838" s="3" t="inlineStr">
        <is>
          <t>Ongoing Third Party Oversight</t>
        </is>
      </c>
      <c r="E838" s="3" t="inlineStr">
        <is>
          <t>ECG_Clario Quality Event Report DEV-07848_14Aug2025</t>
        </is>
      </c>
      <c r="F838" s="2" t="str">
        <f>HYPERLINK("https://vtmf.veevavault.com/ui/#doc_info/30559178/1/0", "VTMF-24621105")</f>
        <v>VTMF-24621105</v>
      </c>
      <c r="G838" s="3" t="inlineStr">
        <is>
          <t/>
        </is>
      </c>
      <c r="H838" s="3" t="inlineStr">
        <is>
          <t>Anthony Suarez (veeva.com)</t>
        </is>
      </c>
      <c r="I838" s="3" t="inlineStr">
        <is>
          <t>Lee Walesyn</t>
        </is>
      </c>
      <c r="J838" s="4" t="n">
        <v>45999.80829861111</v>
      </c>
      <c r="K838" s="5" t="n">
        <v>45999.0</v>
      </c>
      <c r="L838" s="5" t="n">
        <v>45883.0</v>
      </c>
      <c r="M838" s="3" t="inlineStr">
        <is>
          <t>Approved</t>
        </is>
      </c>
      <c r="N838" s="3" t="inlineStr">
        <is>
          <t/>
        </is>
      </c>
      <c r="O838" s="3" t="inlineStr">
        <is>
          <t>42847922MDD3003, 67953964MDD3005, 67953964MDD3007, 89495120MDD2001</t>
        </is>
      </c>
    </row>
    <row r="839">
      <c r="A839" s="2" t="str">
        <f>HYPERLINK("https://vtmf.veevavault.com/ui/#doc_info/25751392/1/0", "42847922MDD3003---Ongoing Third Party Oversight-14 Feb 2024 (v1.0)")</f>
        <v>42847922MDD3003---Ongoing Third Party Oversight-14 Feb 2024 (v1.0)</v>
      </c>
      <c r="B839" s="3" t="inlineStr">
        <is>
          <t>Third Parties</t>
        </is>
      </c>
      <c r="C839" s="3" t="inlineStr">
        <is>
          <t>Third Party Oversight</t>
        </is>
      </c>
      <c r="D839" s="3" t="inlineStr">
        <is>
          <t>Ongoing Third Party Oversight</t>
        </is>
      </c>
      <c r="E839" s="3" t="inlineStr">
        <is>
          <t>Weekly Status Meeting Minutes_14Feb2024</t>
        </is>
      </c>
      <c r="F839" s="2" t="str">
        <f>HYPERLINK("https://vtmf.veevavault.com/ui/#doc_info/25751392/1/0", "VTMF-20560224")</f>
        <v>VTMF-20560224</v>
      </c>
      <c r="G839" s="3" t="inlineStr">
        <is>
          <t/>
        </is>
      </c>
      <c r="H839" s="3" t="inlineStr">
        <is>
          <t>Anthony Suarez (veeva.com)</t>
        </is>
      </c>
      <c r="I839" s="3" t="inlineStr">
        <is>
          <t>Stephanie Bachman</t>
        </is>
      </c>
      <c r="J839" s="4" t="n">
        <v>45342.70358796296</v>
      </c>
      <c r="K839" s="5" t="n">
        <v>45342.0</v>
      </c>
      <c r="L839" s="5" t="n">
        <v>45336.0</v>
      </c>
      <c r="M839" s="3" t="inlineStr">
        <is>
          <t>Approved</t>
        </is>
      </c>
      <c r="N839" s="3" t="inlineStr">
        <is>
          <t/>
        </is>
      </c>
      <c r="O839" s="3" t="inlineStr">
        <is>
          <t>42847922MDD3003</t>
        </is>
      </c>
    </row>
    <row r="840">
      <c r="A840" s="2" t="str">
        <f>HYPERLINK("https://vtmf.veevavault.com/ui/#doc_info/31637865/1/0", "42847922MDD3003---Ongoing Third Party Oversight-15 Apr 2026 (v1.0)")</f>
        <v>42847922MDD3003---Ongoing Third Party Oversight-15 Apr 2026 (v1.0)</v>
      </c>
      <c r="B840" s="3" t="inlineStr">
        <is>
          <t>Third Parties</t>
        </is>
      </c>
      <c r="C840" s="3" t="inlineStr">
        <is>
          <t>Third Party Oversight</t>
        </is>
      </c>
      <c r="D840" s="3" t="inlineStr">
        <is>
          <t>Ongoing Third Party Oversight</t>
        </is>
      </c>
      <c r="E840" s="3" t="inlineStr">
        <is>
          <t>Clario eCOA Meeting Study Logs_APR2026</t>
        </is>
      </c>
      <c r="F840" s="2" t="str">
        <f>HYPERLINK("https://vtmf.veevavault.com/ui/#doc_info/31637865/1/0", "VTMF-25533751")</f>
        <v>VTMF-25533751</v>
      </c>
      <c r="G840" s="3" t="inlineStr">
        <is>
          <t/>
        </is>
      </c>
      <c r="H840" s="3" t="inlineStr">
        <is>
          <t>System</t>
        </is>
      </c>
      <c r="I840" s="3" t="inlineStr">
        <is>
          <t>Charles Hayes</t>
        </is>
      </c>
      <c r="J840" s="4" t="n">
        <v>46154.67549768519</v>
      </c>
      <c r="K840" s="5" t="n">
        <v>46154.0</v>
      </c>
      <c r="L840" s="5" t="n">
        <v>46127.0</v>
      </c>
      <c r="M840" s="3" t="inlineStr">
        <is>
          <t>Approved</t>
        </is>
      </c>
      <c r="N840" s="3" t="inlineStr">
        <is>
          <t/>
        </is>
      </c>
      <c r="O840" s="3" t="inlineStr">
        <is>
          <t>42847922MDD3003</t>
        </is>
      </c>
    </row>
    <row r="841">
      <c r="A841" s="2" t="str">
        <f>HYPERLINK("https://vtmf.veevavault.com/ui/#doc_info/28152584/1/0", "42847922MDD3003---Ongoing Third Party Oversight-15 Jan 2025 (v1.0)")</f>
        <v>42847922MDD3003---Ongoing Third Party Oversight-15 Jan 2025 (v1.0)</v>
      </c>
      <c r="B841" s="3" t="inlineStr">
        <is>
          <t>Third Parties</t>
        </is>
      </c>
      <c r="C841" s="3" t="inlineStr">
        <is>
          <t>Third Party Oversight</t>
        </is>
      </c>
      <c r="D841" s="3" t="inlineStr">
        <is>
          <t>Ongoing Third Party Oversight</t>
        </is>
      </c>
      <c r="E841" s="3" t="inlineStr">
        <is>
          <t>Status Meeting Minutes 15Jan2025</t>
        </is>
      </c>
      <c r="F841" s="2" t="str">
        <f>HYPERLINK("https://vtmf.veevavault.com/ui/#doc_info/28152584/1/0", "VTMF-22579228")</f>
        <v>VTMF-22579228</v>
      </c>
      <c r="G841" s="3" t="inlineStr">
        <is>
          <t/>
        </is>
      </c>
      <c r="H841" s="3" t="inlineStr">
        <is>
          <t>Anthony Suarez (veeva.com)</t>
        </is>
      </c>
      <c r="I841" s="3" t="inlineStr">
        <is>
          <t>Stephanie Bachman</t>
        </is>
      </c>
      <c r="J841" s="4" t="n">
        <v>45681.86670138889</v>
      </c>
      <c r="K841" s="5" t="n">
        <v>45681.0</v>
      </c>
      <c r="L841" s="5" t="n">
        <v>45672.0</v>
      </c>
      <c r="M841" s="3" t="inlineStr">
        <is>
          <t>Approved</t>
        </is>
      </c>
      <c r="N841" s="3" t="inlineStr">
        <is>
          <t/>
        </is>
      </c>
      <c r="O841" s="3" t="inlineStr">
        <is>
          <t>42847922MDD3003</t>
        </is>
      </c>
    </row>
    <row r="842">
      <c r="A842" s="2" t="str">
        <f>HYPERLINK("https://vtmf.veevavault.com/ui/#doc_info/26337240/1/0", "42847922MDD3003---Ongoing Third Party Oversight-16 May 2024 (v1.0)")</f>
        <v>42847922MDD3003---Ongoing Third Party Oversight-16 May 2024 (v1.0)</v>
      </c>
      <c r="B842" s="3" t="inlineStr">
        <is>
          <t>Third Parties</t>
        </is>
      </c>
      <c r="C842" s="3" t="inlineStr">
        <is>
          <t>Third Party Oversight</t>
        </is>
      </c>
      <c r="D842" s="3" t="inlineStr">
        <is>
          <t>Ongoing Third Party Oversight</t>
        </is>
      </c>
      <c r="E842" s="3" t="inlineStr">
        <is>
          <t>42847922MDD3003 - ICON status reports April 2024</t>
        </is>
      </c>
      <c r="F842" s="2" t="str">
        <f>HYPERLINK("https://vtmf.veevavault.com/ui/#doc_info/26337240/1/0", "VTMF-21074485")</f>
        <v>VTMF-21074485</v>
      </c>
      <c r="G842" s="3" t="inlineStr">
        <is>
          <t/>
        </is>
      </c>
      <c r="H842" s="3" t="inlineStr">
        <is>
          <t>Anthony Suarez (veeva.com)</t>
        </is>
      </c>
      <c r="I842" s="3" t="inlineStr">
        <is>
          <t>Hina Rauf</t>
        </is>
      </c>
      <c r="J842" s="4" t="n">
        <v>45428.532789351855</v>
      </c>
      <c r="K842" s="5" t="n">
        <v>45428.0</v>
      </c>
      <c r="L842" s="5" t="n">
        <v>45428.0</v>
      </c>
      <c r="M842" s="3" t="inlineStr">
        <is>
          <t>Approved</t>
        </is>
      </c>
      <c r="N842" s="3" t="inlineStr">
        <is>
          <t/>
        </is>
      </c>
      <c r="O842" s="3" t="inlineStr">
        <is>
          <t>42847922MDD3003</t>
        </is>
      </c>
    </row>
    <row r="843">
      <c r="A843" s="2" t="str">
        <f>HYPERLINK("https://vtmf.veevavault.com/ui/#doc_info/26158278/1/0", "42847922MDD3003---Ongoing Third Party Oversight-17 Apr 2024 (v1.0)")</f>
        <v>42847922MDD3003---Ongoing Third Party Oversight-17 Apr 2024 (v1.0)</v>
      </c>
      <c r="B843" s="3" t="inlineStr">
        <is>
          <t>Third Parties</t>
        </is>
      </c>
      <c r="C843" s="3" t="inlineStr">
        <is>
          <t>Third Party Oversight</t>
        </is>
      </c>
      <c r="D843" s="3" t="inlineStr">
        <is>
          <t>Ongoing Third Party Oversight</t>
        </is>
      </c>
      <c r="E843" s="3" t="inlineStr">
        <is>
          <t>Status Meeting Minutes 17Apr2024</t>
        </is>
      </c>
      <c r="F843" s="2" t="str">
        <f>HYPERLINK("https://vtmf.veevavault.com/ui/#doc_info/26158278/1/0", "VTMF-20919672")</f>
        <v>VTMF-20919672</v>
      </c>
      <c r="G843" s="3" t="inlineStr">
        <is>
          <t/>
        </is>
      </c>
      <c r="H843" s="3" t="inlineStr">
        <is>
          <t>Anthony Suarez (veeva.com)</t>
        </is>
      </c>
      <c r="I843" s="3" t="inlineStr">
        <is>
          <t>Stephanie Bachman</t>
        </is>
      </c>
      <c r="J843" s="4" t="n">
        <v>45400.516238425924</v>
      </c>
      <c r="K843" s="5" t="n">
        <v>45400.0</v>
      </c>
      <c r="L843" s="5" t="n">
        <v>45399.0</v>
      </c>
      <c r="M843" s="3" t="inlineStr">
        <is>
          <t>Approved</t>
        </is>
      </c>
      <c r="N843" s="3" t="inlineStr">
        <is>
          <t/>
        </is>
      </c>
      <c r="O843" s="3" t="inlineStr">
        <is>
          <t>42847922MDD3003</t>
        </is>
      </c>
    </row>
    <row r="844">
      <c r="A844" s="2" t="str">
        <f>HYPERLINK("https://vtmf.veevavault.com/ui/#doc_info/30086531/1/0", "42847922MDD3003---Ongoing Third Party Oversight-17 Sep 2025 (v1.0)")</f>
        <v>42847922MDD3003---Ongoing Third Party Oversight-17 Sep 2025 (v1.0)</v>
      </c>
      <c r="B844" s="3" t="inlineStr">
        <is>
          <t>Third Parties</t>
        </is>
      </c>
      <c r="C844" s="3" t="inlineStr">
        <is>
          <t>Third Party Oversight</t>
        </is>
      </c>
      <c r="D844" s="3" t="inlineStr">
        <is>
          <t>Ongoing Third Party Oversight</t>
        </is>
      </c>
      <c r="E844" s="3" t="inlineStr">
        <is>
          <t>Clario eCOA Study Logs_SEP 2025</t>
        </is>
      </c>
      <c r="F844" s="2" t="str">
        <f>HYPERLINK("https://vtmf.veevavault.com/ui/#doc_info/30086531/1/0", "VTMF-24217907")</f>
        <v>VTMF-24217907</v>
      </c>
      <c r="G844" s="3" t="inlineStr">
        <is>
          <t/>
        </is>
      </c>
      <c r="H844" s="3" t="inlineStr">
        <is>
          <t>System</t>
        </is>
      </c>
      <c r="I844" s="3" t="inlineStr">
        <is>
          <t>Charles Hayes</t>
        </is>
      </c>
      <c r="J844" s="4" t="n">
        <v>45932.841261574074</v>
      </c>
      <c r="K844" s="5" t="n">
        <v>45932.0</v>
      </c>
      <c r="L844" s="5" t="n">
        <v>45917.0</v>
      </c>
      <c r="M844" s="3" t="inlineStr">
        <is>
          <t>Approved</t>
        </is>
      </c>
      <c r="N844" s="3" t="inlineStr">
        <is>
          <t/>
        </is>
      </c>
      <c r="O844" s="3" t="inlineStr">
        <is>
          <t>42847922MDD3003</t>
        </is>
      </c>
    </row>
    <row r="845">
      <c r="A845" s="2" t="str">
        <f>HYPERLINK("https://vtmf.veevavault.com/ui/#doc_info/28046061/1/0", "42847922MDD3003---Ongoing Third Party Oversight-18 Dec 2024 (v1.0)")</f>
        <v>42847922MDD3003---Ongoing Third Party Oversight-18 Dec 2024 (v1.0)</v>
      </c>
      <c r="B845" s="3" t="inlineStr">
        <is>
          <t>Third Parties</t>
        </is>
      </c>
      <c r="C845" s="3" t="inlineStr">
        <is>
          <t>Third Party Oversight</t>
        </is>
      </c>
      <c r="D845" s="3" t="inlineStr">
        <is>
          <t>Ongoing Third Party Oversight</t>
        </is>
      </c>
      <c r="E845" s="3" t="inlineStr">
        <is>
          <t>Status Meeting Minutes 18Dec2025</t>
        </is>
      </c>
      <c r="F845" s="2" t="str">
        <f>HYPERLINK("https://vtmf.veevavault.com/ui/#doc_info/28046061/1/0", "VTMF-22491339")</f>
        <v>VTMF-22491339</v>
      </c>
      <c r="G845" s="3" t="inlineStr">
        <is>
          <t/>
        </is>
      </c>
      <c r="H845" s="3" t="inlineStr">
        <is>
          <t>Anthony Suarez (veeva.com)</t>
        </is>
      </c>
      <c r="I845" s="3" t="inlineStr">
        <is>
          <t>Stephanie Bachman</t>
        </is>
      </c>
      <c r="J845" s="4" t="n">
        <v>45666.57763888889</v>
      </c>
      <c r="K845" s="5" t="n">
        <v>45666.0</v>
      </c>
      <c r="L845" s="5" t="n">
        <v>45644.0</v>
      </c>
      <c r="M845" s="3" t="inlineStr">
        <is>
          <t>Approved</t>
        </is>
      </c>
      <c r="N845" s="3" t="inlineStr">
        <is>
          <t/>
        </is>
      </c>
      <c r="O845" s="3" t="inlineStr">
        <is>
          <t>42847922MDD3003</t>
        </is>
      </c>
    </row>
    <row r="846">
      <c r="A846" s="2" t="str">
        <f>HYPERLINK("https://vtmf.veevavault.com/ui/#doc_info/31135245/1/0", "42847922MDD3003---Ongoing Third Party Oversight-18 Feb 2026 (v1.0)")</f>
        <v>42847922MDD3003---Ongoing Third Party Oversight-18 Feb 2026 (v1.0)</v>
      </c>
      <c r="B846" s="3" t="inlineStr">
        <is>
          <t>Third Parties</t>
        </is>
      </c>
      <c r="C846" s="3" t="inlineStr">
        <is>
          <t>Third Party Oversight</t>
        </is>
      </c>
      <c r="D846" s="3" t="inlineStr">
        <is>
          <t>Ongoing Third Party Oversight</t>
        </is>
      </c>
      <c r="E846" s="3" t="inlineStr">
        <is>
          <t>Clario eCOA Study Logs_FEB2026</t>
        </is>
      </c>
      <c r="F846" s="2" t="str">
        <f>HYPERLINK("https://vtmf.veevavault.com/ui/#doc_info/31135245/1/0", "VTMF-25103012")</f>
        <v>VTMF-25103012</v>
      </c>
      <c r="G846" s="3" t="inlineStr">
        <is>
          <t/>
        </is>
      </c>
      <c r="H846" s="3" t="inlineStr">
        <is>
          <t>System</t>
        </is>
      </c>
      <c r="I846" s="3" t="inlineStr">
        <is>
          <t>Charles Hayes</t>
        </is>
      </c>
      <c r="J846" s="4" t="n">
        <v>46088.816087962965</v>
      </c>
      <c r="K846" s="5" t="n">
        <v>46088.0</v>
      </c>
      <c r="L846" s="5" t="n">
        <v>46071.0</v>
      </c>
      <c r="M846" s="3" t="inlineStr">
        <is>
          <t>Approved</t>
        </is>
      </c>
      <c r="N846" s="3" t="inlineStr">
        <is>
          <t/>
        </is>
      </c>
      <c r="O846" s="3" t="inlineStr">
        <is>
          <t>42847922MDD3003</t>
        </is>
      </c>
    </row>
    <row r="847">
      <c r="A847" s="2" t="str">
        <f>HYPERLINK("https://vtmf.veevavault.com/ui/#doc_info/31333666/1/0", "42847922MDD3003---Ongoing Third Party Oversight-18 Mar 2026 (v1.0)")</f>
        <v>42847922MDD3003---Ongoing Third Party Oversight-18 Mar 2026 (v1.0)</v>
      </c>
      <c r="B847" s="3" t="inlineStr">
        <is>
          <t>Third Parties</t>
        </is>
      </c>
      <c r="C847" s="3" t="inlineStr">
        <is>
          <t>Third Party Oversight</t>
        </is>
      </c>
      <c r="D847" s="3" t="inlineStr">
        <is>
          <t>Ongoing Third Party Oversight</t>
        </is>
      </c>
      <c r="E847" s="3" t="inlineStr">
        <is>
          <t>Clario eCOA Study Logs_MAR 2026</t>
        </is>
      </c>
      <c r="F847" s="2" t="str">
        <f>HYPERLINK("https://vtmf.veevavault.com/ui/#doc_info/31333666/1/0", "VTMF-25269663")</f>
        <v>VTMF-25269663</v>
      </c>
      <c r="G847" s="3" t="inlineStr">
        <is>
          <t/>
        </is>
      </c>
      <c r="H847" s="3" t="inlineStr">
        <is>
          <t>System</t>
        </is>
      </c>
      <c r="I847" s="3" t="inlineStr">
        <is>
          <t>Charles Hayes</t>
        </is>
      </c>
      <c r="J847" s="4" t="n">
        <v>46115.00511574074</v>
      </c>
      <c r="K847" s="5" t="n">
        <v>46114.0</v>
      </c>
      <c r="L847" s="5" t="n">
        <v>46099.0</v>
      </c>
      <c r="M847" s="3" t="inlineStr">
        <is>
          <t>Approved</t>
        </is>
      </c>
      <c r="N847" s="3" t="inlineStr">
        <is>
          <t/>
        </is>
      </c>
      <c r="O847" s="3" t="inlineStr">
        <is>
          <t>42847922MDD3003</t>
        </is>
      </c>
    </row>
    <row r="848">
      <c r="A848" s="2" t="str">
        <f>HYPERLINK("https://vtmf.veevavault.com/ui/#doc_info/27185599/1/0", "42847922MDD3003---Ongoing Third Party Oversight-18 Sep 2024 (v1.0)")</f>
        <v>42847922MDD3003---Ongoing Third Party Oversight-18 Sep 2024 (v1.0)</v>
      </c>
      <c r="B848" s="3" t="inlineStr">
        <is>
          <t>Third Parties</t>
        </is>
      </c>
      <c r="C848" s="3" t="inlineStr">
        <is>
          <t>Third Party Oversight</t>
        </is>
      </c>
      <c r="D848" s="3" t="inlineStr">
        <is>
          <t>Ongoing Third Party Oversight</t>
        </is>
      </c>
      <c r="E848" s="3" t="inlineStr">
        <is>
          <t>Weekly Status Meeting Minutes 18Sep2024</t>
        </is>
      </c>
      <c r="F848" s="2" t="str">
        <f>HYPERLINK("https://vtmf.veevavault.com/ui/#doc_info/27185599/1/0", "VTMF-21798469")</f>
        <v>VTMF-21798469</v>
      </c>
      <c r="G848" s="3" t="inlineStr">
        <is>
          <t/>
        </is>
      </c>
      <c r="H848" s="3" t="inlineStr">
        <is>
          <t>Anthony Suarez (veeva.com)</t>
        </is>
      </c>
      <c r="I848" s="3" t="inlineStr">
        <is>
          <t>Stephanie Bachman</t>
        </is>
      </c>
      <c r="J848" s="4" t="n">
        <v>45567.861967592595</v>
      </c>
      <c r="K848" s="5" t="n">
        <v>45567.0</v>
      </c>
      <c r="L848" s="5" t="n">
        <v>45553.0</v>
      </c>
      <c r="M848" s="3" t="inlineStr">
        <is>
          <t>Approved</t>
        </is>
      </c>
      <c r="N848" s="3" t="inlineStr">
        <is>
          <t/>
        </is>
      </c>
      <c r="O848" s="3" t="inlineStr">
        <is>
          <t>42847922MDD3003</t>
        </is>
      </c>
    </row>
    <row r="849">
      <c r="A849" s="2" t="str">
        <f>HYPERLINK("https://vtmf.veevavault.com/ui/#doc_info/28580813/1/0", "42847922MDD3003---Ongoing Third Party Oversight-19 Feb 2025 (v1.0)")</f>
        <v>42847922MDD3003---Ongoing Third Party Oversight-19 Feb 2025 (v1.0)</v>
      </c>
      <c r="B849" s="3" t="inlineStr">
        <is>
          <t>Third Parties</t>
        </is>
      </c>
      <c r="C849" s="3" t="inlineStr">
        <is>
          <t>Third Party Oversight</t>
        </is>
      </c>
      <c r="D849" s="3" t="inlineStr">
        <is>
          <t>Ongoing Third Party Oversight</t>
        </is>
      </c>
      <c r="E849" s="3" t="inlineStr">
        <is>
          <t>Status Meeting Minutes 19Feb2025</t>
        </is>
      </c>
      <c r="F849" s="2" t="str">
        <f>HYPERLINK("https://vtmf.veevavault.com/ui/#doc_info/28580813/1/0", "VTMF-22952994")</f>
        <v>VTMF-22952994</v>
      </c>
      <c r="G849" s="3" t="inlineStr">
        <is>
          <t/>
        </is>
      </c>
      <c r="H849" s="3" t="inlineStr">
        <is>
          <t>Anthony Suarez (veeva.com)</t>
        </is>
      </c>
      <c r="I849" s="3" t="inlineStr">
        <is>
          <t>Stephanie Bachman</t>
        </is>
      </c>
      <c r="J849" s="4" t="n">
        <v>45718.97556712963</v>
      </c>
      <c r="K849" s="5" t="n">
        <v>45719.0</v>
      </c>
      <c r="L849" s="5" t="n">
        <v>45707.0</v>
      </c>
      <c r="M849" s="3" t="inlineStr">
        <is>
          <t>Approved</t>
        </is>
      </c>
      <c r="N849" s="3" t="inlineStr">
        <is>
          <t/>
        </is>
      </c>
      <c r="O849" s="3" t="inlineStr">
        <is>
          <t>42847922MDD3003</t>
        </is>
      </c>
    </row>
    <row r="850">
      <c r="A850" s="2" t="str">
        <f>HYPERLINK("https://vtmf.veevavault.com/ui/#doc_info/29877909/1/0", "42847922MDD3003---Ongoing Third Party Oversight-20 Aug 2025 (v1.0)")</f>
        <v>42847922MDD3003---Ongoing Third Party Oversight-20 Aug 2025 (v1.0)</v>
      </c>
      <c r="B850" s="3" t="inlineStr">
        <is>
          <t>Third Parties</t>
        </is>
      </c>
      <c r="C850" s="3" t="inlineStr">
        <is>
          <t>Third Party Oversight</t>
        </is>
      </c>
      <c r="D850" s="3" t="inlineStr">
        <is>
          <t>Ongoing Third Party Oversight</t>
        </is>
      </c>
      <c r="E850" s="3" t="inlineStr">
        <is>
          <t>Clario eCOA Study Logs_AUG2025</t>
        </is>
      </c>
      <c r="F850" s="2" t="str">
        <f>HYPERLINK("https://vtmf.veevavault.com/ui/#doc_info/29877909/1/0", "VTMF-24048520")</f>
        <v>VTMF-24048520</v>
      </c>
      <c r="G850" s="3" t="inlineStr">
        <is>
          <t/>
        </is>
      </c>
      <c r="H850" s="3" t="inlineStr">
        <is>
          <t>System</t>
        </is>
      </c>
      <c r="I850" s="3" t="inlineStr">
        <is>
          <t>Charles Hayes</t>
        </is>
      </c>
      <c r="J850" s="4" t="n">
        <v>45902.95847222222</v>
      </c>
      <c r="K850" s="5" t="n">
        <v>45902.0</v>
      </c>
      <c r="L850" s="5" t="n">
        <v>45889.0</v>
      </c>
      <c r="M850" s="3" t="inlineStr">
        <is>
          <t>Approved</t>
        </is>
      </c>
      <c r="N850" s="3" t="inlineStr">
        <is>
          <t/>
        </is>
      </c>
      <c r="O850" s="3" t="inlineStr">
        <is>
          <t>42847922MDD3003</t>
        </is>
      </c>
    </row>
    <row r="851">
      <c r="A851" s="2" t="str">
        <f>HYPERLINK("https://vtmf.veevavault.com/ui/#doc_info/26929425/1/0", "42847922MDD3003---Ongoing Third Party Oversight-21 Aug 2024 (v1.0)")</f>
        <v>42847922MDD3003---Ongoing Third Party Oversight-21 Aug 2024 (v1.0)</v>
      </c>
      <c r="B851" s="3" t="inlineStr">
        <is>
          <t>Third Parties</t>
        </is>
      </c>
      <c r="C851" s="3" t="inlineStr">
        <is>
          <t>Third Party Oversight</t>
        </is>
      </c>
      <c r="D851" s="3" t="inlineStr">
        <is>
          <t>Ongoing Third Party Oversight</t>
        </is>
      </c>
      <c r="E851" s="3" t="inlineStr">
        <is>
          <t>Status Meeting Minutes 21Aug2024</t>
        </is>
      </c>
      <c r="F851" s="2" t="str">
        <f>HYPERLINK("https://vtmf.veevavault.com/ui/#doc_info/26929425/1/0", "VTMF-21586837")</f>
        <v>VTMF-21586837</v>
      </c>
      <c r="G851" s="3" t="inlineStr">
        <is>
          <t/>
        </is>
      </c>
      <c r="H851" s="3" t="inlineStr">
        <is>
          <t>Anthony Suarez (veeva.com)</t>
        </is>
      </c>
      <c r="I851" s="3" t="inlineStr">
        <is>
          <t>Stephanie Bachman</t>
        </is>
      </c>
      <c r="J851" s="4" t="n">
        <v>45525.80349537037</v>
      </c>
      <c r="K851" s="5" t="n">
        <v>45525.0</v>
      </c>
      <c r="L851" s="5" t="n">
        <v>45525.0</v>
      </c>
      <c r="M851" s="3" t="inlineStr">
        <is>
          <t>Approved</t>
        </is>
      </c>
      <c r="N851" s="3" t="inlineStr">
        <is>
          <t/>
        </is>
      </c>
      <c r="O851" s="3" t="inlineStr">
        <is>
          <t>42847922MDD3003</t>
        </is>
      </c>
    </row>
    <row r="852">
      <c r="A852" s="2" t="str">
        <f>HYPERLINK("https://vtmf.veevavault.com/ui/#doc_info/30994400/1/0", "42847922MDD3003---Ongoing Third Party Oversight-21 Jan 2026 (v1.0)")</f>
        <v>42847922MDD3003---Ongoing Third Party Oversight-21 Jan 2026 (v1.0)</v>
      </c>
      <c r="B852" s="3" t="inlineStr">
        <is>
          <t>Third Parties</t>
        </is>
      </c>
      <c r="C852" s="3" t="inlineStr">
        <is>
          <t>Third Party Oversight</t>
        </is>
      </c>
      <c r="D852" s="3" t="inlineStr">
        <is>
          <t>Ongoing Third Party Oversight</t>
        </is>
      </c>
      <c r="E852" s="3" t="inlineStr">
        <is>
          <t>Clario eCOA Study Logs_JAN 2026</t>
        </is>
      </c>
      <c r="F852" s="2" t="str">
        <f>HYPERLINK("https://vtmf.veevavault.com/ui/#doc_info/30994400/1/0", "VTMF-24984257")</f>
        <v>VTMF-24984257</v>
      </c>
      <c r="G852" s="3" t="inlineStr">
        <is>
          <t/>
        </is>
      </c>
      <c r="H852" s="3" t="inlineStr">
        <is>
          <t>System</t>
        </is>
      </c>
      <c r="I852" s="3" t="inlineStr">
        <is>
          <t>Charles Hayes</t>
        </is>
      </c>
      <c r="J852" s="4" t="n">
        <v>46067.83219907407</v>
      </c>
      <c r="K852" s="5" t="n">
        <v>46067.0</v>
      </c>
      <c r="L852" s="5" t="n">
        <v>46043.0</v>
      </c>
      <c r="M852" s="3" t="inlineStr">
        <is>
          <t>Approved</t>
        </is>
      </c>
      <c r="N852" s="3" t="inlineStr">
        <is>
          <t/>
        </is>
      </c>
      <c r="O852" s="3" t="inlineStr">
        <is>
          <t>42847922MDD3003</t>
        </is>
      </c>
    </row>
    <row r="853">
      <c r="A853" s="2" t="str">
        <f>HYPERLINK("https://vtmf.veevavault.com/ui/#doc_info/28995090/1/0", "42847922MDD3003---Ongoing Third Party Oversight-23 Apr 2025 (v1.0)")</f>
        <v>42847922MDD3003---Ongoing Third Party Oversight-23 Apr 2025 (v1.0)</v>
      </c>
      <c r="B853" s="3" t="inlineStr">
        <is>
          <t>Third Parties</t>
        </is>
      </c>
      <c r="C853" s="3" t="inlineStr">
        <is>
          <t>Third Party Oversight</t>
        </is>
      </c>
      <c r="D853" s="3" t="inlineStr">
        <is>
          <t>Ongoing Third Party Oversight</t>
        </is>
      </c>
      <c r="E853" s="3" t="inlineStr">
        <is>
          <t>Status Meeting Minutes 23Apr25</t>
        </is>
      </c>
      <c r="F853" s="2" t="str">
        <f>HYPERLINK("https://vtmf.veevavault.com/ui/#doc_info/28995090/1/0", "VTMF-23293626")</f>
        <v>VTMF-23293626</v>
      </c>
      <c r="G853" s="3" t="inlineStr">
        <is>
          <t/>
        </is>
      </c>
      <c r="H853" s="3" t="inlineStr">
        <is>
          <t>Anthony Suarez (veeva.com)</t>
        </is>
      </c>
      <c r="I853" s="3" t="inlineStr">
        <is>
          <t>Stephanie Bachman</t>
        </is>
      </c>
      <c r="J853" s="4" t="n">
        <v>45775.84202546296</v>
      </c>
      <c r="K853" s="5" t="n">
        <v>45775.0</v>
      </c>
      <c r="L853" s="5" t="n">
        <v>45770.0</v>
      </c>
      <c r="M853" s="3" t="inlineStr">
        <is>
          <t>Approved</t>
        </is>
      </c>
      <c r="N853" s="3" t="inlineStr">
        <is>
          <t/>
        </is>
      </c>
      <c r="O853" s="3" t="inlineStr">
        <is>
          <t>42847922MDD3003</t>
        </is>
      </c>
    </row>
    <row r="854">
      <c r="A854" s="2" t="str">
        <f>HYPERLINK("https://vtmf.veevavault.com/ui/#doc_info/30744095/1/0", "42847922MDD3003---Ongoing Third Party Oversight-23 Dec 2025 (v1.0)")</f>
        <v>42847922MDD3003---Ongoing Third Party Oversight-23 Dec 2025 (v1.0)</v>
      </c>
      <c r="B854" s="3" t="inlineStr">
        <is>
          <t>Third Parties</t>
        </is>
      </c>
      <c r="C854" s="3" t="inlineStr">
        <is>
          <t>Third Party Oversight</t>
        </is>
      </c>
      <c r="D854" s="3" t="inlineStr">
        <is>
          <t>Ongoing Third Party Oversight</t>
        </is>
      </c>
      <c r="E854" s="3" t="inlineStr">
        <is>
          <t>Beacon Biosignals RAID Logs_DEC</t>
        </is>
      </c>
      <c r="F854" s="2" t="str">
        <f>HYPERLINK("https://vtmf.veevavault.com/ui/#doc_info/30744095/1/0", "VTMF-24772817")</f>
        <v>VTMF-24772817</v>
      </c>
      <c r="G854" s="3" t="inlineStr">
        <is>
          <t/>
        </is>
      </c>
      <c r="H854" s="3" t="inlineStr">
        <is>
          <t>System</t>
        </is>
      </c>
      <c r="I854" s="3" t="inlineStr">
        <is>
          <t>Charles Hayes</t>
        </is>
      </c>
      <c r="J854" s="4" t="n">
        <v>46030.98248842593</v>
      </c>
      <c r="K854" s="5" t="n">
        <v>46030.0</v>
      </c>
      <c r="L854" s="5" t="n">
        <v>46014.0</v>
      </c>
      <c r="M854" s="3" t="inlineStr">
        <is>
          <t>Approved</t>
        </is>
      </c>
      <c r="N854" s="3" t="inlineStr">
        <is>
          <t/>
        </is>
      </c>
      <c r="O854" s="3" t="inlineStr">
        <is>
          <t>42847922MDD3003</t>
        </is>
      </c>
    </row>
    <row r="855">
      <c r="A855" s="2" t="str">
        <f>HYPERLINK("https://vtmf.veevavault.com/ui/#doc_info/28242198/1/0", "42847922MDD3003---Ongoing Third Party Oversight-23 Jan 2025 (v1.0)")</f>
        <v>42847922MDD3003---Ongoing Third Party Oversight-23 Jan 2025 (v1.0)</v>
      </c>
      <c r="B855" s="3" t="inlineStr">
        <is>
          <t>Third Parties</t>
        </is>
      </c>
      <c r="C855" s="3" t="inlineStr">
        <is>
          <t>Third Party Oversight</t>
        </is>
      </c>
      <c r="D855" s="3" t="inlineStr">
        <is>
          <t>Ongoing Third Party Oversight</t>
        </is>
      </c>
      <c r="E855" s="3" t="inlineStr">
        <is>
          <t>Status Meeting Minutes 23Jan2025</t>
        </is>
      </c>
      <c r="F855" s="2" t="str">
        <f>HYPERLINK("https://vtmf.veevavault.com/ui/#doc_info/28242198/1/0", "VTMF-22652623")</f>
        <v>VTMF-22652623</v>
      </c>
      <c r="G855" s="3" t="inlineStr">
        <is>
          <t/>
        </is>
      </c>
      <c r="H855" s="3" t="inlineStr">
        <is>
          <t>Anthony Suarez (veeva.com)</t>
        </is>
      </c>
      <c r="I855" s="3" t="inlineStr">
        <is>
          <t>Stephanie Bachman</t>
        </is>
      </c>
      <c r="J855" s="4" t="n">
        <v>45694.54965277778</v>
      </c>
      <c r="K855" s="5" t="n">
        <v>45694.0</v>
      </c>
      <c r="L855" s="5" t="n">
        <v>45680.0</v>
      </c>
      <c r="M855" s="3" t="inlineStr">
        <is>
          <t>Approved</t>
        </is>
      </c>
      <c r="N855" s="3" t="inlineStr">
        <is>
          <t/>
        </is>
      </c>
      <c r="O855" s="3" t="inlineStr">
        <is>
          <t>42847922MDD3003</t>
        </is>
      </c>
    </row>
    <row r="856">
      <c r="A856" s="2" t="str">
        <f>HYPERLINK("https://vtmf.veevavault.com/ui/#doc_info/27460578/1/0", "42847922MDD3003---Ongoing Third Party Oversight-23 Oct 2024 (v1.0)")</f>
        <v>42847922MDD3003---Ongoing Third Party Oversight-23 Oct 2024 (v1.0)</v>
      </c>
      <c r="B856" s="3" t="inlineStr">
        <is>
          <t>Third Parties</t>
        </is>
      </c>
      <c r="C856" s="3" t="inlineStr">
        <is>
          <t>Third Party Oversight</t>
        </is>
      </c>
      <c r="D856" s="3" t="inlineStr">
        <is>
          <t>Ongoing Third Party Oversight</t>
        </is>
      </c>
      <c r="E856" s="3" t="inlineStr">
        <is>
          <t>Meeting Minutes 23Oct2024</t>
        </is>
      </c>
      <c r="F856" s="2" t="str">
        <f>HYPERLINK("https://vtmf.veevavault.com/ui/#doc_info/27460578/1/0", "VTMF-22023662")</f>
        <v>VTMF-22023662</v>
      </c>
      <c r="G856" s="3" t="inlineStr">
        <is>
          <t/>
        </is>
      </c>
      <c r="H856" s="3" t="inlineStr">
        <is>
          <t>Anthony Suarez (veeva.com)</t>
        </is>
      </c>
      <c r="I856" s="3" t="inlineStr">
        <is>
          <t>Stephanie Bachman</t>
        </is>
      </c>
      <c r="J856" s="4" t="n">
        <v>45607.62396990741</v>
      </c>
      <c r="K856" s="5" t="n">
        <v>45607.0</v>
      </c>
      <c r="L856" s="5" t="n">
        <v>45588.0</v>
      </c>
      <c r="M856" s="3" t="inlineStr">
        <is>
          <t>Approved</t>
        </is>
      </c>
      <c r="N856" s="3" t="inlineStr">
        <is>
          <t/>
        </is>
      </c>
      <c r="O856" s="3" t="inlineStr">
        <is>
          <t>42847922MDD3003</t>
        </is>
      </c>
    </row>
    <row r="857">
      <c r="A857" s="2" t="str">
        <f>HYPERLINK("https://vtmf.veevavault.com/ui/#doc_info/26200118/1/0", "42847922MDD3003---Ongoing Third Party Oversight-24 Apr 2024 (v1.0)")</f>
        <v>42847922MDD3003---Ongoing Third Party Oversight-24 Apr 2024 (v1.0)</v>
      </c>
      <c r="B857" s="3" t="inlineStr">
        <is>
          <t>Third Parties</t>
        </is>
      </c>
      <c r="C857" s="3" t="inlineStr">
        <is>
          <t>Third Party Oversight</t>
        </is>
      </c>
      <c r="D857" s="3" t="inlineStr">
        <is>
          <t>Ongoing Third Party Oversight</t>
        </is>
      </c>
      <c r="E857" s="3" t="inlineStr">
        <is>
          <t>Weekly Status Meeting Minutes 24Apr2024</t>
        </is>
      </c>
      <c r="F857" s="2" t="str">
        <f>HYPERLINK("https://vtmf.veevavault.com/ui/#doc_info/26200118/1/0", "VTMF-20954900")</f>
        <v>VTMF-20954900</v>
      </c>
      <c r="G857" s="3" t="inlineStr">
        <is>
          <t/>
        </is>
      </c>
      <c r="H857" s="3" t="inlineStr">
        <is>
          <t>Anthony Suarez (veeva.com)</t>
        </is>
      </c>
      <c r="I857" s="3" t="inlineStr">
        <is>
          <t>Stephanie Bachman</t>
        </is>
      </c>
      <c r="J857" s="4" t="n">
        <v>45406.934953703705</v>
      </c>
      <c r="K857" s="5" t="n">
        <v>45406.0</v>
      </c>
      <c r="L857" s="5" t="n">
        <v>45406.0</v>
      </c>
      <c r="M857" s="3" t="inlineStr">
        <is>
          <t>Approved</t>
        </is>
      </c>
      <c r="N857" s="3" t="inlineStr">
        <is>
          <t/>
        </is>
      </c>
      <c r="O857" s="3" t="inlineStr">
        <is>
          <t>42847922MDD3003</t>
        </is>
      </c>
    </row>
    <row r="858">
      <c r="A858" s="2" t="str">
        <f>HYPERLINK("https://vtmf.veevavault.com/ui/#doc_info/31135250/1/0", "42847922MDD3003---Ongoing Third Party Oversight-24 Feb 2026 (v1.0)")</f>
        <v>42847922MDD3003---Ongoing Third Party Oversight-24 Feb 2026 (v1.0)</v>
      </c>
      <c r="B858" s="3" t="inlineStr">
        <is>
          <t>Third Parties</t>
        </is>
      </c>
      <c r="C858" s="3" t="inlineStr">
        <is>
          <t>Third Party Oversight</t>
        </is>
      </c>
      <c r="D858" s="3" t="inlineStr">
        <is>
          <t>Ongoing Third Party Oversight</t>
        </is>
      </c>
      <c r="E858" s="3" t="inlineStr">
        <is>
          <t>Beacon Biosignals RAID Logs_FEB 2026</t>
        </is>
      </c>
      <c r="F858" s="2" t="str">
        <f>HYPERLINK("https://vtmf.veevavault.com/ui/#doc_info/31135250/1/0", "VTMF-25103017")</f>
        <v>VTMF-25103017</v>
      </c>
      <c r="G858" s="3" t="inlineStr">
        <is>
          <t/>
        </is>
      </c>
      <c r="H858" s="3" t="inlineStr">
        <is>
          <t>System</t>
        </is>
      </c>
      <c r="I858" s="3" t="inlineStr">
        <is>
          <t>Charles Hayes</t>
        </is>
      </c>
      <c r="J858" s="4" t="n">
        <v>46088.84234953704</v>
      </c>
      <c r="K858" s="5" t="n">
        <v>46088.0</v>
      </c>
      <c r="L858" s="5" t="n">
        <v>46077.0</v>
      </c>
      <c r="M858" s="3" t="inlineStr">
        <is>
          <t>Approved</t>
        </is>
      </c>
      <c r="N858" s="3" t="inlineStr">
        <is>
          <t/>
        </is>
      </c>
      <c r="O858" s="3" t="inlineStr">
        <is>
          <t>42847922MDD3003</t>
        </is>
      </c>
    </row>
    <row r="859">
      <c r="A859" s="2" t="str">
        <f>HYPERLINK("https://vtmf.veevavault.com/ui/#doc_info/29508116/1/0", "42847922MDD3003---Ongoing Third Party Oversight-24 Jun 2025 (v1.0)")</f>
        <v>42847922MDD3003---Ongoing Third Party Oversight-24 Jun 2025 (v1.0)</v>
      </c>
      <c r="B859" s="3" t="inlineStr">
        <is>
          <t>Third Parties</t>
        </is>
      </c>
      <c r="C859" s="3" t="inlineStr">
        <is>
          <t>Third Party Oversight</t>
        </is>
      </c>
      <c r="D859" s="3" t="inlineStr">
        <is>
          <t>Ongoing Third Party Oversight</t>
        </is>
      </c>
      <c r="E859" s="3" t="inlineStr">
        <is>
          <t>Beacon Biosignals RAID Logs</t>
        </is>
      </c>
      <c r="F859" s="2" t="str">
        <f>HYPERLINK("https://vtmf.veevavault.com/ui/#doc_info/29508116/1/0", "VTMF-23732602")</f>
        <v>VTMF-23732602</v>
      </c>
      <c r="G859" s="3" t="inlineStr">
        <is>
          <t/>
        </is>
      </c>
      <c r="H859" s="3" t="inlineStr">
        <is>
          <t>Anthony Suarez (veeva.com)</t>
        </is>
      </c>
      <c r="I859" s="3" t="inlineStr">
        <is>
          <t>Charles Hayes</t>
        </is>
      </c>
      <c r="J859" s="4" t="n">
        <v>45845.74119212963</v>
      </c>
      <c r="K859" s="5" t="n">
        <v>45845.0</v>
      </c>
      <c r="L859" s="5" t="n">
        <v>45832.0</v>
      </c>
      <c r="M859" s="3" t="inlineStr">
        <is>
          <t>Approved</t>
        </is>
      </c>
      <c r="N859" s="3" t="inlineStr">
        <is>
          <t/>
        </is>
      </c>
      <c r="O859" s="3" t="inlineStr">
        <is>
          <t>42847922MDD3003</t>
        </is>
      </c>
    </row>
    <row r="860">
      <c r="A860" s="2" t="str">
        <f>HYPERLINK("https://vtmf.veevavault.com/ui/#doc_info/28597390/1/0", "42847922MDD3003---Ongoing Third Party Oversight-25 Feb 2025 (v1.0)")</f>
        <v>42847922MDD3003---Ongoing Third Party Oversight-25 Feb 2025 (v1.0)</v>
      </c>
      <c r="B860" s="3" t="inlineStr">
        <is>
          <t>Third Parties</t>
        </is>
      </c>
      <c r="C860" s="3" t="inlineStr">
        <is>
          <t>Third Party Oversight</t>
        </is>
      </c>
      <c r="D860" s="3" t="inlineStr">
        <is>
          <t>Ongoing Third Party Oversight</t>
        </is>
      </c>
      <c r="E860" s="3" t="inlineStr">
        <is>
          <t>Beacon DREEM RAID Logs ; FEB2025</t>
        </is>
      </c>
      <c r="F860" s="2" t="str">
        <f>HYPERLINK("https://vtmf.veevavault.com/ui/#doc_info/28597390/1/0", "VTMF-22967741")</f>
        <v>VTMF-22967741</v>
      </c>
      <c r="G860" s="3" t="inlineStr">
        <is>
          <t/>
        </is>
      </c>
      <c r="H860" s="3" t="inlineStr">
        <is>
          <t>Anthony Suarez (veeva.com)</t>
        </is>
      </c>
      <c r="I860" s="3" t="inlineStr">
        <is>
          <t>Charles Hayes</t>
        </is>
      </c>
      <c r="J860" s="4" t="n">
        <v>45721.07456018519</v>
      </c>
      <c r="K860" s="5" t="n">
        <v>45720.0</v>
      </c>
      <c r="L860" s="5" t="n">
        <v>45713.0</v>
      </c>
      <c r="M860" s="3" t="inlineStr">
        <is>
          <t>Approved</t>
        </is>
      </c>
      <c r="N860" s="3" t="inlineStr">
        <is>
          <t/>
        </is>
      </c>
      <c r="O860" s="3" t="inlineStr">
        <is>
          <t>42847922MDD3003</t>
        </is>
      </c>
    </row>
    <row r="861">
      <c r="A861" s="2" t="str">
        <f>HYPERLINK("https://vtmf.veevavault.com/ui/#doc_info/29517983/1/0", "42847922MDD3003---Ongoing Third Party Oversight-25 Jun 2025 (v1.0)")</f>
        <v>42847922MDD3003---Ongoing Third Party Oversight-25 Jun 2025 (v1.0)</v>
      </c>
      <c r="B861" s="3" t="inlineStr">
        <is>
          <t>Third Parties</t>
        </is>
      </c>
      <c r="C861" s="3" t="inlineStr">
        <is>
          <t>Third Party Oversight</t>
        </is>
      </c>
      <c r="D861" s="3" t="inlineStr">
        <is>
          <t>Ongoing Third Party Oversight</t>
        </is>
      </c>
      <c r="E861" s="3" t="inlineStr">
        <is>
          <t>Clario eCOA Meeting Study Logs</t>
        </is>
      </c>
      <c r="F861" s="2" t="str">
        <f>HYPERLINK("https://vtmf.veevavault.com/ui/#doc_info/29517983/1/0", "VTMF-23741549")</f>
        <v>VTMF-23741549</v>
      </c>
      <c r="G861" s="3" t="inlineStr">
        <is>
          <t/>
        </is>
      </c>
      <c r="H861" s="3" t="inlineStr">
        <is>
          <t>Anthony Suarez (veeva.com)</t>
        </is>
      </c>
      <c r="I861" s="3" t="inlineStr">
        <is>
          <t>Charles Hayes</t>
        </is>
      </c>
      <c r="J861" s="4" t="n">
        <v>45846.76965277778</v>
      </c>
      <c r="K861" s="5" t="n">
        <v>45846.0</v>
      </c>
      <c r="L861" s="5" t="n">
        <v>45833.0</v>
      </c>
      <c r="M861" s="3" t="inlineStr">
        <is>
          <t>Approved</t>
        </is>
      </c>
      <c r="N861" s="3" t="inlineStr">
        <is>
          <t/>
        </is>
      </c>
      <c r="O861" s="3" t="inlineStr">
        <is>
          <t>42847922MDD3003</t>
        </is>
      </c>
    </row>
    <row r="862">
      <c r="A862" s="2" t="str">
        <f>HYPERLINK("https://vtmf.veevavault.com/ui/#doc_info/28805495/1/0", "42847922MDD3003---Ongoing Third Party Oversight-25 Mar 2025 (v1.0)")</f>
        <v>42847922MDD3003---Ongoing Third Party Oversight-25 Mar 2025 (v1.0)</v>
      </c>
      <c r="B862" s="3" t="inlineStr">
        <is>
          <t>Third Parties</t>
        </is>
      </c>
      <c r="C862" s="3" t="inlineStr">
        <is>
          <t>Third Party Oversight</t>
        </is>
      </c>
      <c r="D862" s="3" t="inlineStr">
        <is>
          <t>Ongoing Third Party Oversight</t>
        </is>
      </c>
      <c r="E862" s="3" t="inlineStr">
        <is>
          <t>Beacon Biosignals Polysomnography RAID Logs ; MAR2025</t>
        </is>
      </c>
      <c r="F862" s="2" t="str">
        <f>HYPERLINK("https://vtmf.veevavault.com/ui/#doc_info/28805495/1/0", "VTMF-23144157")</f>
        <v>VTMF-23144157</v>
      </c>
      <c r="G862" s="3" t="inlineStr">
        <is>
          <t/>
        </is>
      </c>
      <c r="H862" s="3" t="inlineStr">
        <is>
          <t>Anthony Suarez (veeva.com)</t>
        </is>
      </c>
      <c r="I862" s="3" t="inlineStr">
        <is>
          <t>Charles Hayes</t>
        </is>
      </c>
      <c r="J862" s="4" t="n">
        <v>45750.939722222225</v>
      </c>
      <c r="K862" s="5" t="n">
        <v>45750.0</v>
      </c>
      <c r="L862" s="5" t="n">
        <v>45741.0</v>
      </c>
      <c r="M862" s="3" t="inlineStr">
        <is>
          <t>Approved</t>
        </is>
      </c>
      <c r="N862" s="3" t="inlineStr">
        <is>
          <t/>
        </is>
      </c>
      <c r="O862" s="3" t="inlineStr">
        <is>
          <t>42847922MDD3003</t>
        </is>
      </c>
    </row>
    <row r="863">
      <c r="A863" s="2" t="str">
        <f>HYPERLINK("https://vtmf.veevavault.com/ui/#doc_info/27185596/1/0", "42847922MDD3003---Ongoing Third Party Oversight-25 Sep 2024 (v1.0)")</f>
        <v>42847922MDD3003---Ongoing Third Party Oversight-25 Sep 2024 (v1.0)</v>
      </c>
      <c r="B863" s="3" t="inlineStr">
        <is>
          <t>Third Parties</t>
        </is>
      </c>
      <c r="C863" s="3" t="inlineStr">
        <is>
          <t>Third Party Oversight</t>
        </is>
      </c>
      <c r="D863" s="3" t="inlineStr">
        <is>
          <t>Ongoing Third Party Oversight</t>
        </is>
      </c>
      <c r="E863" s="3" t="inlineStr">
        <is>
          <t>Weekly Status Meeting Minutes 25Sep2024</t>
        </is>
      </c>
      <c r="F863" s="2" t="str">
        <f>HYPERLINK("https://vtmf.veevavault.com/ui/#doc_info/27185596/1/0", "VTMF-21798466")</f>
        <v>VTMF-21798466</v>
      </c>
      <c r="G863" s="3" t="inlineStr">
        <is>
          <t/>
        </is>
      </c>
      <c r="H863" s="3" t="inlineStr">
        <is>
          <t>Anthony Suarez (veeva.com)</t>
        </is>
      </c>
      <c r="I863" s="3" t="inlineStr">
        <is>
          <t>Stephanie Bachman</t>
        </is>
      </c>
      <c r="J863" s="4" t="n">
        <v>45567.86127314815</v>
      </c>
      <c r="K863" s="5" t="n">
        <v>45567.0</v>
      </c>
      <c r="L863" s="5" t="n">
        <v>45560.0</v>
      </c>
      <c r="M863" s="3" t="inlineStr">
        <is>
          <t>Approved</t>
        </is>
      </c>
      <c r="N863" s="3" t="inlineStr">
        <is>
          <t/>
        </is>
      </c>
      <c r="O863" s="3" t="inlineStr">
        <is>
          <t>42847922MDD3003</t>
        </is>
      </c>
    </row>
    <row r="864">
      <c r="A864" s="2" t="str">
        <f>HYPERLINK("https://vtmf.veevavault.com/ui/#doc_info/29877843/1/0", "42847922MDD3003---Ongoing Third Party Oversight-26 Aug 2025 (v1.0)")</f>
        <v>42847922MDD3003---Ongoing Third Party Oversight-26 Aug 2025 (v1.0)</v>
      </c>
      <c r="B864" s="3" t="inlineStr">
        <is>
          <t>Third Parties</t>
        </is>
      </c>
      <c r="C864" s="3" t="inlineStr">
        <is>
          <t>Third Party Oversight</t>
        </is>
      </c>
      <c r="D864" s="3" t="inlineStr">
        <is>
          <t>Ongoing Third Party Oversight</t>
        </is>
      </c>
      <c r="E864" s="3" t="inlineStr">
        <is>
          <t>Beacon Biosignals RAID Logs AUG2025</t>
        </is>
      </c>
      <c r="F864" s="2" t="str">
        <f>HYPERLINK("https://vtmf.veevavault.com/ui/#doc_info/29877843/1/0", "VTMF-24048446")</f>
        <v>VTMF-24048446</v>
      </c>
      <c r="G864" s="3" t="inlineStr">
        <is>
          <t/>
        </is>
      </c>
      <c r="H864" s="3" t="inlineStr">
        <is>
          <t>System</t>
        </is>
      </c>
      <c r="I864" s="3" t="inlineStr">
        <is>
          <t>Charles Hayes</t>
        </is>
      </c>
      <c r="J864" s="4" t="n">
        <v>45902.93578703704</v>
      </c>
      <c r="K864" s="5" t="n">
        <v>45902.0</v>
      </c>
      <c r="L864" s="5" t="n">
        <v>45895.0</v>
      </c>
      <c r="M864" s="3" t="inlineStr">
        <is>
          <t>Approved</t>
        </is>
      </c>
      <c r="N864" s="3" t="inlineStr">
        <is>
          <t/>
        </is>
      </c>
      <c r="O864" s="3" t="inlineStr">
        <is>
          <t>42847922MDD3003</t>
        </is>
      </c>
    </row>
    <row r="865">
      <c r="A865" s="2" t="str">
        <f>HYPERLINK("https://vtmf.veevavault.com/ui/#doc_info/28605680/1/0", "42847922MDD3003---Ongoing Third Party Oversight-26 Feb 2025 (v1.0)")</f>
        <v>42847922MDD3003---Ongoing Third Party Oversight-26 Feb 2025 (v1.0)</v>
      </c>
      <c r="B865" s="3" t="inlineStr">
        <is>
          <t>Third Parties</t>
        </is>
      </c>
      <c r="C865" s="3" t="inlineStr">
        <is>
          <t>Third Party Oversight</t>
        </is>
      </c>
      <c r="D865" s="3" t="inlineStr">
        <is>
          <t>Ongoing Third Party Oversight</t>
        </is>
      </c>
      <c r="E865" s="3" t="inlineStr">
        <is>
          <t>Status Meeting Minutes</t>
        </is>
      </c>
      <c r="F865" s="2" t="str">
        <f>HYPERLINK("https://vtmf.veevavault.com/ui/#doc_info/28605680/1/0", "VTMF-22975242")</f>
        <v>VTMF-22975242</v>
      </c>
      <c r="G865" s="3" t="inlineStr">
        <is>
          <t/>
        </is>
      </c>
      <c r="H865" s="3" t="inlineStr">
        <is>
          <t>Anthony Suarez (veeva.com)</t>
        </is>
      </c>
      <c r="I865" s="3" t="inlineStr">
        <is>
          <t>Stephanie Bachman</t>
        </is>
      </c>
      <c r="J865" s="4" t="n">
        <v>45721.90696759259</v>
      </c>
      <c r="K865" s="5" t="n">
        <v>45721.0</v>
      </c>
      <c r="L865" s="5" t="n">
        <v>45714.0</v>
      </c>
      <c r="M865" s="3" t="inlineStr">
        <is>
          <t>Approved</t>
        </is>
      </c>
      <c r="N865" s="3" t="inlineStr">
        <is>
          <t/>
        </is>
      </c>
      <c r="O865" s="3" t="inlineStr">
        <is>
          <t>42847922MDD3003</t>
        </is>
      </c>
    </row>
    <row r="866">
      <c r="A866" s="2" t="str">
        <f>HYPERLINK("https://vtmf.veevavault.com/ui/#doc_info/31825619/1/0", "42847922MDD3003---Ongoing Third Party Oversight-26 May 2026 (v1.0)")</f>
        <v>42847922MDD3003---Ongoing Third Party Oversight-26 May 2026 (v1.0)</v>
      </c>
      <c r="B866" s="3" t="inlineStr">
        <is>
          <t>Third Parties</t>
        </is>
      </c>
      <c r="C866" s="3" t="inlineStr">
        <is>
          <t>Third Party Oversight</t>
        </is>
      </c>
      <c r="D866" s="3" t="inlineStr">
        <is>
          <t>Ongoing Third Party Oversight</t>
        </is>
      </c>
      <c r="E866" s="3" t="inlineStr">
        <is>
          <t>Beacon Biosignals RAID Logs_MAY2026</t>
        </is>
      </c>
      <c r="F866" s="2" t="str">
        <f>HYPERLINK("https://vtmf.veevavault.com/ui/#doc_info/31825619/1/0", "VTMF-25691226")</f>
        <v>VTMF-25691226</v>
      </c>
      <c r="G866" s="3" t="inlineStr">
        <is>
          <t/>
        </is>
      </c>
      <c r="H866" s="3" t="inlineStr">
        <is>
          <t>System</t>
        </is>
      </c>
      <c r="I866" s="3" t="inlineStr">
        <is>
          <t>Charles Hayes</t>
        </is>
      </c>
      <c r="J866" s="4" t="n">
        <v>46178.74234953704</v>
      </c>
      <c r="K866" s="5" t="n">
        <v>46178.0</v>
      </c>
      <c r="L866" s="5" t="n">
        <v>46168.0</v>
      </c>
      <c r="M866" s="3" t="inlineStr">
        <is>
          <t>Approved</t>
        </is>
      </c>
      <c r="N866" s="3" t="inlineStr">
        <is>
          <t/>
        </is>
      </c>
      <c r="O866" s="3" t="inlineStr">
        <is>
          <t>42847922MDD3003</t>
        </is>
      </c>
    </row>
    <row r="867">
      <c r="A867" s="2" t="str">
        <f>HYPERLINK("https://vtmf.veevavault.com/ui/#doc_info/31007544/1/0", "42847922MDD3003---Ongoing Third Party Oversight-27 Jan 2026 (v1.0)")</f>
        <v>42847922MDD3003---Ongoing Third Party Oversight-27 Jan 2026 (v1.0)</v>
      </c>
      <c r="B867" s="3" t="inlineStr">
        <is>
          <t>Third Parties</t>
        </is>
      </c>
      <c r="C867" s="3" t="inlineStr">
        <is>
          <t>Third Party Oversight</t>
        </is>
      </c>
      <c r="D867" s="3" t="inlineStr">
        <is>
          <t>Ongoing Third Party Oversight</t>
        </is>
      </c>
      <c r="E867" s="3" t="inlineStr">
        <is>
          <t>Beacon Biosignals RAID Logs_JAN_2026</t>
        </is>
      </c>
      <c r="F867" s="2" t="str">
        <f>HYPERLINK("https://vtmf.veevavault.com/ui/#doc_info/31007544/1/0", "VTMF-24994851")</f>
        <v>VTMF-24994851</v>
      </c>
      <c r="G867" s="3" t="inlineStr">
        <is>
          <t/>
        </is>
      </c>
      <c r="H867" s="3" t="inlineStr">
        <is>
          <t>System</t>
        </is>
      </c>
      <c r="I867" s="3" t="inlineStr">
        <is>
          <t>Charles Hayes</t>
        </is>
      </c>
      <c r="J867" s="4" t="n">
        <v>46071.04888888889</v>
      </c>
      <c r="K867" s="5" t="n">
        <v>46070.0</v>
      </c>
      <c r="L867" s="5" t="n">
        <v>46049.0</v>
      </c>
      <c r="M867" s="3" t="inlineStr">
        <is>
          <t>Approved</t>
        </is>
      </c>
      <c r="N867" s="3" t="inlineStr">
        <is>
          <t/>
        </is>
      </c>
      <c r="O867" s="3" t="inlineStr">
        <is>
          <t>42847922MDD3003</t>
        </is>
      </c>
    </row>
    <row r="868">
      <c r="A868" s="2" t="str">
        <f>HYPERLINK("https://vtmf.veevavault.com/ui/#doc_info/26605492/1/0", "42847922MDD3003---Ongoing Third Party Oversight-27 Jun 2024 (v1.0)")</f>
        <v>42847922MDD3003---Ongoing Third Party Oversight-27 Jun 2024 (v1.0)</v>
      </c>
      <c r="B868" s="3" t="inlineStr">
        <is>
          <t>Third Parties</t>
        </is>
      </c>
      <c r="C868" s="3" t="inlineStr">
        <is>
          <t>Third Party Oversight</t>
        </is>
      </c>
      <c r="D868" s="3" t="inlineStr">
        <is>
          <t>Ongoing Third Party Oversight</t>
        </is>
      </c>
      <c r="E868" s="3" t="inlineStr">
        <is>
          <t>42847922MDD3003_ICON_Translations_status_Reports_June_2024</t>
        </is>
      </c>
      <c r="F868" s="2" t="str">
        <f>HYPERLINK("https://vtmf.veevavault.com/ui/#doc_info/26605492/1/0", "VTMF-21309966")</f>
        <v>VTMF-21309966</v>
      </c>
      <c r="G868" s="3" t="inlineStr">
        <is>
          <t/>
        </is>
      </c>
      <c r="H868" s="3" t="inlineStr">
        <is>
          <t>Anthony Suarez (veeva.com)</t>
        </is>
      </c>
      <c r="I868" s="3" t="inlineStr">
        <is>
          <t>Hina Rauf</t>
        </is>
      </c>
      <c r="J868" s="4" t="n">
        <v>45470.49796296296</v>
      </c>
      <c r="K868" s="5" t="n">
        <v>45470.0</v>
      </c>
      <c r="L868" s="5" t="n">
        <v>45470.0</v>
      </c>
      <c r="M868" s="3" t="inlineStr">
        <is>
          <t>Approved</t>
        </is>
      </c>
      <c r="N868" s="3" t="inlineStr">
        <is>
          <t/>
        </is>
      </c>
      <c r="O868" s="3" t="inlineStr">
        <is>
          <t>42847922MDD3003</t>
        </is>
      </c>
    </row>
    <row r="869">
      <c r="A869" s="2" t="str">
        <f>HYPERLINK("https://vtmf.veevavault.com/ui/#doc_info/29259042/1/0", "42847922MDD3003---Ongoing Third Party Oversight-27 May 2025 (v1.0)")</f>
        <v>42847922MDD3003---Ongoing Third Party Oversight-27 May 2025 (v1.0)</v>
      </c>
      <c r="B869" s="3" t="inlineStr">
        <is>
          <t>Third Parties</t>
        </is>
      </c>
      <c r="C869" s="3" t="inlineStr">
        <is>
          <t>Third Party Oversight</t>
        </is>
      </c>
      <c r="D869" s="3" t="inlineStr">
        <is>
          <t>Ongoing Third Party Oversight</t>
        </is>
      </c>
      <c r="E869" s="3" t="inlineStr">
        <is>
          <t>Beacon Biosignals Polysomnography RAID Logs May 2025</t>
        </is>
      </c>
      <c r="F869" s="2" t="str">
        <f>HYPERLINK("https://vtmf.veevavault.com/ui/#doc_info/29259042/1/0", "VTMF-23516694")</f>
        <v>VTMF-23516694</v>
      </c>
      <c r="G869" s="3" t="inlineStr">
        <is>
          <t/>
        </is>
      </c>
      <c r="H869" s="3" t="inlineStr">
        <is>
          <t>Anthony Suarez (veeva.com)</t>
        </is>
      </c>
      <c r="I869" s="3" t="inlineStr">
        <is>
          <t>Charles Hayes</t>
        </is>
      </c>
      <c r="J869" s="4" t="n">
        <v>45812.03668981481</v>
      </c>
      <c r="K869" s="5" t="n">
        <v>45811.0</v>
      </c>
      <c r="L869" s="5" t="n">
        <v>45804.0</v>
      </c>
      <c r="M869" s="3" t="inlineStr">
        <is>
          <t>Approved</t>
        </is>
      </c>
      <c r="N869" s="3" t="inlineStr">
        <is>
          <t/>
        </is>
      </c>
      <c r="O869" s="3" t="inlineStr">
        <is>
          <t>42847922MDD3003</t>
        </is>
      </c>
    </row>
    <row r="870">
      <c r="A870" s="2" t="str">
        <f>HYPERLINK("https://vtmf.veevavault.com/ui/#doc_info/31629700/1/0", "42847922MDD3003---Ongoing Third Party Oversight-28 Apr 2026 (v1.0)")</f>
        <v>42847922MDD3003---Ongoing Third Party Oversight-28 Apr 2026 (v1.0)</v>
      </c>
      <c r="B870" s="3" t="inlineStr">
        <is>
          <t>Third Parties</t>
        </is>
      </c>
      <c r="C870" s="3" t="inlineStr">
        <is>
          <t>Third Party Oversight</t>
        </is>
      </c>
      <c r="D870" s="3" t="inlineStr">
        <is>
          <t>Ongoing Third Party Oversight</t>
        </is>
      </c>
      <c r="E870" s="3" t="inlineStr">
        <is>
          <t>Beacon Biosignals RAID Logs_APR 2026</t>
        </is>
      </c>
      <c r="F870" s="2" t="str">
        <f>HYPERLINK("https://vtmf.veevavault.com/ui/#doc_info/31629700/1/0", "VTMF-25526702")</f>
        <v>VTMF-25526702</v>
      </c>
      <c r="G870" s="3" t="inlineStr">
        <is>
          <t/>
        </is>
      </c>
      <c r="H870" s="3" t="inlineStr">
        <is>
          <t>System</t>
        </is>
      </c>
      <c r="I870" s="3" t="inlineStr">
        <is>
          <t>Charles Hayes</t>
        </is>
      </c>
      <c r="J870" s="4" t="n">
        <v>46153.79773148148</v>
      </c>
      <c r="K870" s="5" t="n">
        <v>46153.0</v>
      </c>
      <c r="L870" s="5" t="n">
        <v>46140.0</v>
      </c>
      <c r="M870" s="3" t="inlineStr">
        <is>
          <t>Approved</t>
        </is>
      </c>
      <c r="N870" s="3" t="inlineStr">
        <is>
          <t/>
        </is>
      </c>
      <c r="O870" s="3" t="inlineStr">
        <is>
          <t>42847922MDD3003</t>
        </is>
      </c>
    </row>
    <row r="871">
      <c r="A871" s="2" t="str">
        <f>HYPERLINK("https://vtmf.veevavault.com/ui/#doc_info/25830612/1/0", "42847922MDD3003---Ongoing Third Party Oversight-28 Feb 2024 (v1.0)")</f>
        <v>42847922MDD3003---Ongoing Third Party Oversight-28 Feb 2024 (v1.0)</v>
      </c>
      <c r="B871" s="3" t="inlineStr">
        <is>
          <t>Third Parties</t>
        </is>
      </c>
      <c r="C871" s="3" t="inlineStr">
        <is>
          <t>Third Party Oversight</t>
        </is>
      </c>
      <c r="D871" s="3" t="inlineStr">
        <is>
          <t>Ongoing Third Party Oversight</t>
        </is>
      </c>
      <c r="E871" s="3" t="inlineStr">
        <is>
          <t>Status Meeting Minutes 28Feb2024</t>
        </is>
      </c>
      <c r="F871" s="2" t="str">
        <f>HYPERLINK("https://vtmf.veevavault.com/ui/#doc_info/25830612/1/0", "VTMF-20629617")</f>
        <v>VTMF-20629617</v>
      </c>
      <c r="G871" s="3" t="inlineStr">
        <is>
          <t/>
        </is>
      </c>
      <c r="H871" s="3" t="inlineStr">
        <is>
          <t>Anthony Suarez (veeva.com)</t>
        </is>
      </c>
      <c r="I871" s="3" t="inlineStr">
        <is>
          <t>Stephanie Bachman</t>
        </is>
      </c>
      <c r="J871" s="4" t="n">
        <v>45352.585810185185</v>
      </c>
      <c r="K871" s="5" t="n">
        <v>45352.0</v>
      </c>
      <c r="L871" s="5" t="n">
        <v>45350.0</v>
      </c>
      <c r="M871" s="3" t="inlineStr">
        <is>
          <t>Approved</t>
        </is>
      </c>
      <c r="N871" s="3" t="inlineStr">
        <is>
          <t/>
        </is>
      </c>
      <c r="O871" s="3" t="inlineStr">
        <is>
          <t>42847922MDD3003</t>
        </is>
      </c>
    </row>
    <row r="872">
      <c r="A872" s="2" t="str">
        <f>HYPERLINK("https://vtmf.veevavault.com/ui/#doc_info/28225653/1/0", "42847922MDD3003---Ongoing Third Party Oversight-28 Jan 2025 (v1.0)")</f>
        <v>42847922MDD3003---Ongoing Third Party Oversight-28 Jan 2025 (v1.0)</v>
      </c>
      <c r="B872" s="3" t="inlineStr">
        <is>
          <t>Third Parties</t>
        </is>
      </c>
      <c r="C872" s="3" t="inlineStr">
        <is>
          <t>Third Party Oversight</t>
        </is>
      </c>
      <c r="D872" s="3" t="inlineStr">
        <is>
          <t>Ongoing Third Party Oversight</t>
        </is>
      </c>
      <c r="E872" s="3" t="inlineStr">
        <is>
          <t>Beacon Biosignals RAID Log ; 28JAN2025</t>
        </is>
      </c>
      <c r="F872" s="2" t="str">
        <f>HYPERLINK("https://vtmf.veevavault.com/ui/#doc_info/28225653/1/0", "VTMF-22638259")</f>
        <v>VTMF-22638259</v>
      </c>
      <c r="G872" s="3" t="inlineStr">
        <is>
          <t/>
        </is>
      </c>
      <c r="H872" s="3" t="inlineStr">
        <is>
          <t>Anthony Suarez (veeva.com)</t>
        </is>
      </c>
      <c r="I872" s="3" t="inlineStr">
        <is>
          <t>Charles Hayes</t>
        </is>
      </c>
      <c r="J872" s="4" t="n">
        <v>45692.751493055555</v>
      </c>
      <c r="K872" s="5" t="n">
        <v>45692.0</v>
      </c>
      <c r="L872" s="5" t="n">
        <v>45685.0</v>
      </c>
      <c r="M872" s="3" t="inlineStr">
        <is>
          <t>Approved</t>
        </is>
      </c>
      <c r="N872" s="3" t="inlineStr">
        <is>
          <t/>
        </is>
      </c>
      <c r="O872" s="3" t="inlineStr">
        <is>
          <t>42847922MDD3003</t>
        </is>
      </c>
    </row>
    <row r="873">
      <c r="A873" s="2" t="str">
        <f>HYPERLINK("https://vtmf.veevavault.com/ui/#doc_info/26019538/1/0", "42847922MDD3003---Ongoing Third Party Oversight-28 Mar 2024 (v1.0)")</f>
        <v>42847922MDD3003---Ongoing Third Party Oversight-28 Mar 2024 (v1.0)</v>
      </c>
      <c r="B873" s="3" t="inlineStr">
        <is>
          <t>Third Parties</t>
        </is>
      </c>
      <c r="C873" s="3" t="inlineStr">
        <is>
          <t>Third Party Oversight</t>
        </is>
      </c>
      <c r="D873" s="3" t="inlineStr">
        <is>
          <t>Ongoing Third Party Oversight</t>
        </is>
      </c>
      <c r="E873" s="3" t="inlineStr">
        <is>
          <t>42847922MDD3003 ICON Status reports March 2024</t>
        </is>
      </c>
      <c r="F873" s="2" t="str">
        <f>HYPERLINK("https://vtmf.veevavault.com/ui/#doc_info/26019538/1/0", "VTMF-20796789")</f>
        <v>VTMF-20796789</v>
      </c>
      <c r="G873" s="3" t="inlineStr">
        <is>
          <t/>
        </is>
      </c>
      <c r="H873" s="3" t="inlineStr">
        <is>
          <t>Anthony Suarez (veeva.com)</t>
        </is>
      </c>
      <c r="I873" s="3" t="inlineStr">
        <is>
          <t>Hina Rauf</t>
        </is>
      </c>
      <c r="J873" s="4" t="n">
        <v>45379.41358796296</v>
      </c>
      <c r="K873" s="5" t="n">
        <v>45379.0</v>
      </c>
      <c r="L873" s="5" t="n">
        <v>45379.0</v>
      </c>
      <c r="M873" s="3" t="inlineStr">
        <is>
          <t>Approved</t>
        </is>
      </c>
      <c r="N873" s="3" t="inlineStr">
        <is>
          <t/>
        </is>
      </c>
      <c r="O873" s="3" t="inlineStr">
        <is>
          <t>42847922MDD3003</t>
        </is>
      </c>
    </row>
    <row r="874">
      <c r="A874" s="2" t="str">
        <f>HYPERLINK("https://vtmf.veevavault.com/ui/#doc_info/29259018/1/0", "42847922MDD3003---Ongoing Third Party Oversight-28 May 2025 (v1.0)")</f>
        <v>42847922MDD3003---Ongoing Third Party Oversight-28 May 2025 (v1.0)</v>
      </c>
      <c r="B874" s="3" t="inlineStr">
        <is>
          <t>Third Parties</t>
        </is>
      </c>
      <c r="C874" s="3" t="inlineStr">
        <is>
          <t>Third Party Oversight</t>
        </is>
      </c>
      <c r="D874" s="3" t="inlineStr">
        <is>
          <t>Ongoing Third Party Oversight</t>
        </is>
      </c>
      <c r="E874" s="3" t="inlineStr">
        <is>
          <t>Clario eCOA Monthly Meeting Minutes May 2025</t>
        </is>
      </c>
      <c r="F874" s="2" t="str">
        <f>HYPERLINK("https://vtmf.veevavault.com/ui/#doc_info/29259018/1/0", "VTMF-23516642")</f>
        <v>VTMF-23516642</v>
      </c>
      <c r="G874" s="3" t="inlineStr">
        <is>
          <t/>
        </is>
      </c>
      <c r="H874" s="3" t="inlineStr">
        <is>
          <t>Anthony Suarez (veeva.com)</t>
        </is>
      </c>
      <c r="I874" s="3" t="inlineStr">
        <is>
          <t>Charles Hayes</t>
        </is>
      </c>
      <c r="J874" s="4" t="n">
        <v>45812.00326388889</v>
      </c>
      <c r="K874" s="5" t="n">
        <v>45811.0</v>
      </c>
      <c r="L874" s="5" t="n">
        <v>45805.0</v>
      </c>
      <c r="M874" s="3" t="inlineStr">
        <is>
          <t>Approved</t>
        </is>
      </c>
      <c r="N874" s="3" t="inlineStr">
        <is>
          <t/>
        </is>
      </c>
      <c r="O874" s="3" t="inlineStr">
        <is>
          <t>42847922MDD3003</t>
        </is>
      </c>
    </row>
    <row r="875">
      <c r="A875" s="2" t="str">
        <f>HYPERLINK("https://vtmf.veevavault.com/ui/#doc_info/27763215/1/0", "42847922MDD3003---Ongoing Third Party Oversight-28 Nov 2024 (v1.0)")</f>
        <v>42847922MDD3003---Ongoing Third Party Oversight-28 Nov 2024 (v1.0)</v>
      </c>
      <c r="B875" s="3" t="inlineStr">
        <is>
          <t>Third Parties</t>
        </is>
      </c>
      <c r="C875" s="3" t="inlineStr">
        <is>
          <t>Third Party Oversight</t>
        </is>
      </c>
      <c r="D875" s="3" t="inlineStr">
        <is>
          <t>Ongoing Third Party Oversight</t>
        </is>
      </c>
      <c r="E875" s="3" t="inlineStr">
        <is>
          <t>42847922MDD3003_ICON_Status_reports_November_2024</t>
        </is>
      </c>
      <c r="F875" s="2" t="str">
        <f>HYPERLINK("https://vtmf.veevavault.com/ui/#doc_info/27763215/1/0", "VTMF-22261590")</f>
        <v>VTMF-22261590</v>
      </c>
      <c r="G875" s="3" t="inlineStr">
        <is>
          <t/>
        </is>
      </c>
      <c r="H875" s="3" t="inlineStr">
        <is>
          <t>Anthony Suarez (veeva.com)</t>
        </is>
      </c>
      <c r="I875" s="3" t="inlineStr">
        <is>
          <t>Hina Rauf</t>
        </is>
      </c>
      <c r="J875" s="4" t="n">
        <v>45624.41305555555</v>
      </c>
      <c r="K875" s="5" t="n">
        <v>45624.0</v>
      </c>
      <c r="L875" s="5" t="n">
        <v>45624.0</v>
      </c>
      <c r="M875" s="3" t="inlineStr">
        <is>
          <t>Approved</t>
        </is>
      </c>
      <c r="N875" s="3" t="inlineStr">
        <is>
          <t/>
        </is>
      </c>
      <c r="O875" s="3" t="inlineStr">
        <is>
          <t>42847922MDD3003</t>
        </is>
      </c>
    </row>
    <row r="876">
      <c r="A876" s="2" t="str">
        <f>HYPERLINK("https://vtmf.veevavault.com/ui/#doc_info/30333715/1/0", "42847922MDD3003---Ongoing Third Party Oversight-28 Oct 2025 (v1.0)")</f>
        <v>42847922MDD3003---Ongoing Third Party Oversight-28 Oct 2025 (v1.0)</v>
      </c>
      <c r="B876" s="3" t="inlineStr">
        <is>
          <t>Third Parties</t>
        </is>
      </c>
      <c r="C876" s="3" t="inlineStr">
        <is>
          <t>Third Party Oversight</t>
        </is>
      </c>
      <c r="D876" s="3" t="inlineStr">
        <is>
          <t>Ongoing Third Party Oversight</t>
        </is>
      </c>
      <c r="E876" s="3" t="inlineStr">
        <is>
          <t>Beacon RAID Logs_OCT2025</t>
        </is>
      </c>
      <c r="F876" s="2" t="str">
        <f>HYPERLINK("https://vtmf.veevavault.com/ui/#doc_info/30333715/1/0", "VTMF-24429036")</f>
        <v>VTMF-24429036</v>
      </c>
      <c r="G876" s="3" t="inlineStr">
        <is>
          <t/>
        </is>
      </c>
      <c r="H876" s="3" t="inlineStr">
        <is>
          <t>System</t>
        </is>
      </c>
      <c r="I876" s="3" t="inlineStr">
        <is>
          <t>Charles Hayes</t>
        </is>
      </c>
      <c r="J876" s="4" t="n">
        <v>45968.988703703704</v>
      </c>
      <c r="K876" s="5" t="n">
        <v>45968.0</v>
      </c>
      <c r="L876" s="5" t="n">
        <v>45958.0</v>
      </c>
      <c r="M876" s="3" t="inlineStr">
        <is>
          <t>Approved</t>
        </is>
      </c>
      <c r="N876" s="3" t="inlineStr">
        <is>
          <t/>
        </is>
      </c>
      <c r="O876" s="3" t="inlineStr">
        <is>
          <t>42847922MDD3003</t>
        </is>
      </c>
    </row>
    <row r="877">
      <c r="A877" s="2" t="str">
        <f>HYPERLINK("https://vtmf.veevavault.com/ui/#doc_info/29040028/1/0", "42847922MDD3003---Ongoing Third Party Oversight-29 Apr 2025 (v1.0)")</f>
        <v>42847922MDD3003---Ongoing Third Party Oversight-29 Apr 2025 (v1.0)</v>
      </c>
      <c r="B877" s="3" t="inlineStr">
        <is>
          <t>Third Parties</t>
        </is>
      </c>
      <c r="C877" s="3" t="inlineStr">
        <is>
          <t>Third Party Oversight</t>
        </is>
      </c>
      <c r="D877" s="3" t="inlineStr">
        <is>
          <t>Ongoing Third Party Oversight</t>
        </is>
      </c>
      <c r="E877" s="3" t="inlineStr">
        <is>
          <t>Beacon Polysomnography RAID Logs ; APR2025</t>
        </is>
      </c>
      <c r="F877" s="2" t="str">
        <f>HYPERLINK("https://vtmf.veevavault.com/ui/#doc_info/29040028/1/0", "VTMF-23332640")</f>
        <v>VTMF-23332640</v>
      </c>
      <c r="G877" s="3" t="inlineStr">
        <is>
          <t/>
        </is>
      </c>
      <c r="H877" s="3" t="inlineStr">
        <is>
          <t>Anthony Suarez (veeva.com)</t>
        </is>
      </c>
      <c r="I877" s="3" t="inlineStr">
        <is>
          <t>Charles Hayes</t>
        </is>
      </c>
      <c r="J877" s="4" t="n">
        <v>45782.92085648148</v>
      </c>
      <c r="K877" s="5" t="n">
        <v>45782.0</v>
      </c>
      <c r="L877" s="5" t="n">
        <v>45776.0</v>
      </c>
      <c r="M877" s="3" t="inlineStr">
        <is>
          <t>Approved</t>
        </is>
      </c>
      <c r="N877" s="3" t="inlineStr">
        <is>
          <t/>
        </is>
      </c>
      <c r="O877" s="3" t="inlineStr">
        <is>
          <t>42847922MDD3003</t>
        </is>
      </c>
    </row>
    <row r="878">
      <c r="A878" s="2" t="str">
        <f>HYPERLINK("https://vtmf.veevavault.com/ui/#doc_info/26976384/1/0", "42847922MDD3003---Ongoing Third Party Oversight-29 Aug 2024 (v1.0)")</f>
        <v>42847922MDD3003---Ongoing Third Party Oversight-29 Aug 2024 (v1.0)</v>
      </c>
      <c r="B878" s="3" t="inlineStr">
        <is>
          <t>Third Parties</t>
        </is>
      </c>
      <c r="C878" s="3" t="inlineStr">
        <is>
          <t>Third Party Oversight</t>
        </is>
      </c>
      <c r="D878" s="3" t="inlineStr">
        <is>
          <t>Ongoing Third Party Oversight</t>
        </is>
      </c>
      <c r="E878" s="3" t="inlineStr">
        <is>
          <t>42847922MDD3003_ICON_Translations_Stauts_Reports_August_2024</t>
        </is>
      </c>
      <c r="F878" s="2" t="str">
        <f>HYPERLINK("https://vtmf.veevavault.com/ui/#doc_info/26976384/1/0", "VTMF-21626433")</f>
        <v>VTMF-21626433</v>
      </c>
      <c r="G878" s="3" t="inlineStr">
        <is>
          <t/>
        </is>
      </c>
      <c r="H878" s="3" t="inlineStr">
        <is>
          <t>Anthony Suarez (veeva.com)</t>
        </is>
      </c>
      <c r="I878" s="3" t="inlineStr">
        <is>
          <t>Hina Rauf</t>
        </is>
      </c>
      <c r="J878" s="4" t="n">
        <v>45533.672430555554</v>
      </c>
      <c r="K878" s="5" t="n">
        <v>45533.0</v>
      </c>
      <c r="L878" s="5" t="n">
        <v>45533.0</v>
      </c>
      <c r="M878" s="3" t="inlineStr">
        <is>
          <t>Approved</t>
        </is>
      </c>
      <c r="N878" s="3" t="inlineStr">
        <is>
          <t/>
        </is>
      </c>
      <c r="O878" s="3" t="inlineStr">
        <is>
          <t>42847922MDD3003</t>
        </is>
      </c>
    </row>
    <row r="879">
      <c r="A879" s="2" t="str">
        <f>HYPERLINK("https://vtmf.veevavault.com/ui/#doc_info/31203914/1/0", "42847922MDD3003---Ongoing Third Party Oversight-29 Jan 2024 (v1.0)")</f>
        <v>42847922MDD3003---Ongoing Third Party Oversight-29 Jan 2024 (v1.0)</v>
      </c>
      <c r="B879" s="3" t="inlineStr">
        <is>
          <t>Third Parties</t>
        </is>
      </c>
      <c r="C879" s="3" t="inlineStr">
        <is>
          <t>Third Party Oversight</t>
        </is>
      </c>
      <c r="D879" s="3" t="inlineStr">
        <is>
          <t>Ongoing Third Party Oversight</t>
        </is>
      </c>
      <c r="E879" s="3" t="inlineStr">
        <is>
          <t>Introduction Meeting Minutes 29Jan2024</t>
        </is>
      </c>
      <c r="F879" s="2" t="str">
        <f>HYPERLINK("https://vtmf.veevavault.com/ui/#doc_info/31203914/1/0", "VTMF-25160974")</f>
        <v>VTMF-25160974</v>
      </c>
      <c r="G879" s="3" t="inlineStr">
        <is>
          <t/>
        </is>
      </c>
      <c r="H879" s="3" t="inlineStr">
        <is>
          <t>System</t>
        </is>
      </c>
      <c r="I879" s="3" t="inlineStr">
        <is>
          <t>Stephanie Bachman</t>
        </is>
      </c>
      <c r="J879" s="4" t="n">
        <v>46099.592199074075</v>
      </c>
      <c r="K879" s="5" t="n">
        <v>46150.0</v>
      </c>
      <c r="L879" s="5" t="n">
        <v>45320.0</v>
      </c>
      <c r="M879" s="3" t="inlineStr">
        <is>
          <t>Approved</t>
        </is>
      </c>
      <c r="N879" s="3" t="inlineStr">
        <is>
          <t/>
        </is>
      </c>
      <c r="O879" s="3" t="inlineStr">
        <is>
          <t>42847922MDD3003</t>
        </is>
      </c>
    </row>
    <row r="880">
      <c r="A880" s="2" t="str">
        <f>HYPERLINK("https://vtmf.veevavault.com/ui/#doc_info/28242861/1/0", "42847922MDD3003---Ongoing Third Party Oversight-29 Jan 2025 (v1.0)")</f>
        <v>42847922MDD3003---Ongoing Third Party Oversight-29 Jan 2025 (v1.0)</v>
      </c>
      <c r="B880" s="3" t="inlineStr">
        <is>
          <t>Third Parties</t>
        </is>
      </c>
      <c r="C880" s="3" t="inlineStr">
        <is>
          <t>Third Party Oversight</t>
        </is>
      </c>
      <c r="D880" s="3" t="inlineStr">
        <is>
          <t>Ongoing Third Party Oversight</t>
        </is>
      </c>
      <c r="E880" s="3" t="inlineStr">
        <is>
          <t>Status Meeting Minutes 29Jan2025</t>
        </is>
      </c>
      <c r="F880" s="2" t="str">
        <f>HYPERLINK("https://vtmf.veevavault.com/ui/#doc_info/28242861/1/0", "VTMF-22653095")</f>
        <v>VTMF-22653095</v>
      </c>
      <c r="G880" s="3" t="inlineStr">
        <is>
          <t/>
        </is>
      </c>
      <c r="H880" s="3" t="inlineStr">
        <is>
          <t>Anthony Suarez (veeva.com)</t>
        </is>
      </c>
      <c r="I880" s="3" t="inlineStr">
        <is>
          <t>Stephanie Bachman</t>
        </is>
      </c>
      <c r="J880" s="4" t="n">
        <v>45694.59775462963</v>
      </c>
      <c r="K880" s="5" t="n">
        <v>45694.0</v>
      </c>
      <c r="L880" s="5" t="n">
        <v>45686.0</v>
      </c>
      <c r="M880" s="3" t="inlineStr">
        <is>
          <t>Approved</t>
        </is>
      </c>
      <c r="N880" s="3" t="inlineStr">
        <is>
          <t/>
        </is>
      </c>
      <c r="O880" s="3" t="inlineStr">
        <is>
          <t>42847922MDD3003</t>
        </is>
      </c>
    </row>
    <row r="881">
      <c r="A881" s="2" t="str">
        <f>HYPERLINK("https://vtmf.veevavault.com/ui/#doc_info/29703059/1/0", "42847922MDD3003---Ongoing Third Party Oversight-29 Jul 2025 (v1.0)")</f>
        <v>42847922MDD3003---Ongoing Third Party Oversight-29 Jul 2025 (v1.0)</v>
      </c>
      <c r="B881" s="3" t="inlineStr">
        <is>
          <t>Third Parties</t>
        </is>
      </c>
      <c r="C881" s="3" t="inlineStr">
        <is>
          <t>Third Party Oversight</t>
        </is>
      </c>
      <c r="D881" s="3" t="inlineStr">
        <is>
          <t>Ongoing Third Party Oversight</t>
        </is>
      </c>
      <c r="E881" s="3" t="inlineStr">
        <is>
          <t>Beacon RAID Logs JULY 2025</t>
        </is>
      </c>
      <c r="F881" s="2" t="str">
        <f>HYPERLINK("https://vtmf.veevavault.com/ui/#doc_info/29703059/1/0", "VTMF-23898678")</f>
        <v>VTMF-23898678</v>
      </c>
      <c r="G881" s="3" t="inlineStr">
        <is>
          <t/>
        </is>
      </c>
      <c r="H881" s="3" t="inlineStr">
        <is>
          <t>System</t>
        </is>
      </c>
      <c r="I881" s="3" t="inlineStr">
        <is>
          <t>Charles Hayes</t>
        </is>
      </c>
      <c r="J881" s="4" t="n">
        <v>45874.593206018515</v>
      </c>
      <c r="K881" s="5" t="n">
        <v>45874.0</v>
      </c>
      <c r="L881" s="5" t="n">
        <v>45867.0</v>
      </c>
      <c r="M881" s="3" t="inlineStr">
        <is>
          <t>Approved</t>
        </is>
      </c>
      <c r="N881" s="3" t="inlineStr">
        <is>
          <t/>
        </is>
      </c>
      <c r="O881" s="3" t="inlineStr">
        <is>
          <t>42847922MDD3003</t>
        </is>
      </c>
    </row>
    <row r="882">
      <c r="A882" s="2" t="str">
        <f>HYPERLINK("https://vtmf.veevavault.com/ui/#doc_info/26417049/1/0", "42847922MDD3003---Ongoing Third Party Oversight-29 May 2024 (v1.0)")</f>
        <v>42847922MDD3003---Ongoing Third Party Oversight-29 May 2024 (v1.0)</v>
      </c>
      <c r="B882" s="3" t="inlineStr">
        <is>
          <t>Third Parties</t>
        </is>
      </c>
      <c r="C882" s="3" t="inlineStr">
        <is>
          <t>Third Party Oversight</t>
        </is>
      </c>
      <c r="D882" s="3" t="inlineStr">
        <is>
          <t>Ongoing Third Party Oversight</t>
        </is>
      </c>
      <c r="E882" s="3" t="inlineStr">
        <is>
          <t>42847922MDD3003 ICON Status reports May 2024</t>
        </is>
      </c>
      <c r="F882" s="2" t="str">
        <f>HYPERLINK("https://vtmf.veevavault.com/ui/#doc_info/26417049/1/0", "VTMF-21144086")</f>
        <v>VTMF-21144086</v>
      </c>
      <c r="G882" s="3" t="inlineStr">
        <is>
          <t/>
        </is>
      </c>
      <c r="H882" s="3" t="inlineStr">
        <is>
          <t>Anthony Suarez (veeva.com)</t>
        </is>
      </c>
      <c r="I882" s="3" t="inlineStr">
        <is>
          <t>Hina Rauf</t>
        </is>
      </c>
      <c r="J882" s="4" t="n">
        <v>45441.687476851854</v>
      </c>
      <c r="K882" s="5" t="n">
        <v>45441.0</v>
      </c>
      <c r="L882" s="5" t="n">
        <v>45441.0</v>
      </c>
      <c r="M882" s="3" t="inlineStr">
        <is>
          <t>Approved</t>
        </is>
      </c>
      <c r="N882" s="3" t="inlineStr">
        <is>
          <t/>
        </is>
      </c>
      <c r="O882" s="3" t="inlineStr">
        <is>
          <t>42847922MDD3003</t>
        </is>
      </c>
    </row>
    <row r="883">
      <c r="A883" s="2" t="str">
        <f>HYPERLINK("https://vtmf.veevavault.com/ui/#doc_info/27355110/1/0", "42847922MDD3003---Ongoing Third Party Oversight-29 Oct 2024 (v1.0)")</f>
        <v>42847922MDD3003---Ongoing Third Party Oversight-29 Oct 2024 (v1.0)</v>
      </c>
      <c r="B883" s="3" t="inlineStr">
        <is>
          <t>Third Parties</t>
        </is>
      </c>
      <c r="C883" s="3" t="inlineStr">
        <is>
          <t>Third Party Oversight</t>
        </is>
      </c>
      <c r="D883" s="3" t="inlineStr">
        <is>
          <t>Ongoing Third Party Oversight</t>
        </is>
      </c>
      <c r="E883" s="3" t="inlineStr">
        <is>
          <t>42847922MDD3003_ICON_Status_reports_October_2024</t>
        </is>
      </c>
      <c r="F883" s="2" t="str">
        <f>HYPERLINK("https://vtmf.veevavault.com/ui/#doc_info/27355110/1/0", "VTMF-21944121")</f>
        <v>VTMF-21944121</v>
      </c>
      <c r="G883" s="3" t="inlineStr">
        <is>
          <t/>
        </is>
      </c>
      <c r="H883" s="3" t="inlineStr">
        <is>
          <t>Anthony Suarez (veeva.com)</t>
        </is>
      </c>
      <c r="I883" s="3" t="inlineStr">
        <is>
          <t>Hina Rauf</t>
        </is>
      </c>
      <c r="J883" s="4" t="n">
        <v>45594.44902777778</v>
      </c>
      <c r="K883" s="5" t="n">
        <v>45594.0</v>
      </c>
      <c r="L883" s="5" t="n">
        <v>45594.0</v>
      </c>
      <c r="M883" s="3" t="inlineStr">
        <is>
          <t>Approved</t>
        </is>
      </c>
      <c r="N883" s="3" t="inlineStr">
        <is>
          <t/>
        </is>
      </c>
      <c r="O883" s="3" t="inlineStr">
        <is>
          <t>42847922MDD3003</t>
        </is>
      </c>
    </row>
    <row r="884">
      <c r="A884" s="2" t="str">
        <f>HYPERLINK("https://vtmf.veevavault.com/ui/#doc_info/30323352/1/0", "42847922MDD3003---Ongoing Third Party Oversight-29 Oct 2025 (v1.0)")</f>
        <v>42847922MDD3003---Ongoing Third Party Oversight-29 Oct 2025 (v1.0)</v>
      </c>
      <c r="B884" s="3" t="inlineStr">
        <is>
          <t>Third Parties</t>
        </is>
      </c>
      <c r="C884" s="3" t="inlineStr">
        <is>
          <t>Third Party Oversight</t>
        </is>
      </c>
      <c r="D884" s="3" t="inlineStr">
        <is>
          <t>Ongoing Third Party Oversight</t>
        </is>
      </c>
      <c r="E884" s="3" t="inlineStr">
        <is>
          <t>Clario eCOA Bi-Weekly Study Logs_OCT2025</t>
        </is>
      </c>
      <c r="F884" s="2" t="str">
        <f>HYPERLINK("https://vtmf.veevavault.com/ui/#doc_info/30323352/1/0", "VTMF-24419892")</f>
        <v>VTMF-24419892</v>
      </c>
      <c r="G884" s="3" t="inlineStr">
        <is>
          <t/>
        </is>
      </c>
      <c r="H884" s="3" t="inlineStr">
        <is>
          <t>System</t>
        </is>
      </c>
      <c r="I884" s="3" t="inlineStr">
        <is>
          <t>Charles Hayes</t>
        </is>
      </c>
      <c r="J884" s="4" t="n">
        <v>45967.97179398148</v>
      </c>
      <c r="K884" s="5" t="n">
        <v>45967.0</v>
      </c>
      <c r="L884" s="5" t="n">
        <v>45959.0</v>
      </c>
      <c r="M884" s="3" t="inlineStr">
        <is>
          <t>Approved</t>
        </is>
      </c>
      <c r="N884" s="3" t="inlineStr">
        <is>
          <t/>
        </is>
      </c>
      <c r="O884" s="3" t="inlineStr">
        <is>
          <t>42847922MDD3003</t>
        </is>
      </c>
    </row>
    <row r="885">
      <c r="A885" s="2" t="str">
        <f>HYPERLINK("https://vtmf.veevavault.com/ui/#doc_info/30559179/1/0", "42847922MDD3003---Ongoing Third Party Oversight-30 Oct 2025 (v1.0)")</f>
        <v>42847922MDD3003---Ongoing Third Party Oversight-30 Oct 2025 (v1.0)</v>
      </c>
      <c r="B885" s="3" t="inlineStr">
        <is>
          <t>Third Parties</t>
        </is>
      </c>
      <c r="C885" s="3" t="inlineStr">
        <is>
          <t>Third Party Oversight</t>
        </is>
      </c>
      <c r="D885" s="3" t="inlineStr">
        <is>
          <t>Ongoing Third Party Oversight</t>
        </is>
      </c>
      <c r="E885" s="3" t="inlineStr">
        <is>
          <t>ECG_Clario Quality Event Report DEV-08170_30Oct2025</t>
        </is>
      </c>
      <c r="F885" s="2" t="str">
        <f>HYPERLINK("https://vtmf.veevavault.com/ui/#doc_info/30559179/1/0", "VTMF-24621115")</f>
        <v>VTMF-24621115</v>
      </c>
      <c r="G885" s="3" t="inlineStr">
        <is>
          <t/>
        </is>
      </c>
      <c r="H885" s="3" t="inlineStr">
        <is>
          <t>Anthony Suarez (veeva.com)</t>
        </is>
      </c>
      <c r="I885" s="3" t="inlineStr">
        <is>
          <t>Lee Walesyn</t>
        </is>
      </c>
      <c r="J885" s="4" t="n">
        <v>45999.81113425926</v>
      </c>
      <c r="K885" s="5" t="n">
        <v>45999.0</v>
      </c>
      <c r="L885" s="5" t="n">
        <v>45960.0</v>
      </c>
      <c r="M885" s="3" t="inlineStr">
        <is>
          <t>Approved</t>
        </is>
      </c>
      <c r="N885" s="3" t="inlineStr">
        <is>
          <t/>
        </is>
      </c>
      <c r="O885" s="3" t="inlineStr">
        <is>
          <t>42847922MDD3003, 67953964MDD3005, 67953964MDD3007, 89495120MDD2001</t>
        </is>
      </c>
    </row>
    <row r="886">
      <c r="A886" s="2" t="str">
        <f>HYPERLINK("https://vtmf.veevavault.com/ui/#doc_info/30559185/1/0", "42847922MDD3003---Ongoing Third Party Oversight-30 Oct 2025 (v1.0)")</f>
        <v>42847922MDD3003---Ongoing Third Party Oversight-30 Oct 2025 (v1.0)</v>
      </c>
      <c r="B886" s="3" t="inlineStr">
        <is>
          <t>Third Parties</t>
        </is>
      </c>
      <c r="C886" s="3" t="inlineStr">
        <is>
          <t>Third Party Oversight</t>
        </is>
      </c>
      <c r="D886" s="3" t="inlineStr">
        <is>
          <t>Ongoing Third Party Oversight</t>
        </is>
      </c>
      <c r="E886" s="3" t="inlineStr">
        <is>
          <t>ECG_Clario Quality Event Report DEV-08170_Clario responses to JnJ Comments_30Oct2025</t>
        </is>
      </c>
      <c r="F886" s="2" t="str">
        <f>HYPERLINK("https://vtmf.veevavault.com/ui/#doc_info/30559185/1/0", "VTMF-24621132")</f>
        <v>VTMF-24621132</v>
      </c>
      <c r="G886" s="3" t="inlineStr">
        <is>
          <t/>
        </is>
      </c>
      <c r="H886" s="3" t="inlineStr">
        <is>
          <t>Anthony Suarez (veeva.com)</t>
        </is>
      </c>
      <c r="I886" s="3" t="inlineStr">
        <is>
          <t>Lee Walesyn</t>
        </is>
      </c>
      <c r="J886" s="4" t="n">
        <v>45999.813055555554</v>
      </c>
      <c r="K886" s="5" t="n">
        <v>45999.0</v>
      </c>
      <c r="L886" s="5" t="n">
        <v>45960.0</v>
      </c>
      <c r="M886" s="3" t="inlineStr">
        <is>
          <t>Approved</t>
        </is>
      </c>
      <c r="N886" s="3" t="inlineStr">
        <is>
          <t/>
        </is>
      </c>
      <c r="O886" s="3" t="inlineStr">
        <is>
          <t>42847922MDD3003, 67953964MDD3005, 67953964MDD3007, 89495120MDD2001</t>
        </is>
      </c>
    </row>
    <row r="887">
      <c r="A887" s="2" t="str">
        <f>HYPERLINK("https://vtmf.veevavault.com/ui/#doc_info/30086385/1/0", "42847922MDD3003---Ongoing Third Party Oversight-30 Sep 2025 (v1.0)")</f>
        <v>42847922MDD3003---Ongoing Third Party Oversight-30 Sep 2025 (v1.0)</v>
      </c>
      <c r="B887" s="3" t="inlineStr">
        <is>
          <t>Third Parties</t>
        </is>
      </c>
      <c r="C887" s="3" t="inlineStr">
        <is>
          <t>Third Party Oversight</t>
        </is>
      </c>
      <c r="D887" s="3" t="inlineStr">
        <is>
          <t>Ongoing Third Party Oversight</t>
        </is>
      </c>
      <c r="E887" s="3" t="inlineStr">
        <is>
          <t>Beacon Biosignals RAID Logs_SEP 2025</t>
        </is>
      </c>
      <c r="F887" s="2" t="str">
        <f>HYPERLINK("https://vtmf.veevavault.com/ui/#doc_info/30086385/1/0", "VTMF-24217765")</f>
        <v>VTMF-24217765</v>
      </c>
      <c r="G887" s="3" t="inlineStr">
        <is>
          <t/>
        </is>
      </c>
      <c r="H887" s="3" t="inlineStr">
        <is>
          <t>System</t>
        </is>
      </c>
      <c r="I887" s="3" t="inlineStr">
        <is>
          <t>Charles Hayes</t>
        </is>
      </c>
      <c r="J887" s="4" t="n">
        <v>45932.81394675926</v>
      </c>
      <c r="K887" s="5" t="n">
        <v>45932.0</v>
      </c>
      <c r="L887" s="5" t="n">
        <v>45930.0</v>
      </c>
      <c r="M887" s="3" t="inlineStr">
        <is>
          <t>Approved</t>
        </is>
      </c>
      <c r="N887" s="3" t="inlineStr">
        <is>
          <t/>
        </is>
      </c>
      <c r="O887" s="3" t="inlineStr">
        <is>
          <t>42847922MDD3003</t>
        </is>
      </c>
    </row>
    <row r="888">
      <c r="A888" s="2" t="str">
        <f>HYPERLINK("https://vtmf.veevavault.com/ui/#doc_info/26801690/1/0", "42847922MDD3003---Ongoing Third Party Oversight-31 Jul 2024 (v1.0)")</f>
        <v>42847922MDD3003---Ongoing Third Party Oversight-31 Jul 2024 (v1.0)</v>
      </c>
      <c r="B888" s="3" t="inlineStr">
        <is>
          <t>Third Parties</t>
        </is>
      </c>
      <c r="C888" s="3" t="inlineStr">
        <is>
          <t>Third Party Oversight</t>
        </is>
      </c>
      <c r="D888" s="3" t="inlineStr">
        <is>
          <t>Ongoing Third Party Oversight</t>
        </is>
      </c>
      <c r="E888" s="3" t="inlineStr">
        <is>
          <t>42847922MDD3003_ICON_Status reports_July2024</t>
        </is>
      </c>
      <c r="F888" s="2" t="str">
        <f>HYPERLINK("https://vtmf.veevavault.com/ui/#doc_info/26801690/1/0", "VTMF-21479885")</f>
        <v>VTMF-21479885</v>
      </c>
      <c r="G888" s="3" t="inlineStr">
        <is>
          <t/>
        </is>
      </c>
      <c r="H888" s="3" t="inlineStr">
        <is>
          <t>Anthony Suarez (veeva.com)</t>
        </is>
      </c>
      <c r="I888" s="3" t="inlineStr">
        <is>
          <t>Hina Rauf</t>
        </is>
      </c>
      <c r="J888" s="4" t="n">
        <v>45504.48048611111</v>
      </c>
      <c r="K888" s="5" t="n">
        <v>45504.0</v>
      </c>
      <c r="L888" s="5" t="n">
        <v>45504.0</v>
      </c>
      <c r="M888" s="3" t="inlineStr">
        <is>
          <t>Approved</t>
        </is>
      </c>
      <c r="N888" s="3" t="inlineStr">
        <is>
          <t/>
        </is>
      </c>
      <c r="O888" s="3" t="inlineStr">
        <is>
          <t>42847922MDD3003</t>
        </is>
      </c>
    </row>
    <row r="889">
      <c r="A889" s="2" t="str">
        <f>HYPERLINK("https://vtmf.veevavault.com/ui/#doc_info/26858340/1/0", "42847922MDD3003---Ongoing Third Party Oversight-31 Jul 2024 (v1.0)")</f>
        <v>42847922MDD3003---Ongoing Third Party Oversight-31 Jul 2024 (v1.0)</v>
      </c>
      <c r="B889" s="3" t="inlineStr">
        <is>
          <t>Third Parties</t>
        </is>
      </c>
      <c r="C889" s="3" t="inlineStr">
        <is>
          <t>Third Party Oversight</t>
        </is>
      </c>
      <c r="D889" s="3" t="inlineStr">
        <is>
          <t>Ongoing Third Party Oversight</t>
        </is>
      </c>
      <c r="E889" s="3" t="inlineStr">
        <is>
          <t>Status Meeting Minutes 31Jul2024</t>
        </is>
      </c>
      <c r="F889" s="2" t="str">
        <f>HYPERLINK("https://vtmf.veevavault.com/ui/#doc_info/26858340/1/0", "VTMF-21527733")</f>
        <v>VTMF-21527733</v>
      </c>
      <c r="G889" s="3" t="inlineStr">
        <is>
          <t/>
        </is>
      </c>
      <c r="H889" s="3" t="inlineStr">
        <is>
          <t>Anthony Suarez (veeva.com)</t>
        </is>
      </c>
      <c r="I889" s="3" t="inlineStr">
        <is>
          <t>Stephanie Bachman</t>
        </is>
      </c>
      <c r="J889" s="4" t="n">
        <v>45512.88743055556</v>
      </c>
      <c r="K889" s="5" t="n">
        <v>45512.0</v>
      </c>
      <c r="L889" s="5" t="n">
        <v>45504.0</v>
      </c>
      <c r="M889" s="3" t="inlineStr">
        <is>
          <t>Approved</t>
        </is>
      </c>
      <c r="N889" s="3" t="inlineStr">
        <is>
          <t/>
        </is>
      </c>
      <c r="O889" s="3" t="inlineStr">
        <is>
          <t>42847922MDD3003</t>
        </is>
      </c>
    </row>
    <row r="890">
      <c r="A890" s="2" t="str">
        <f>HYPERLINK("https://vtmf.veevavault.com/ui/#doc_info/31332835/1/0", "42847922MDD3003---Ongoing Third Party Oversight-31 Mar 2026 (v1.0)")</f>
        <v>42847922MDD3003---Ongoing Third Party Oversight-31 Mar 2026 (v1.0)</v>
      </c>
      <c r="B890" s="3" t="inlineStr">
        <is>
          <t>Third Parties</t>
        </is>
      </c>
      <c r="C890" s="3" t="inlineStr">
        <is>
          <t>Third Party Oversight</t>
        </is>
      </c>
      <c r="D890" s="3" t="inlineStr">
        <is>
          <t>Ongoing Third Party Oversight</t>
        </is>
      </c>
      <c r="E890" s="3" t="inlineStr">
        <is>
          <t>Beacon Biosignals RAID Logs_MARCH 2026</t>
        </is>
      </c>
      <c r="F890" s="2" t="str">
        <f>HYPERLINK("https://vtmf.veevavault.com/ui/#doc_info/31332835/1/0", "VTMF-25268869")</f>
        <v>VTMF-25268869</v>
      </c>
      <c r="G890" s="3" t="inlineStr">
        <is>
          <t/>
        </is>
      </c>
      <c r="H890" s="3" t="inlineStr">
        <is>
          <t>System</t>
        </is>
      </c>
      <c r="I890" s="3" t="inlineStr">
        <is>
          <t>Charles Hayes</t>
        </is>
      </c>
      <c r="J890" s="4" t="n">
        <v>46114.88924768518</v>
      </c>
      <c r="K890" s="5" t="n">
        <v>46114.0</v>
      </c>
      <c r="L890" s="5" t="n">
        <v>46112.0</v>
      </c>
      <c r="M890" s="3" t="inlineStr">
        <is>
          <t>Approved</t>
        </is>
      </c>
      <c r="N890" s="3" t="inlineStr">
        <is>
          <t/>
        </is>
      </c>
      <c r="O890" s="3" t="inlineStr">
        <is>
          <t>42847922MDD3003</t>
        </is>
      </c>
    </row>
    <row r="891">
      <c r="A891" s="2" t="str">
        <f>HYPERLINK("https://vtmf.veevavault.com/ui/#doc_info/31824736/1/0", "42847922MDD3003---Ongoing Third Party Oversight-31 May 2026 (v1.0)")</f>
        <v>42847922MDD3003---Ongoing Third Party Oversight-31 May 2026 (v1.0)</v>
      </c>
      <c r="B891" s="3" t="inlineStr">
        <is>
          <t>Third Parties</t>
        </is>
      </c>
      <c r="C891" s="3" t="inlineStr">
        <is>
          <t>Third Party Oversight</t>
        </is>
      </c>
      <c r="D891" s="3" t="inlineStr">
        <is>
          <t>Ongoing Third Party Oversight</t>
        </is>
      </c>
      <c r="E891" s="3" t="inlineStr">
        <is>
          <t>Clario eCOA Study Logs_MAY 2026</t>
        </is>
      </c>
      <c r="F891" s="2" t="str">
        <f>HYPERLINK("https://vtmf.veevavault.com/ui/#doc_info/31824736/1/0", "VTMF-25690359")</f>
        <v>VTMF-25690359</v>
      </c>
      <c r="G891" s="3" t="inlineStr">
        <is>
          <t/>
        </is>
      </c>
      <c r="H891" s="3" t="inlineStr">
        <is>
          <t>System</t>
        </is>
      </c>
      <c r="I891" s="3" t="inlineStr">
        <is>
          <t>Charles Hayes</t>
        </is>
      </c>
      <c r="J891" s="4" t="n">
        <v>46178.655960648146</v>
      </c>
      <c r="K891" s="5" t="n">
        <v>46178.0</v>
      </c>
      <c r="L891" s="5" t="n">
        <v>46173.0</v>
      </c>
      <c r="M891" s="3" t="inlineStr">
        <is>
          <t>Approved</t>
        </is>
      </c>
      <c r="N891" s="3" t="inlineStr">
        <is>
          <t/>
        </is>
      </c>
      <c r="O891" s="3" t="inlineStr">
        <is>
          <t>42847922MDD3003</t>
        </is>
      </c>
    </row>
    <row r="892">
      <c r="A892" s="2" t="str">
        <f>HYPERLINK("https://vtmf.veevavault.com/ui/#doc_info/25655475/4/0", "42847922MDD3003---Operational Oversight-12 May 2025 (v4.0)")</f>
        <v>42847922MDD3003---Operational Oversight-12 May 2025 (v4.0)</v>
      </c>
      <c r="B892" s="3" t="inlineStr">
        <is>
          <t>Trial Management</t>
        </is>
      </c>
      <c r="C892" s="3" t="inlineStr">
        <is>
          <t>Trial Oversight</t>
        </is>
      </c>
      <c r="D892" s="3" t="inlineStr">
        <is>
          <t>Operational Oversight</t>
        </is>
      </c>
      <c r="E892" s="3" t="inlineStr">
        <is>
          <t>Clinician Responsibility Matrix v4.0 12May25</t>
        </is>
      </c>
      <c r="F892" s="2" t="str">
        <f>HYPERLINK("https://vtmf.veevavault.com/ui/#doc_info/25655475/4/0", "VTMF-20476132")</f>
        <v>VTMF-20476132</v>
      </c>
      <c r="G892" s="3" t="inlineStr">
        <is>
          <t/>
        </is>
      </c>
      <c r="H892" s="3" t="inlineStr">
        <is>
          <t>Kristina Ruzinska</t>
        </is>
      </c>
      <c r="I892" s="3" t="inlineStr">
        <is>
          <t>Gina Stefanelli</t>
        </is>
      </c>
      <c r="J892" s="4" t="n">
        <v>45789.68717592592</v>
      </c>
      <c r="K892" s="5" t="n">
        <v>45789.0</v>
      </c>
      <c r="L892" s="5" t="n">
        <v>45789.0</v>
      </c>
      <c r="M892" s="3" t="inlineStr">
        <is>
          <t>Approved</t>
        </is>
      </c>
      <c r="N892" s="3" t="inlineStr">
        <is>
          <t/>
        </is>
      </c>
      <c r="O892" s="3" t="inlineStr">
        <is>
          <t>42847922MDD3003</t>
        </is>
      </c>
    </row>
    <row r="893">
      <c r="A893" s="2" t="str">
        <f>HYPERLINK("https://vtmf.veevavault.com/ui/#doc_info/28792332/1/0", "42847922MDD3003---Operational Procedure Manual-02 Apr 2025 (v1.0)")</f>
        <v>42847922MDD3003---Operational Procedure Manual-02 Apr 2025 (v1.0)</v>
      </c>
      <c r="B893" s="3" t="inlineStr">
        <is>
          <t>Trial Management</t>
        </is>
      </c>
      <c r="C893" s="3" t="inlineStr">
        <is>
          <t>Trial Oversight</t>
        </is>
      </c>
      <c r="D893" s="3" t="inlineStr">
        <is>
          <t>Operational Procedure Manual</t>
        </is>
      </c>
      <c r="E893" s="3" t="inlineStr">
        <is>
          <t>MDD3003_Patient Journey Part 1_PA2_v1.0</t>
        </is>
      </c>
      <c r="F893" s="2" t="str">
        <f>HYPERLINK("https://vtmf.veevavault.com/ui/#doc_info/28792332/1/0", "VTMF-23132991")</f>
        <v>VTMF-23132991</v>
      </c>
      <c r="G893" s="3" t="inlineStr">
        <is>
          <t/>
        </is>
      </c>
      <c r="H893" s="3" t="inlineStr">
        <is>
          <t>Anthony Suarez (veeva.com)</t>
        </is>
      </c>
      <c r="I893" s="3" t="inlineStr">
        <is>
          <t>Kristina Ruzinska</t>
        </is>
      </c>
      <c r="J893" s="4" t="n">
        <v>45749.54790509259</v>
      </c>
      <c r="K893" s="5" t="n">
        <v>45749.0</v>
      </c>
      <c r="L893" s="5" t="n">
        <v>45749.0</v>
      </c>
      <c r="M893" s="3" t="inlineStr">
        <is>
          <t>Approved</t>
        </is>
      </c>
      <c r="N893" s="3" t="inlineStr">
        <is>
          <t/>
        </is>
      </c>
      <c r="O893" s="3" t="inlineStr">
        <is>
          <t>42847922MDD3003</t>
        </is>
      </c>
    </row>
    <row r="894">
      <c r="A894" s="2" t="str">
        <f>HYPERLINK("https://vtmf.veevavault.com/ui/#doc_info/26340460/1/0", "42847922MDD3003---Operational Procedure Manual-06 May 2024 (v1.0)")</f>
        <v>42847922MDD3003---Operational Procedure Manual-06 May 2024 (v1.0)</v>
      </c>
      <c r="B894" s="3" t="inlineStr">
        <is>
          <t>Trial Management</t>
        </is>
      </c>
      <c r="C894" s="3" t="inlineStr">
        <is>
          <t>Trial Oversight</t>
        </is>
      </c>
      <c r="D894" s="3" t="inlineStr">
        <is>
          <t>Operational Procedure Manual</t>
        </is>
      </c>
      <c r="E894" s="3" t="inlineStr">
        <is>
          <t>KAB89504_GSG1618.04enUS02_SurfacePro_06May2024</t>
        </is>
      </c>
      <c r="F894" s="2" t="str">
        <f>HYPERLINK("https://vtmf.veevavault.com/ui/#doc_info/26340460/1/0", "VTMF-21077267")</f>
        <v>VTMF-21077267</v>
      </c>
      <c r="G894" s="3" t="inlineStr">
        <is>
          <t/>
        </is>
      </c>
      <c r="H894" s="3" t="inlineStr">
        <is>
          <t>System</t>
        </is>
      </c>
      <c r="I894" s="3" t="inlineStr">
        <is>
          <t>Gina Stefanelli</t>
        </is>
      </c>
      <c r="J894" s="4" t="n">
        <v>45428.82381944444</v>
      </c>
      <c r="K894" s="5" t="n">
        <v>45428.0</v>
      </c>
      <c r="L894" s="5" t="n">
        <v>45418.0</v>
      </c>
      <c r="M894" s="3" t="inlineStr">
        <is>
          <t>Approved</t>
        </is>
      </c>
      <c r="N894" s="3" t="inlineStr">
        <is>
          <t/>
        </is>
      </c>
      <c r="O894" s="3" t="inlineStr">
        <is>
          <t>42847922MDD3003</t>
        </is>
      </c>
    </row>
    <row r="895">
      <c r="A895" s="2" t="str">
        <f>HYPERLINK("https://vtmf.veevavault.com/ui/#doc_info/26274463/1/0", "42847922MDD3003---Operational Procedure Manual-07 May 2024 (v1.0)")</f>
        <v>42847922MDD3003---Operational Procedure Manual-07 May 2024 (v1.0)</v>
      </c>
      <c r="B895" s="3" t="inlineStr">
        <is>
          <t>Trial Management</t>
        </is>
      </c>
      <c r="C895" s="3" t="inlineStr">
        <is>
          <t>Trial Oversight</t>
        </is>
      </c>
      <c r="D895" s="3" t="inlineStr">
        <is>
          <t>Operational Procedure Manual</t>
        </is>
      </c>
      <c r="E895" s="3" t="inlineStr">
        <is>
          <t>42847922MDD3003 Cardiac Upload Quick Guide 09May2022</t>
        </is>
      </c>
      <c r="F895" s="2" t="str">
        <f>HYPERLINK("https://vtmf.veevavault.com/ui/#doc_info/26274463/1/0", "VTMF-21019452")</f>
        <v>VTMF-21019452</v>
      </c>
      <c r="G895" s="3" t="inlineStr">
        <is>
          <t/>
        </is>
      </c>
      <c r="H895" s="3" t="inlineStr">
        <is>
          <t>Jennifer Hockenbury</t>
        </is>
      </c>
      <c r="I895" s="3" t="inlineStr">
        <is>
          <t>Jamie Hardy</t>
        </is>
      </c>
      <c r="J895" s="4" t="n">
        <v>45419.64686342593</v>
      </c>
      <c r="K895" s="5" t="n">
        <v>45419.0</v>
      </c>
      <c r="L895" s="5" t="n">
        <v>45419.0</v>
      </c>
      <c r="M895" s="3" t="inlineStr">
        <is>
          <t>Approved</t>
        </is>
      </c>
      <c r="N895" s="3" t="inlineStr">
        <is>
          <t/>
        </is>
      </c>
      <c r="O895" s="3" t="inlineStr">
        <is>
          <t>42847922MDD3003</t>
        </is>
      </c>
    </row>
    <row r="896">
      <c r="A896" s="2" t="str">
        <f>HYPERLINK("https://vtmf.veevavault.com/ui/#doc_info/26172548/1/0", "42847922MDD3003---Operational Procedure Manual-09 Apr 2024 (v1.0)")</f>
        <v>42847922MDD3003---Operational Procedure Manual-09 Apr 2024 (v1.0)</v>
      </c>
      <c r="B896" s="3" t="inlineStr">
        <is>
          <t>Trial Management</t>
        </is>
      </c>
      <c r="C896" s="3" t="inlineStr">
        <is>
          <t>Trial Oversight</t>
        </is>
      </c>
      <c r="D896" s="3" t="inlineStr">
        <is>
          <t>Operational Procedure Manual</t>
        </is>
      </c>
      <c r="E896" s="3" t="inlineStr">
        <is>
          <t>ECG_67953964MDD300X eLearn Welcome Guide_09May2022 template_vendor recd 09Apr2024</t>
        </is>
      </c>
      <c r="F896" s="2" t="str">
        <f>HYPERLINK("https://vtmf.veevavault.com/ui/#doc_info/26172548/1/0", "VTMF-20932357")</f>
        <v>VTMF-20932357</v>
      </c>
      <c r="G896" s="3" t="inlineStr">
        <is>
          <t/>
        </is>
      </c>
      <c r="H896" s="3" t="inlineStr">
        <is>
          <t>Anthony Suarez (veeva.com)</t>
        </is>
      </c>
      <c r="I896" s="3" t="inlineStr">
        <is>
          <t>Lee Walesyn</t>
        </is>
      </c>
      <c r="J896" s="4" t="n">
        <v>45401.694918981484</v>
      </c>
      <c r="K896" s="5" t="n">
        <v>45401.0</v>
      </c>
      <c r="L896" s="5" t="n">
        <v>45391.0</v>
      </c>
      <c r="M896" s="3" t="inlineStr">
        <is>
          <t>Approved</t>
        </is>
      </c>
      <c r="N896" s="3" t="inlineStr">
        <is>
          <t/>
        </is>
      </c>
      <c r="O896" s="3" t="inlineStr">
        <is>
          <t>42847922MDD3003, 67953964MDD3005, 67953964MDD3007</t>
        </is>
      </c>
    </row>
    <row r="897">
      <c r="A897" s="2" t="str">
        <f>HYPERLINK("https://vtmf.veevavault.com/ui/#doc_info/26338462/2/0", "42847922MDD3003---Operational Procedure Manual-13 May 2024 (v2.0)")</f>
        <v>42847922MDD3003---Operational Procedure Manual-13 May 2024 (v2.0)</v>
      </c>
      <c r="B897" s="3" t="inlineStr">
        <is>
          <t>Trial Management</t>
        </is>
      </c>
      <c r="C897" s="3" t="inlineStr">
        <is>
          <t>Trial Oversight</t>
        </is>
      </c>
      <c r="D897" s="3" t="inlineStr">
        <is>
          <t>Operational Procedure Manual</t>
        </is>
      </c>
      <c r="E897" s="3" t="inlineStr">
        <is>
          <t>Guide for Patients for SAFER Interview V2.0 13MAY2024_OUS final</t>
        </is>
      </c>
      <c r="F897" s="2" t="str">
        <f>HYPERLINK("https://vtmf.veevavault.com/ui/#doc_info/26338462/2/0", "VTMF-21075612")</f>
        <v>VTMF-21075612</v>
      </c>
      <c r="G897" s="3" t="inlineStr">
        <is>
          <t/>
        </is>
      </c>
      <c r="H897" s="3" t="inlineStr">
        <is>
          <t>System</t>
        </is>
      </c>
      <c r="I897" s="3" t="inlineStr">
        <is>
          <t>Gina Stefanelli</t>
        </is>
      </c>
      <c r="J897" s="4" t="n">
        <v>45453.742418981485</v>
      </c>
      <c r="K897" s="5" t="n">
        <v>45453.0</v>
      </c>
      <c r="L897" s="5" t="n">
        <v>45425.0</v>
      </c>
      <c r="M897" s="3" t="inlineStr">
        <is>
          <t>Approved</t>
        </is>
      </c>
      <c r="N897" s="3" t="inlineStr">
        <is>
          <t/>
        </is>
      </c>
      <c r="O897" s="3" t="inlineStr">
        <is>
          <t>42847922MDD3003</t>
        </is>
      </c>
    </row>
    <row r="898">
      <c r="A898" s="2" t="str">
        <f>HYPERLINK("https://vtmf.veevavault.com/ui/#doc_info/26338839/2/0", "42847922MDD3003---Operational Procedure Manual-13 May 2024 (v2.0)")</f>
        <v>42847922MDD3003---Operational Procedure Manual-13 May 2024 (v2.0)</v>
      </c>
      <c r="B898" s="3" t="inlineStr">
        <is>
          <t>Trial Management</t>
        </is>
      </c>
      <c r="C898" s="3" t="inlineStr">
        <is>
          <t>Trial Oversight</t>
        </is>
      </c>
      <c r="D898" s="3" t="inlineStr">
        <is>
          <t>Operational Procedure Manual</t>
        </is>
      </c>
      <c r="E898" s="3" t="inlineStr">
        <is>
          <t>Guide for Patients for SAFER Interview V2.0 13MAY2024_US final_</t>
        </is>
      </c>
      <c r="F898" s="2" t="str">
        <f>HYPERLINK("https://vtmf.veevavault.com/ui/#doc_info/26338839/2/0", "VTMF-21075786")</f>
        <v>VTMF-21075786</v>
      </c>
      <c r="G898" s="3" t="inlineStr">
        <is>
          <t/>
        </is>
      </c>
      <c r="H898" s="3" t="inlineStr">
        <is>
          <t>System</t>
        </is>
      </c>
      <c r="I898" s="3" t="inlineStr">
        <is>
          <t>Gina Stefanelli</t>
        </is>
      </c>
      <c r="J898" s="4" t="n">
        <v>45453.74324074074</v>
      </c>
      <c r="K898" s="5" t="n">
        <v>45453.0</v>
      </c>
      <c r="L898" s="5" t="n">
        <v>45425.0</v>
      </c>
      <c r="M898" s="3" t="inlineStr">
        <is>
          <t>Approved</t>
        </is>
      </c>
      <c r="N898" s="3" t="inlineStr">
        <is>
          <t/>
        </is>
      </c>
      <c r="O898" s="3" t="inlineStr">
        <is>
          <t>42847922MDD3003</t>
        </is>
      </c>
    </row>
    <row r="899">
      <c r="A899" s="2" t="str">
        <f>HYPERLINK("https://vtmf.veevavault.com/ui/#doc_info/28085371/1/0", "42847922MDD3003---Operational Procedure Manual-14 Jan 2025 (v1.0)")</f>
        <v>42847922MDD3003---Operational Procedure Manual-14 Jan 2025 (v1.0)</v>
      </c>
      <c r="B899" s="3" t="inlineStr">
        <is>
          <t>Trial Management</t>
        </is>
      </c>
      <c r="C899" s="3" t="inlineStr">
        <is>
          <t>Trial Oversight</t>
        </is>
      </c>
      <c r="D899" s="3" t="inlineStr">
        <is>
          <t>Operational Procedure Manual</t>
        </is>
      </c>
      <c r="E899" s="3" t="inlineStr">
        <is>
          <t>NOT SITE SHARABLE_Beacon Dreem Site Instruction Manual_v1.0 - 14JAN2025</t>
        </is>
      </c>
      <c r="F899" s="2" t="str">
        <f>HYPERLINK("https://vtmf.veevavault.com/ui/#doc_info/28085371/1/0", "VTMF-22523535")</f>
        <v>VTMF-22523535</v>
      </c>
      <c r="G899" s="3" t="inlineStr">
        <is>
          <t/>
        </is>
      </c>
      <c r="H899" s="3" t="inlineStr">
        <is>
          <t>Anthony Suarez (veeva.com)</t>
        </is>
      </c>
      <c r="I899" s="3" t="inlineStr">
        <is>
          <t>Charles Hayes</t>
        </is>
      </c>
      <c r="J899" s="4" t="n">
        <v>45672.82983796296</v>
      </c>
      <c r="K899" s="5" t="n">
        <v>45672.0</v>
      </c>
      <c r="L899" s="5" t="n">
        <v>45671.0</v>
      </c>
      <c r="M899" s="3" t="inlineStr">
        <is>
          <t>Approved</t>
        </is>
      </c>
      <c r="N899" s="3" t="inlineStr">
        <is>
          <t/>
        </is>
      </c>
      <c r="O899" s="3" t="inlineStr">
        <is>
          <t>42847922MDD3003</t>
        </is>
      </c>
    </row>
    <row r="900">
      <c r="A900" s="2" t="str">
        <f>HYPERLINK("https://vtmf.veevavault.com/ui/#doc_info/26274477/1/0", "42847922MDD3003---Operational Procedure Manual-16 Feb 2024 (v1.0)")</f>
        <v>42847922MDD3003---Operational Procedure Manual-16 Feb 2024 (v1.0)</v>
      </c>
      <c r="B900" s="3" t="inlineStr">
        <is>
          <t>Trial Management</t>
        </is>
      </c>
      <c r="C900" s="3" t="inlineStr">
        <is>
          <t>Trial Oversight</t>
        </is>
      </c>
      <c r="D900" s="3" t="inlineStr">
        <is>
          <t>Operational Procedure Manual</t>
        </is>
      </c>
      <c r="E900" s="3" t="inlineStr">
        <is>
          <t>42847922MDD3003 Clario Paper ECG Upload Guide 16Feb2024</t>
        </is>
      </c>
      <c r="F900" s="2" t="str">
        <f>HYPERLINK("https://vtmf.veevavault.com/ui/#doc_info/26274477/1/0", "VTMF-21019469")</f>
        <v>VTMF-21019469</v>
      </c>
      <c r="G900" s="3" t="inlineStr">
        <is>
          <t/>
        </is>
      </c>
      <c r="H900" s="3" t="inlineStr">
        <is>
          <t>Anthony Suarez (veeva.com)</t>
        </is>
      </c>
      <c r="I900" s="3" t="inlineStr">
        <is>
          <t>Jamie Hardy</t>
        </is>
      </c>
      <c r="J900" s="4" t="n">
        <v>45419.64902777778</v>
      </c>
      <c r="K900" s="5" t="n">
        <v>45419.0</v>
      </c>
      <c r="L900" s="5" t="n">
        <v>45338.0</v>
      </c>
      <c r="M900" s="3" t="inlineStr">
        <is>
          <t>Approved</t>
        </is>
      </c>
      <c r="N900" s="3" t="inlineStr">
        <is>
          <t/>
        </is>
      </c>
      <c r="O900" s="3" t="inlineStr">
        <is>
          <t>42847922MDD3003</t>
        </is>
      </c>
    </row>
    <row r="901">
      <c r="A901" s="2" t="str">
        <f>HYPERLINK("https://vtmf.veevavault.com/ui/#doc_info/28342893/1/0", "42847922MDD3003---Operational Procedure Manual-20 Feb 2025 (v1.0)")</f>
        <v>42847922MDD3003---Operational Procedure Manual-20 Feb 2025 (v1.0)</v>
      </c>
      <c r="B901" s="3" t="inlineStr">
        <is>
          <t>Trial Management</t>
        </is>
      </c>
      <c r="C901" s="3" t="inlineStr">
        <is>
          <t>Trial Oversight</t>
        </is>
      </c>
      <c r="D901" s="3" t="inlineStr">
        <is>
          <t>Operational Procedure Manual</t>
        </is>
      </c>
      <c r="E901" s="3" t="inlineStr">
        <is>
          <t>Clario eCOA Handheld_Quick Start Guide</t>
        </is>
      </c>
      <c r="F901" s="2" t="str">
        <f>HYPERLINK("https://vtmf.veevavault.com/ui/#doc_info/28342893/1/0", "VTMF-22739889")</f>
        <v>VTMF-22739889</v>
      </c>
      <c r="G901" s="3" t="inlineStr">
        <is>
          <t/>
        </is>
      </c>
      <c r="H901" s="3" t="inlineStr">
        <is>
          <t>Anthony Suarez (veeva.com)</t>
        </is>
      </c>
      <c r="I901" s="3" t="inlineStr">
        <is>
          <t>Debhora Garcia</t>
        </is>
      </c>
      <c r="J901" s="4" t="n">
        <v>45708.96726851852</v>
      </c>
      <c r="K901" s="5" t="n">
        <v>45709.0</v>
      </c>
      <c r="L901" s="5" t="n">
        <v>45708.0</v>
      </c>
      <c r="M901" s="3" t="inlineStr">
        <is>
          <t>Approved</t>
        </is>
      </c>
      <c r="N901" s="3" t="inlineStr">
        <is>
          <t/>
        </is>
      </c>
      <c r="O901" s="3" t="inlineStr">
        <is>
          <t>42847922MDD3003</t>
        </is>
      </c>
    </row>
    <row r="902">
      <c r="A902" s="2" t="str">
        <f>HYPERLINK("https://vtmf.veevavault.com/ui/#doc_info/29559412/1/0", "42847922MDD3003---Operational Procedure Manual-20 Jun 2024 (v1.0)")</f>
        <v>42847922MDD3003---Operational Procedure Manual-20 Jun 2024 (v1.0)</v>
      </c>
      <c r="B902" s="3" t="inlineStr">
        <is>
          <t>Trial Management</t>
        </is>
      </c>
      <c r="C902" s="3" t="inlineStr">
        <is>
          <t>Trial Oversight</t>
        </is>
      </c>
      <c r="D902" s="3" t="inlineStr">
        <is>
          <t>Operational Procedure Manual</t>
        </is>
      </c>
      <c r="E902" s="3" t="inlineStr">
        <is>
          <t>Site Manual</t>
        </is>
      </c>
      <c r="F902" s="2" t="str">
        <f>HYPERLINK("https://vtmf.veevavault.com/ui/#doc_info/29559412/1/0", "VTMF-23775389")</f>
        <v>VTMF-23775389</v>
      </c>
      <c r="G902" s="3" t="inlineStr">
        <is>
          <t/>
        </is>
      </c>
      <c r="H902" s="3" t="inlineStr">
        <is>
          <t>Anthony Suarez (veeva.com)</t>
        </is>
      </c>
      <c r="I902" s="3" t="inlineStr">
        <is>
          <t>Stephanie Bachman</t>
        </is>
      </c>
      <c r="J902" s="4" t="n">
        <v>45853.595613425925</v>
      </c>
      <c r="K902" s="5" t="n">
        <v>45853.0</v>
      </c>
      <c r="L902" s="5" t="n">
        <v>45463.0</v>
      </c>
      <c r="M902" s="3" t="inlineStr">
        <is>
          <t>Approved</t>
        </is>
      </c>
      <c r="N902" s="3" t="inlineStr">
        <is>
          <t/>
        </is>
      </c>
      <c r="O902" s="3" t="inlineStr">
        <is>
          <t>42847922MDD3003</t>
        </is>
      </c>
    </row>
    <row r="903">
      <c r="A903" s="2" t="str">
        <f>HYPERLINK("https://vtmf.veevavault.com/ui/#doc_info/26274446/1/0", "42847922MDD3003---Operational Procedure Manual-21 Feb 2024 (v1.0)")</f>
        <v>42847922MDD3003---Operational Procedure Manual-21 Feb 2024 (v1.0)</v>
      </c>
      <c r="B903" s="3" t="inlineStr">
        <is>
          <t>Trial Management</t>
        </is>
      </c>
      <c r="C903" s="3" t="inlineStr">
        <is>
          <t>Trial Oversight</t>
        </is>
      </c>
      <c r="D903" s="3" t="inlineStr">
        <is>
          <t>Operational Procedure Manual</t>
        </is>
      </c>
      <c r="E903" s="3" t="inlineStr">
        <is>
          <t>42847922MDD3003 Clario MAC2000 Quick Guide 21Feb2024</t>
        </is>
      </c>
      <c r="F903" s="2" t="str">
        <f>HYPERLINK("https://vtmf.veevavault.com/ui/#doc_info/26274446/1/0", "VTMF-21019423")</f>
        <v>VTMF-21019423</v>
      </c>
      <c r="G903" s="3" t="inlineStr">
        <is>
          <t/>
        </is>
      </c>
      <c r="H903" s="3" t="inlineStr">
        <is>
          <t>Anthony Suarez (veeva.com)</t>
        </is>
      </c>
      <c r="I903" s="3" t="inlineStr">
        <is>
          <t>Jamie Hardy</t>
        </is>
      </c>
      <c r="J903" s="4" t="n">
        <v>45419.64368055556</v>
      </c>
      <c r="K903" s="5" t="n">
        <v>45419.0</v>
      </c>
      <c r="L903" s="5" t="n">
        <v>45343.0</v>
      </c>
      <c r="M903" s="3" t="inlineStr">
        <is>
          <t>Approved</t>
        </is>
      </c>
      <c r="N903" s="3" t="inlineStr">
        <is>
          <t/>
        </is>
      </c>
      <c r="O903" s="3" t="inlineStr">
        <is>
          <t>42847922MDD3003</t>
        </is>
      </c>
    </row>
    <row r="904">
      <c r="A904" s="2" t="str">
        <f>HYPERLINK("https://vtmf.veevavault.com/ui/#doc_info/26274515/1/0", "42847922MDD3003---Operational Procedure Manual-21 Feb 2024 (v1.0)")</f>
        <v>42847922MDD3003---Operational Procedure Manual-21 Feb 2024 (v1.0)</v>
      </c>
      <c r="B904" s="3" t="inlineStr">
        <is>
          <t>Trial Management</t>
        </is>
      </c>
      <c r="C904" s="3" t="inlineStr">
        <is>
          <t>Trial Oversight</t>
        </is>
      </c>
      <c r="D904" s="3" t="inlineStr">
        <is>
          <t>Operational Procedure Manual</t>
        </is>
      </c>
      <c r="E904" s="3" t="inlineStr">
        <is>
          <t>42847922MDD3003 Clario MAC2000 Technician Removal Certification Form 21Feb2024</t>
        </is>
      </c>
      <c r="F904" s="2" t="str">
        <f>HYPERLINK("https://vtmf.veevavault.com/ui/#doc_info/26274515/1/0", "VTMF-21019501")</f>
        <v>VTMF-21019501</v>
      </c>
      <c r="G904" s="3" t="inlineStr">
        <is>
          <t/>
        </is>
      </c>
      <c r="H904" s="3" t="inlineStr">
        <is>
          <t>Anthony Suarez (veeva.com)</t>
        </is>
      </c>
      <c r="I904" s="3" t="inlineStr">
        <is>
          <t>Jamie Hardy</t>
        </is>
      </c>
      <c r="J904" s="4" t="n">
        <v>45419.6518287037</v>
      </c>
      <c r="K904" s="5" t="n">
        <v>45419.0</v>
      </c>
      <c r="L904" s="5" t="n">
        <v>45343.0</v>
      </c>
      <c r="M904" s="3" t="inlineStr">
        <is>
          <t>Approved</t>
        </is>
      </c>
      <c r="N904" s="3" t="inlineStr">
        <is>
          <t/>
        </is>
      </c>
      <c r="O904" s="3" t="inlineStr">
        <is>
          <t>42847922MDD3003</t>
        </is>
      </c>
    </row>
    <row r="905">
      <c r="A905" s="2" t="str">
        <f>HYPERLINK("https://vtmf.veevavault.com/ui/#doc_info/26274528/1/0", "42847922MDD3003---Operational Procedure Manual-21 Feb 2024 (v1.0)")</f>
        <v>42847922MDD3003---Operational Procedure Manual-21 Feb 2024 (v1.0)</v>
      </c>
      <c r="B905" s="3" t="inlineStr">
        <is>
          <t>Trial Management</t>
        </is>
      </c>
      <c r="C905" s="3" t="inlineStr">
        <is>
          <t>Trial Oversight</t>
        </is>
      </c>
      <c r="D905" s="3" t="inlineStr">
        <is>
          <t>Operational Procedure Manual</t>
        </is>
      </c>
      <c r="E905" s="3" t="inlineStr">
        <is>
          <t>42847922MDD3003 Clario MAC2000 Technician User Creation Certification Form 21Feb2024</t>
        </is>
      </c>
      <c r="F905" s="2" t="str">
        <f>HYPERLINK("https://vtmf.veevavault.com/ui/#doc_info/26274528/1/0", "VTMF-21019520")</f>
        <v>VTMF-21019520</v>
      </c>
      <c r="G905" s="3" t="inlineStr">
        <is>
          <t/>
        </is>
      </c>
      <c r="H905" s="3" t="inlineStr">
        <is>
          <t>Anthony Suarez (veeva.com)</t>
        </is>
      </c>
      <c r="I905" s="3" t="inlineStr">
        <is>
          <t>Jamie Hardy</t>
        </is>
      </c>
      <c r="J905" s="4" t="n">
        <v>45419.65357638889</v>
      </c>
      <c r="K905" s="5" t="n">
        <v>45419.0</v>
      </c>
      <c r="L905" s="5" t="n">
        <v>45343.0</v>
      </c>
      <c r="M905" s="3" t="inlineStr">
        <is>
          <t>Approved</t>
        </is>
      </c>
      <c r="N905" s="3" t="inlineStr">
        <is>
          <t/>
        </is>
      </c>
      <c r="O905" s="3" t="inlineStr">
        <is>
          <t>42847922MDD3003</t>
        </is>
      </c>
    </row>
    <row r="906">
      <c r="A906" s="2" t="str">
        <f>HYPERLINK("https://vtmf.veevavault.com/ui/#doc_info/29441815/1/0", "42847922MDD3003---Operational Procedure Manual-22 May 2025 (v1.0)")</f>
        <v>42847922MDD3003---Operational Procedure Manual-22 May 2025 (v1.0)</v>
      </c>
      <c r="B906" s="3" t="inlineStr">
        <is>
          <t>Trial Management</t>
        </is>
      </c>
      <c r="C906" s="3" t="inlineStr">
        <is>
          <t>Trial Oversight</t>
        </is>
      </c>
      <c r="D906" s="3" t="inlineStr">
        <is>
          <t>Operational Procedure Manual</t>
        </is>
      </c>
      <c r="E906" s="3" t="inlineStr">
        <is>
          <t>Clario ELI 150C Quick Guide_42847922MDD3003_89495120MDD2001_v1.0</t>
        </is>
      </c>
      <c r="F906" s="2" t="str">
        <f>HYPERLINK("https://vtmf.veevavault.com/ui/#doc_info/29441815/1/0", "VTMF-23675597")</f>
        <v>VTMF-23675597</v>
      </c>
      <c r="G906" s="3" t="inlineStr">
        <is>
          <t/>
        </is>
      </c>
      <c r="H906" s="3" t="inlineStr">
        <is>
          <t>Anthony Suarez (veeva.com)</t>
        </is>
      </c>
      <c r="I906" s="3" t="inlineStr">
        <is>
          <t>Gina Stefanelli</t>
        </is>
      </c>
      <c r="J906" s="4" t="n">
        <v>45833.93582175926</v>
      </c>
      <c r="K906" s="5" t="n">
        <v>45833.0</v>
      </c>
      <c r="L906" s="5" t="n">
        <v>45799.0</v>
      </c>
      <c r="M906" s="3" t="inlineStr">
        <is>
          <t>Approved</t>
        </is>
      </c>
      <c r="N906" s="3" t="inlineStr">
        <is>
          <t/>
        </is>
      </c>
      <c r="O906" s="3" t="inlineStr">
        <is>
          <t>42847922MDD3003, 89495120MDD2001</t>
        </is>
      </c>
    </row>
    <row r="907">
      <c r="A907" s="2" t="str">
        <f>HYPERLINK("https://vtmf.veevavault.com/ui/#doc_info/29441821/1/0", "42847922MDD3003---Operational Procedure Manual-22 May 2025 (v1.0)")</f>
        <v>42847922MDD3003---Operational Procedure Manual-22 May 2025 (v1.0)</v>
      </c>
      <c r="B907" s="3" t="inlineStr">
        <is>
          <t>Trial Management</t>
        </is>
      </c>
      <c r="C907" s="3" t="inlineStr">
        <is>
          <t>Trial Oversight</t>
        </is>
      </c>
      <c r="D907" s="3" t="inlineStr">
        <is>
          <t>Operational Procedure Manual</t>
        </is>
      </c>
      <c r="E907" s="3" t="inlineStr">
        <is>
          <t>Clario ELI 150C Quick Guide 42847922MDD3003 Only_V2.0</t>
        </is>
      </c>
      <c r="F907" s="2" t="str">
        <f>HYPERLINK("https://vtmf.veevavault.com/ui/#doc_info/29441821/1/0", "VTMF-23675608")</f>
        <v>VTMF-23675608</v>
      </c>
      <c r="G907" s="3" t="inlineStr">
        <is>
          <t/>
        </is>
      </c>
      <c r="H907" s="3" t="inlineStr">
        <is>
          <t>Anthony Suarez (veeva.com)</t>
        </is>
      </c>
      <c r="I907" s="3" t="inlineStr">
        <is>
          <t>Gina Stefanelli</t>
        </is>
      </c>
      <c r="J907" s="4" t="n">
        <v>45833.93798611111</v>
      </c>
      <c r="K907" s="5" t="n">
        <v>45833.0</v>
      </c>
      <c r="L907" s="5" t="n">
        <v>45799.0</v>
      </c>
      <c r="M907" s="3" t="inlineStr">
        <is>
          <t>Approved</t>
        </is>
      </c>
      <c r="N907" s="3" t="inlineStr">
        <is>
          <t/>
        </is>
      </c>
      <c r="O907" s="3" t="inlineStr">
        <is>
          <t>42847922MDD3003</t>
        </is>
      </c>
    </row>
    <row r="908">
      <c r="A908" s="2" t="str">
        <f>HYPERLINK("https://vtmf.veevavault.com/ui/#doc_info/29582987/2/0", "42847922MDD3003---Operational Procedure Manual-22 Oct 2025 (v2.0)")</f>
        <v>42847922MDD3003---Operational Procedure Manual-22 Oct 2025 (v2.0)</v>
      </c>
      <c r="B908" s="3" t="inlineStr">
        <is>
          <t>Trial Management</t>
        </is>
      </c>
      <c r="C908" s="3" t="inlineStr">
        <is>
          <t>Trial Oversight</t>
        </is>
      </c>
      <c r="D908" s="3" t="inlineStr">
        <is>
          <t>Operational Procedure Manual</t>
        </is>
      </c>
      <c r="E908" s="3" t="inlineStr">
        <is>
          <t>MAC2000 Quick Guide_Janssen_42847922MDD3003 &amp;89495120MDD2001 _V2 &amp; V3_FInal</t>
        </is>
      </c>
      <c r="F908" s="2" t="str">
        <f>HYPERLINK("https://vtmf.veevavault.com/ui/#doc_info/29582987/2/0", "VTMF-23795664")</f>
        <v>VTMF-23795664</v>
      </c>
      <c r="G908" s="3" t="inlineStr">
        <is>
          <t/>
        </is>
      </c>
      <c r="H908" s="3" t="inlineStr">
        <is>
          <t>System</t>
        </is>
      </c>
      <c r="I908" s="3" t="inlineStr">
        <is>
          <t>Jennifer Hockenbury</t>
        </is>
      </c>
      <c r="J908" s="4" t="n">
        <v>45952.87349537037</v>
      </c>
      <c r="K908" s="5" t="n">
        <v>45952.0</v>
      </c>
      <c r="L908" s="5" t="n">
        <v>45952.0</v>
      </c>
      <c r="M908" s="3" t="inlineStr">
        <is>
          <t>Approved</t>
        </is>
      </c>
      <c r="N908" s="3" t="inlineStr">
        <is>
          <t/>
        </is>
      </c>
      <c r="O908" s="3" t="inlineStr">
        <is>
          <t>42847922MDD3003, 89495120MDD2001</t>
        </is>
      </c>
    </row>
    <row r="909">
      <c r="A909" s="2" t="str">
        <f>HYPERLINK("https://vtmf.veevavault.com/ui/#doc_info/29622685/1/0", "42847922MDD3003---Operational Procedure Manual-24 Jul 2025 (v1.0)")</f>
        <v>42847922MDD3003---Operational Procedure Manual-24 Jul 2025 (v1.0)</v>
      </c>
      <c r="B909" s="3" t="inlineStr">
        <is>
          <t>Trial Management</t>
        </is>
      </c>
      <c r="C909" s="3" t="inlineStr">
        <is>
          <t>Trial Oversight</t>
        </is>
      </c>
      <c r="D909" s="3" t="inlineStr">
        <is>
          <t>Operational Procedure Manual</t>
        </is>
      </c>
      <c r="E909" s="3" t="inlineStr">
        <is>
          <t>MDD3003_Participant Journey Part 2 for rollover participants_PA2_v1.0</t>
        </is>
      </c>
      <c r="F909" s="2" t="str">
        <f>HYPERLINK("https://vtmf.veevavault.com/ui/#doc_info/29622685/1/0", "VTMF-23829717")</f>
        <v>VTMF-23829717</v>
      </c>
      <c r="G909" s="3" t="inlineStr">
        <is>
          <t/>
        </is>
      </c>
      <c r="H909" s="3" t="inlineStr">
        <is>
          <t>Kristina Ruzinska</t>
        </is>
      </c>
      <c r="I909" s="3" t="inlineStr">
        <is>
          <t>Kristina Ruzinska</t>
        </is>
      </c>
      <c r="J909" s="4" t="n">
        <v>45862.699212962965</v>
      </c>
      <c r="K909" s="5" t="n">
        <v>45862.0</v>
      </c>
      <c r="L909" s="5" t="n">
        <v>45862.0</v>
      </c>
      <c r="M909" s="3" t="inlineStr">
        <is>
          <t>Approved</t>
        </is>
      </c>
      <c r="N909" s="3" t="inlineStr">
        <is>
          <t/>
        </is>
      </c>
      <c r="O909" s="3" t="inlineStr">
        <is>
          <t>42847922MDD3003</t>
        </is>
      </c>
    </row>
    <row r="910">
      <c r="A910" s="2" t="str">
        <f>HYPERLINK("https://vtmf.veevavault.com/ui/#doc_info/31045074/1/0", "42847922MDD3003---Operational Procedure Manual-25 Nov 2025 (v1.0)")</f>
        <v>42847922MDD3003---Operational Procedure Manual-25 Nov 2025 (v1.0)</v>
      </c>
      <c r="B910" s="3" t="inlineStr">
        <is>
          <t>Trial Management</t>
        </is>
      </c>
      <c r="C910" s="3" t="inlineStr">
        <is>
          <t>Trial Oversight</t>
        </is>
      </c>
      <c r="D910" s="3" t="inlineStr">
        <is>
          <t>Operational Procedure Manual</t>
        </is>
      </c>
      <c r="E910" s="3" t="inlineStr">
        <is>
          <t>ELI 150C Quick Guide_42847922MDD3003_89495120MDD2001_V3.0</t>
        </is>
      </c>
      <c r="F910" s="2" t="str">
        <f>HYPERLINK("https://vtmf.veevavault.com/ui/#doc_info/31045074/1/0", "VTMF-25027325")</f>
        <v>VTMF-25027325</v>
      </c>
      <c r="G910" s="3" t="inlineStr">
        <is>
          <t/>
        </is>
      </c>
      <c r="H910" s="3" t="inlineStr">
        <is>
          <t>System</t>
        </is>
      </c>
      <c r="I910" s="3" t="inlineStr">
        <is>
          <t>Debhora Garcia</t>
        </is>
      </c>
      <c r="J910" s="4" t="n">
        <v>46077.10271990741</v>
      </c>
      <c r="K910" s="5" t="n">
        <v>46076.0</v>
      </c>
      <c r="L910" s="5" t="n">
        <v>45986.0</v>
      </c>
      <c r="M910" s="3" t="inlineStr">
        <is>
          <t>Approved</t>
        </is>
      </c>
      <c r="N910" s="3" t="inlineStr">
        <is>
          <t/>
        </is>
      </c>
      <c r="O910" s="3" t="inlineStr">
        <is>
          <t>42847922MDD3003, 89495120MDD2001</t>
        </is>
      </c>
    </row>
    <row r="911">
      <c r="A911" s="2" t="str">
        <f>HYPERLINK("https://vtmf.veevavault.com/ui/#doc_info/31045076/1/0", "42847922MDD3003---Operational Procedure Manual-25 Nov 2025 (v1.0)")</f>
        <v>42847922MDD3003---Operational Procedure Manual-25 Nov 2025 (v1.0)</v>
      </c>
      <c r="B911" s="3" t="inlineStr">
        <is>
          <t>Trial Management</t>
        </is>
      </c>
      <c r="C911" s="3" t="inlineStr">
        <is>
          <t>Trial Oversight</t>
        </is>
      </c>
      <c r="D911" s="3" t="inlineStr">
        <is>
          <t>Operational Procedure Manual</t>
        </is>
      </c>
      <c r="E911" s="3" t="inlineStr">
        <is>
          <t>MAC2000 Quick Guide_Janssen_42847922MDD3003_89495120MDD2001_V3.0</t>
        </is>
      </c>
      <c r="F911" s="2" t="str">
        <f>HYPERLINK("https://vtmf.veevavault.com/ui/#doc_info/31045076/1/0", "VTMF-25027328")</f>
        <v>VTMF-25027328</v>
      </c>
      <c r="G911" s="3" t="inlineStr">
        <is>
          <t/>
        </is>
      </c>
      <c r="H911" s="3" t="inlineStr">
        <is>
          <t>System</t>
        </is>
      </c>
      <c r="I911" s="3" t="inlineStr">
        <is>
          <t>Debhora Garcia</t>
        </is>
      </c>
      <c r="J911" s="4" t="n">
        <v>46077.10403935185</v>
      </c>
      <c r="K911" s="5" t="n">
        <v>46076.0</v>
      </c>
      <c r="L911" s="5" t="n">
        <v>45986.0</v>
      </c>
      <c r="M911" s="3" t="inlineStr">
        <is>
          <t>Approved</t>
        </is>
      </c>
      <c r="N911" s="3" t="inlineStr">
        <is>
          <t/>
        </is>
      </c>
      <c r="O911" s="3" t="inlineStr">
        <is>
          <t>42847922MDD3003, 89495120MDD2001</t>
        </is>
      </c>
    </row>
    <row r="912">
      <c r="A912" s="2" t="str">
        <f>HYPERLINK("https://vtmf.veevavault.com/ui/#doc_info/29583058/1/0", "42847922MDD3003---Operational Procedure Manual-27 Jun 2025 (v1.0)")</f>
        <v>42847922MDD3003---Operational Procedure Manual-27 Jun 2025 (v1.0)</v>
      </c>
      <c r="B912" s="3" t="inlineStr">
        <is>
          <t>Trial Management</t>
        </is>
      </c>
      <c r="C912" s="3" t="inlineStr">
        <is>
          <t>Trial Oversight</t>
        </is>
      </c>
      <c r="D912" s="3" t="inlineStr">
        <is>
          <t>Operational Procedure Manual</t>
        </is>
      </c>
      <c r="E912" s="3" t="inlineStr">
        <is>
          <t>MAC2000 Quick Guide_Janssen_42847922MDD3003 ONLY_054542_V4_27JUN2025.</t>
        </is>
      </c>
      <c r="F912" s="2" t="str">
        <f>HYPERLINK("https://vtmf.veevavault.com/ui/#doc_info/29583058/1/0", "VTMF-23795743")</f>
        <v>VTMF-23795743</v>
      </c>
      <c r="G912" s="3" t="inlineStr">
        <is>
          <t/>
        </is>
      </c>
      <c r="H912" s="3" t="inlineStr">
        <is>
          <t>System</t>
        </is>
      </c>
      <c r="I912" s="3" t="inlineStr">
        <is>
          <t>Gina Stefanelli</t>
        </is>
      </c>
      <c r="J912" s="4" t="n">
        <v>45856.57728009259</v>
      </c>
      <c r="K912" s="5" t="n">
        <v>45856.0</v>
      </c>
      <c r="L912" s="5" t="n">
        <v>45835.0</v>
      </c>
      <c r="M912" s="3" t="inlineStr">
        <is>
          <t>Approved</t>
        </is>
      </c>
      <c r="N912" s="3" t="inlineStr">
        <is>
          <t/>
        </is>
      </c>
      <c r="O912" s="3" t="inlineStr">
        <is>
          <t>42847922MDD3003</t>
        </is>
      </c>
    </row>
    <row r="913">
      <c r="A913" s="2" t="str">
        <f>HYPERLINK("https://vtmf.veevavault.com/ui/#doc_info/29696521/2/0", "42847922MDD3003---Operational Procedure Manual-28 Aug 2025 (v2.0)")</f>
        <v>42847922MDD3003---Operational Procedure Manual-28 Aug 2025 (v2.0)</v>
      </c>
      <c r="B913" s="3" t="inlineStr">
        <is>
          <t>Trial Management</t>
        </is>
      </c>
      <c r="C913" s="3" t="inlineStr">
        <is>
          <t>Trial Oversight</t>
        </is>
      </c>
      <c r="D913" s="3" t="inlineStr">
        <is>
          <t>Operational Procedure Manual</t>
        </is>
      </c>
      <c r="E913" s="3" t="inlineStr">
        <is>
          <t>ELI 150C Quick Guide _42847922MDD3003_89495120MDD2001 _v3.0</t>
        </is>
      </c>
      <c r="F913" s="2" t="str">
        <f>HYPERLINK("https://vtmf.veevavault.com/ui/#doc_info/29696521/2/0", "VTMF-23892930")</f>
        <v>VTMF-23892930</v>
      </c>
      <c r="G913" s="3" t="inlineStr">
        <is>
          <t/>
        </is>
      </c>
      <c r="H913" s="3" t="inlineStr">
        <is>
          <t>Diego Mar</t>
        </is>
      </c>
      <c r="I913" s="3" t="inlineStr">
        <is>
          <t>Jennifer Hockenbury</t>
        </is>
      </c>
      <c r="J913" s="4" t="n">
        <v>45952.86340277778</v>
      </c>
      <c r="K913" s="5" t="n">
        <v>45952.0</v>
      </c>
      <c r="L913" s="5" t="n">
        <v>45897.0</v>
      </c>
      <c r="M913" s="3" t="inlineStr">
        <is>
          <t>Approved</t>
        </is>
      </c>
      <c r="N913" s="3" t="inlineStr">
        <is>
          <t/>
        </is>
      </c>
      <c r="O913" s="3" t="inlineStr">
        <is>
          <t>42847922MDD3003, 89495120MDD2001</t>
        </is>
      </c>
    </row>
    <row r="914">
      <c r="A914" s="2" t="str">
        <f>HYPERLINK("https://vtmf.veevavault.com/ui/#doc_info/29696513/1/0", "42847922MDD3003---Operational Procedure Manual-31 Jul 2025 (v1.0)")</f>
        <v>42847922MDD3003---Operational Procedure Manual-31 Jul 2025 (v1.0)</v>
      </c>
      <c r="B914" s="3" t="inlineStr">
        <is>
          <t>Trial Management</t>
        </is>
      </c>
      <c r="C914" s="3" t="inlineStr">
        <is>
          <t>Trial Oversight</t>
        </is>
      </c>
      <c r="D914" s="3" t="inlineStr">
        <is>
          <t>Operational Procedure Manual</t>
        </is>
      </c>
      <c r="E914" s="3" t="inlineStr">
        <is>
          <t>MAC2000 Quick Guide _Janssen_42847922MDD3003 &amp;89495120MDD2001  _V2 _31JUL2025</t>
        </is>
      </c>
      <c r="F914" s="2" t="str">
        <f>HYPERLINK("https://vtmf.veevavault.com/ui/#doc_info/29696513/1/0", "VTMF-23892912")</f>
        <v>VTMF-23892912</v>
      </c>
      <c r="G914" s="3" t="inlineStr">
        <is>
          <t/>
        </is>
      </c>
      <c r="H914" s="3" t="inlineStr">
        <is>
          <t>System</t>
        </is>
      </c>
      <c r="I914" s="3" t="inlineStr">
        <is>
          <t>Diego Mar</t>
        </is>
      </c>
      <c r="J914" s="4" t="n">
        <v>45873.76304398148</v>
      </c>
      <c r="K914" s="5" t="n">
        <v>45873.0</v>
      </c>
      <c r="L914" s="5" t="n">
        <v>45869.0</v>
      </c>
      <c r="M914" s="3" t="inlineStr">
        <is>
          <t>Approved</t>
        </is>
      </c>
      <c r="N914" s="3" t="inlineStr">
        <is>
          <t/>
        </is>
      </c>
      <c r="O914" s="3" t="inlineStr">
        <is>
          <t>42847922MDD3003, 89495120MDD2001</t>
        </is>
      </c>
    </row>
    <row r="915">
      <c r="A915" s="2" t="str">
        <f>HYPERLINK("https://vtmf.veevavault.com/ui/#doc_info/29696817/1/0", "42847922MDD3003---Operational Procedure Manual-31 Jul 2025 (v1.0)")</f>
        <v>42847922MDD3003---Operational Procedure Manual-31 Jul 2025 (v1.0)</v>
      </c>
      <c r="B915" s="3" t="inlineStr">
        <is>
          <t>Trial Management</t>
        </is>
      </c>
      <c r="C915" s="3" t="inlineStr">
        <is>
          <t>Trial Oversight</t>
        </is>
      </c>
      <c r="D915" s="3" t="inlineStr">
        <is>
          <t>Operational Procedure Manual</t>
        </is>
      </c>
      <c r="E915" s="3" t="inlineStr">
        <is>
          <t>42847922MDD3003 - 89495120MDD2001 - ECG Machine Study-specific Location IDs_ 31Jul2025</t>
        </is>
      </c>
      <c r="F915" s="2" t="str">
        <f>HYPERLINK("https://vtmf.veevavault.com/ui/#doc_info/29696817/1/0", "VTMF-23893259")</f>
        <v>VTMF-23893259</v>
      </c>
      <c r="G915" s="3" t="inlineStr">
        <is>
          <t/>
        </is>
      </c>
      <c r="H915" s="3" t="inlineStr">
        <is>
          <t>Diego Mar</t>
        </is>
      </c>
      <c r="I915" s="3" t="inlineStr">
        <is>
          <t>Diego Mar</t>
        </is>
      </c>
      <c r="J915" s="4" t="n">
        <v>45873.817094907405</v>
      </c>
      <c r="K915" s="5" t="n">
        <v>45873.0</v>
      </c>
      <c r="L915" s="5" t="n">
        <v>45869.0</v>
      </c>
      <c r="M915" s="3" t="inlineStr">
        <is>
          <t>Approved</t>
        </is>
      </c>
      <c r="N915" s="3" t="inlineStr">
        <is>
          <t/>
        </is>
      </c>
      <c r="O915" s="3" t="inlineStr">
        <is>
          <t>42847922MDD3003, 89495120MDD2001</t>
        </is>
      </c>
    </row>
    <row r="916">
      <c r="A916" s="2" t="str">
        <f>HYPERLINK("https://vtmf.veevavault.com/ui/#doc_info/26107816/1/0", "42847922MDD3003---Other Information Given to Investigators-02 Apr 2024 (v1.0)")</f>
        <v>42847922MDD3003---Other Information Given to Investigators-02 Apr 2024 (v1.0)</v>
      </c>
      <c r="B916" s="3" t="inlineStr">
        <is>
          <t>Central Trial Documents</t>
        </is>
      </c>
      <c r="C916" s="3" t="inlineStr">
        <is>
          <t>Subject Documents</t>
        </is>
      </c>
      <c r="D916" s="3" t="inlineStr">
        <is>
          <t>Other Information Given to Investigators</t>
        </is>
      </c>
      <c r="E916" s="3" t="inlineStr">
        <is>
          <t>Colleague Networking Card_ENG_V1.0</t>
        </is>
      </c>
      <c r="F916" s="2" t="str">
        <f>HYPERLINK("https://vtmf.veevavault.com/ui/#doc_info/26107816/1/0", "VTMF-20875244")</f>
        <v>VTMF-20875244</v>
      </c>
      <c r="G916" s="3" t="inlineStr">
        <is>
          <t/>
        </is>
      </c>
      <c r="H916" s="3" t="inlineStr">
        <is>
          <t>System</t>
        </is>
      </c>
      <c r="I916" s="3" t="inlineStr">
        <is>
          <t>Adam McKain</t>
        </is>
      </c>
      <c r="J916" s="4" t="n">
        <v>45414.690717592595</v>
      </c>
      <c r="K916" s="5" t="n">
        <v>45419.0</v>
      </c>
      <c r="L916" s="5" t="n">
        <v>45384.0</v>
      </c>
      <c r="M916" s="3" t="inlineStr">
        <is>
          <t>Approved</t>
        </is>
      </c>
      <c r="N916" s="3" t="inlineStr">
        <is>
          <t>Available for Distribution, Country Start, Site Start, Study Start</t>
        </is>
      </c>
      <c r="O916" s="3" t="inlineStr">
        <is>
          <t>42847922MDD3003</t>
        </is>
      </c>
    </row>
    <row r="917">
      <c r="A917" s="2" t="str">
        <f>HYPERLINK("https://vtmf.veevavault.com/ui/#doc_info/26107842/1/0", "42847922MDD3003---Other Information Given to Investigators-02 Apr 2024 (v1.0)")</f>
        <v>42847922MDD3003---Other Information Given to Investigators-02 Apr 2024 (v1.0)</v>
      </c>
      <c r="B917" s="3" t="inlineStr">
        <is>
          <t>Central Trial Documents</t>
        </is>
      </c>
      <c r="C917" s="3" t="inlineStr">
        <is>
          <t>Subject Documents</t>
        </is>
      </c>
      <c r="D917" s="3" t="inlineStr">
        <is>
          <t>Other Information Given to Investigators</t>
        </is>
      </c>
      <c r="E917" s="3" t="inlineStr">
        <is>
          <t>Program Wide Card Content Instructions</t>
        </is>
      </c>
      <c r="F917" s="2" t="str">
        <f>HYPERLINK("https://vtmf.veevavault.com/ui/#doc_info/26107842/1/0", "VTMF-20875270")</f>
        <v>VTMF-20875270</v>
      </c>
      <c r="G917" s="3" t="inlineStr">
        <is>
          <t/>
        </is>
      </c>
      <c r="H917" s="3" t="inlineStr">
        <is>
          <t>System</t>
        </is>
      </c>
      <c r="I917" s="3" t="inlineStr">
        <is>
          <t>Adam McKain</t>
        </is>
      </c>
      <c r="J917" s="4" t="n">
        <v>45407.77150462963</v>
      </c>
      <c r="K917" s="5" t="n">
        <v>45413.0</v>
      </c>
      <c r="L917" s="5" t="n">
        <v>45384.0</v>
      </c>
      <c r="M917" s="3" t="inlineStr">
        <is>
          <t>Approved</t>
        </is>
      </c>
      <c r="N917" s="3" t="inlineStr">
        <is>
          <t>Available for Distribution, Country Start, Site Start, Study Start</t>
        </is>
      </c>
      <c r="O917" s="3" t="inlineStr">
        <is>
          <t>42847922MDD3003</t>
        </is>
      </c>
    </row>
    <row r="918">
      <c r="A918" s="2" t="str">
        <f>HYPERLINK("https://vtmf.veevavault.com/ui/#doc_info/29789381/1/0", "42847922MDD3003---Other Information Given to Investigators-02 Apr 2025 (v1.0)")</f>
        <v>42847922MDD3003---Other Information Given to Investigators-02 Apr 2025 (v1.0)</v>
      </c>
      <c r="B918" s="3" t="inlineStr">
        <is>
          <t>Central Trial Documents</t>
        </is>
      </c>
      <c r="C918" s="3" t="inlineStr">
        <is>
          <t>Subject Documents</t>
        </is>
      </c>
      <c r="D918" s="3" t="inlineStr">
        <is>
          <t>Other Information Given to Investigators</t>
        </is>
      </c>
      <c r="E918" s="3" t="inlineStr">
        <is>
          <t>OARS-7 Teckro Alert</t>
        </is>
      </c>
      <c r="F918" s="2" t="str">
        <f>HYPERLINK("https://vtmf.veevavault.com/ui/#doc_info/29789381/1/0", "VTMF-23972672")</f>
        <v>VTMF-23972672</v>
      </c>
      <c r="G918" s="3" t="inlineStr">
        <is>
          <t/>
        </is>
      </c>
      <c r="H918" s="3" t="inlineStr">
        <is>
          <t>System</t>
        </is>
      </c>
      <c r="I918" s="3" t="inlineStr">
        <is>
          <t>Katelyn Long</t>
        </is>
      </c>
      <c r="J918" s="4" t="n">
        <v>45888.695555555554</v>
      </c>
      <c r="K918" s="5" t="n">
        <v>45888.0</v>
      </c>
      <c r="L918" s="5" t="n">
        <v>45749.0</v>
      </c>
      <c r="M918" s="3" t="inlineStr">
        <is>
          <t>Approved</t>
        </is>
      </c>
      <c r="N918" s="3" t="inlineStr">
        <is>
          <t>Available for Distribution, Country Start, Site Start, Study Start</t>
        </is>
      </c>
      <c r="O918" s="3" t="inlineStr">
        <is>
          <t>42847922MDD3003</t>
        </is>
      </c>
    </row>
    <row r="919">
      <c r="A919" s="2" t="str">
        <f>HYPERLINK("https://vtmf.veevavault.com/ui/#doc_info/30227581/1/0", "42847922MDD3003---Other Information Given to Investigators-02 Oct 2025 (v1.0)")</f>
        <v>42847922MDD3003---Other Information Given to Investigators-02 Oct 2025 (v1.0)</v>
      </c>
      <c r="B919" s="3" t="inlineStr">
        <is>
          <t>Central Trial Documents</t>
        </is>
      </c>
      <c r="C919" s="3" t="inlineStr">
        <is>
          <t>Subject Documents</t>
        </is>
      </c>
      <c r="D919" s="3" t="inlineStr">
        <is>
          <t>Other Information Given to Investigators</t>
        </is>
      </c>
      <c r="E919" s="3" t="inlineStr">
        <is>
          <t>OARS-7 Teckro Alert</t>
        </is>
      </c>
      <c r="F919" s="2" t="str">
        <f>HYPERLINK("https://vtmf.veevavault.com/ui/#doc_info/30227581/1/0", "VTMF-24339601")</f>
        <v>VTMF-24339601</v>
      </c>
      <c r="G919" s="3" t="inlineStr">
        <is>
          <t/>
        </is>
      </c>
      <c r="H919" s="3" t="inlineStr">
        <is>
          <t>System</t>
        </is>
      </c>
      <c r="I919" s="3" t="inlineStr">
        <is>
          <t>Katelyn Long</t>
        </is>
      </c>
      <c r="J919" s="4" t="n">
        <v>45954.641180555554</v>
      </c>
      <c r="K919" s="5" t="n">
        <v>45954.0</v>
      </c>
      <c r="L919" s="5" t="n">
        <v>45932.0</v>
      </c>
      <c r="M919" s="3" t="inlineStr">
        <is>
          <t>Approved</t>
        </is>
      </c>
      <c r="N919" s="3" t="inlineStr">
        <is>
          <t>Available for Distribution, Country Start, Site Start, Study Start</t>
        </is>
      </c>
      <c r="O919" s="3" t="inlineStr">
        <is>
          <t>42847922MDD3003</t>
        </is>
      </c>
    </row>
    <row r="920">
      <c r="A920" s="2" t="str">
        <f>HYPERLINK("https://vtmf.veevavault.com/ui/#doc_info/29789383/1/0", "42847922MDD3003---Other Information Given to Investigators-04 Mar 2025 (v1.0)")</f>
        <v>42847922MDD3003---Other Information Given to Investigators-04 Mar 2025 (v1.0)</v>
      </c>
      <c r="B920" s="3" t="inlineStr">
        <is>
          <t>Central Trial Documents</t>
        </is>
      </c>
      <c r="C920" s="3" t="inlineStr">
        <is>
          <t>Subject Documents</t>
        </is>
      </c>
      <c r="D920" s="3" t="inlineStr">
        <is>
          <t>Other Information Given to Investigators</t>
        </is>
      </c>
      <c r="E920" s="3" t="inlineStr">
        <is>
          <t>OARS-7 Teckro Alert</t>
        </is>
      </c>
      <c r="F920" s="2" t="str">
        <f>HYPERLINK("https://vtmf.veevavault.com/ui/#doc_info/29789383/1/0", "VTMF-23972674")</f>
        <v>VTMF-23972674</v>
      </c>
      <c r="G920" s="3" t="inlineStr">
        <is>
          <t/>
        </is>
      </c>
      <c r="H920" s="3" t="inlineStr">
        <is>
          <t>System</t>
        </is>
      </c>
      <c r="I920" s="3" t="inlineStr">
        <is>
          <t>Katelyn Long</t>
        </is>
      </c>
      <c r="J920" s="4" t="n">
        <v>45888.695555555554</v>
      </c>
      <c r="K920" s="5" t="n">
        <v>45888.0</v>
      </c>
      <c r="L920" s="5" t="n">
        <v>45720.0</v>
      </c>
      <c r="M920" s="3" t="inlineStr">
        <is>
          <t>Approved</t>
        </is>
      </c>
      <c r="N920" s="3" t="inlineStr">
        <is>
          <t>Available for Distribution, Country Start, Site Start, Study Start</t>
        </is>
      </c>
      <c r="O920" s="3" t="inlineStr">
        <is>
          <t>42847922MDD3003</t>
        </is>
      </c>
    </row>
    <row r="921">
      <c r="A921" s="2" t="str">
        <f>HYPERLINK("https://vtmf.veevavault.com/ui/#doc_info/31545171/1/0", "42847922MDD3003---Other Information Given to Investigators-04 Nov 2025 (v1.0)")</f>
        <v>42847922MDD3003---Other Information Given to Investigators-04 Nov 2025 (v1.0)</v>
      </c>
      <c r="B921" s="3" t="inlineStr">
        <is>
          <t>Central Trial Documents</t>
        </is>
      </c>
      <c r="C921" s="3" t="inlineStr">
        <is>
          <t>Subject Documents</t>
        </is>
      </c>
      <c r="D921" s="3" t="inlineStr">
        <is>
          <t>Other Information Given to Investigators</t>
        </is>
      </c>
      <c r="E921" s="3" t="inlineStr">
        <is>
          <t>OARS-7 Teckro Alert</t>
        </is>
      </c>
      <c r="F921" s="2" t="str">
        <f>HYPERLINK("https://vtmf.veevavault.com/ui/#doc_info/31545171/1/0", "VTMF-25456733")</f>
        <v>VTMF-25456733</v>
      </c>
      <c r="G921" s="3" t="inlineStr">
        <is>
          <t/>
        </is>
      </c>
      <c r="H921" s="3" t="inlineStr">
        <is>
          <t>System</t>
        </is>
      </c>
      <c r="I921" s="3" t="inlineStr">
        <is>
          <t>Katelyn Long</t>
        </is>
      </c>
      <c r="J921" s="4" t="n">
        <v>46140.75640046296</v>
      </c>
      <c r="K921" s="5" t="n">
        <v>46160.0</v>
      </c>
      <c r="L921" s="5" t="n">
        <v>45965.0</v>
      </c>
      <c r="M921" s="3" t="inlineStr">
        <is>
          <t>Approved</t>
        </is>
      </c>
      <c r="N921" s="3" t="inlineStr">
        <is>
          <t>Available for Distribution, Country Start, Site Start, Study Start</t>
        </is>
      </c>
      <c r="O921" s="3" t="inlineStr">
        <is>
          <t>42847922MDD3003</t>
        </is>
      </c>
    </row>
    <row r="922">
      <c r="A922" s="2" t="str">
        <f>HYPERLINK("https://vtmf.veevavault.com/ui/#doc_info/29789385/1/0", "42847922MDD3003---Other Information Given to Investigators-05 Feb 2025 (v1.0)")</f>
        <v>42847922MDD3003---Other Information Given to Investigators-05 Feb 2025 (v1.0)</v>
      </c>
      <c r="B922" s="3" t="inlineStr">
        <is>
          <t>Central Trial Documents</t>
        </is>
      </c>
      <c r="C922" s="3" t="inlineStr">
        <is>
          <t>Subject Documents</t>
        </is>
      </c>
      <c r="D922" s="3" t="inlineStr">
        <is>
          <t>Other Information Given to Investigators</t>
        </is>
      </c>
      <c r="E922" s="3" t="inlineStr">
        <is>
          <t>OARS-7 Teckro Alert</t>
        </is>
      </c>
      <c r="F922" s="2" t="str">
        <f>HYPERLINK("https://vtmf.veevavault.com/ui/#doc_info/29789385/1/0", "VTMF-23972676")</f>
        <v>VTMF-23972676</v>
      </c>
      <c r="G922" s="3" t="inlineStr">
        <is>
          <t/>
        </is>
      </c>
      <c r="H922" s="3" t="inlineStr">
        <is>
          <t>System</t>
        </is>
      </c>
      <c r="I922" s="3" t="inlineStr">
        <is>
          <t>Katelyn Long</t>
        </is>
      </c>
      <c r="J922" s="4" t="n">
        <v>45888.695555555554</v>
      </c>
      <c r="K922" s="5" t="n">
        <v>45888.0</v>
      </c>
      <c r="L922" s="5" t="n">
        <v>45693.0</v>
      </c>
      <c r="M922" s="3" t="inlineStr">
        <is>
          <t>Approved</t>
        </is>
      </c>
      <c r="N922" s="3" t="inlineStr">
        <is>
          <t>Available for Distribution, Country Start, Site Start, Study Start</t>
        </is>
      </c>
      <c r="O922" s="3" t="inlineStr">
        <is>
          <t>42847922MDD3003</t>
        </is>
      </c>
    </row>
    <row r="923">
      <c r="A923" s="2" t="str">
        <f>HYPERLINK("https://vtmf.veevavault.com/ui/#doc_info/29789376/1/0", "42847922MDD3003---Other Information Given to Investigators-05 Jun 2025 (v1.0)")</f>
        <v>42847922MDD3003---Other Information Given to Investigators-05 Jun 2025 (v1.0)</v>
      </c>
      <c r="B923" s="3" t="inlineStr">
        <is>
          <t>Central Trial Documents</t>
        </is>
      </c>
      <c r="C923" s="3" t="inlineStr">
        <is>
          <t>Subject Documents</t>
        </is>
      </c>
      <c r="D923" s="3" t="inlineStr">
        <is>
          <t>Other Information Given to Investigators</t>
        </is>
      </c>
      <c r="E923" s="3" t="inlineStr">
        <is>
          <t>OARS-7 Teckro Alert</t>
        </is>
      </c>
      <c r="F923" s="2" t="str">
        <f>HYPERLINK("https://vtmf.veevavault.com/ui/#doc_info/29789376/1/0", "VTMF-23972667")</f>
        <v>VTMF-23972667</v>
      </c>
      <c r="G923" s="3" t="inlineStr">
        <is>
          <t/>
        </is>
      </c>
      <c r="H923" s="3" t="inlineStr">
        <is>
          <t>System</t>
        </is>
      </c>
      <c r="I923" s="3" t="inlineStr">
        <is>
          <t>Katelyn Long</t>
        </is>
      </c>
      <c r="J923" s="4" t="n">
        <v>45888.695555555554</v>
      </c>
      <c r="K923" s="5" t="n">
        <v>45888.0</v>
      </c>
      <c r="L923" s="5" t="n">
        <v>45813.0</v>
      </c>
      <c r="M923" s="3" t="inlineStr">
        <is>
          <t>Approved</t>
        </is>
      </c>
      <c r="N923" s="3" t="inlineStr">
        <is>
          <t>Available for Distribution, Country Start, Site Start, Study Start</t>
        </is>
      </c>
      <c r="O923" s="3" t="inlineStr">
        <is>
          <t>42847922MDD3003</t>
        </is>
      </c>
    </row>
    <row r="924">
      <c r="A924" s="2" t="str">
        <f>HYPERLINK("https://vtmf.veevavault.com/ui/#doc_info/29789555/1/0", "42847922MDD3003---Other Information Given to Investigators-06 Aug 2025 (v1.0)")</f>
        <v>42847922MDD3003---Other Information Given to Investigators-06 Aug 2025 (v1.0)</v>
      </c>
      <c r="B924" s="3" t="inlineStr">
        <is>
          <t>Central Trial Documents</t>
        </is>
      </c>
      <c r="C924" s="3" t="inlineStr">
        <is>
          <t>Subject Documents</t>
        </is>
      </c>
      <c r="D924" s="3" t="inlineStr">
        <is>
          <t>Other Information Given to Investigators</t>
        </is>
      </c>
      <c r="E924" s="3" t="inlineStr">
        <is>
          <t>OARS-7 Teckro Alert</t>
        </is>
      </c>
      <c r="F924" s="2" t="str">
        <f>HYPERLINK("https://vtmf.veevavault.com/ui/#doc_info/29789555/1/0", "VTMF-23972770")</f>
        <v>VTMF-23972770</v>
      </c>
      <c r="G924" s="3" t="inlineStr">
        <is>
          <t/>
        </is>
      </c>
      <c r="H924" s="3" t="inlineStr">
        <is>
          <t>System</t>
        </is>
      </c>
      <c r="I924" s="3" t="inlineStr">
        <is>
          <t>Katelyn Long</t>
        </is>
      </c>
      <c r="J924" s="4" t="n">
        <v>45888.70814814815</v>
      </c>
      <c r="K924" s="5" t="n">
        <v>45888.0</v>
      </c>
      <c r="L924" s="5" t="n">
        <v>45875.0</v>
      </c>
      <c r="M924" s="3" t="inlineStr">
        <is>
          <t>Approved</t>
        </is>
      </c>
      <c r="N924" s="3" t="inlineStr">
        <is>
          <t>Available for Distribution, Country Start, Site Start, Study Start</t>
        </is>
      </c>
      <c r="O924" s="3" t="inlineStr">
        <is>
          <t>42847922MDD3003</t>
        </is>
      </c>
    </row>
    <row r="925">
      <c r="A925" s="2" t="str">
        <f>HYPERLINK("https://vtmf.veevavault.com/ui/#doc_info/29789549/1/0", "42847922MDD3003---Other Information Given to Investigators-07 Aug 2025 (v1.0)")</f>
        <v>42847922MDD3003---Other Information Given to Investigators-07 Aug 2025 (v1.0)</v>
      </c>
      <c r="B925" s="3" t="inlineStr">
        <is>
          <t>Central Trial Documents</t>
        </is>
      </c>
      <c r="C925" s="3" t="inlineStr">
        <is>
          <t>Subject Documents</t>
        </is>
      </c>
      <c r="D925" s="3" t="inlineStr">
        <is>
          <t>Other Information Given to Investigators</t>
        </is>
      </c>
      <c r="E925" s="3" t="inlineStr">
        <is>
          <t>OARS-7 Teckro Alert</t>
        </is>
      </c>
      <c r="F925" s="2" t="str">
        <f>HYPERLINK("https://vtmf.veevavault.com/ui/#doc_info/29789549/1/0", "VTMF-23972764")</f>
        <v>VTMF-23972764</v>
      </c>
      <c r="G925" s="3" t="inlineStr">
        <is>
          <t/>
        </is>
      </c>
      <c r="H925" s="3" t="inlineStr">
        <is>
          <t>System</t>
        </is>
      </c>
      <c r="I925" s="3" t="inlineStr">
        <is>
          <t>Katelyn Long</t>
        </is>
      </c>
      <c r="J925" s="4" t="n">
        <v>45888.70814814815</v>
      </c>
      <c r="K925" s="5" t="n">
        <v>45888.0</v>
      </c>
      <c r="L925" s="5" t="n">
        <v>45876.0</v>
      </c>
      <c r="M925" s="3" t="inlineStr">
        <is>
          <t>Approved</t>
        </is>
      </c>
      <c r="N925" s="3" t="inlineStr">
        <is>
          <t>Available for Distribution, Country Start, Site Start, Study Start</t>
        </is>
      </c>
      <c r="O925" s="3" t="inlineStr">
        <is>
          <t>42847922MDD3003</t>
        </is>
      </c>
    </row>
    <row r="926">
      <c r="A926" s="2" t="str">
        <f>HYPERLINK("https://vtmf.veevavault.com/ui/#doc_info/29789373/1/0", "42847922MDD3003---Other Information Given to Investigators-08 Jul 2025 (v1.0)")</f>
        <v>42847922MDD3003---Other Information Given to Investigators-08 Jul 2025 (v1.0)</v>
      </c>
      <c r="B926" s="3" t="inlineStr">
        <is>
          <t>Central Trial Documents</t>
        </is>
      </c>
      <c r="C926" s="3" t="inlineStr">
        <is>
          <t>Subject Documents</t>
        </is>
      </c>
      <c r="D926" s="3" t="inlineStr">
        <is>
          <t>Other Information Given to Investigators</t>
        </is>
      </c>
      <c r="E926" s="3" t="inlineStr">
        <is>
          <t>OARS-7 Teckro Alert</t>
        </is>
      </c>
      <c r="F926" s="2" t="str">
        <f>HYPERLINK("https://vtmf.veevavault.com/ui/#doc_info/29789373/1/0", "VTMF-23972664")</f>
        <v>VTMF-23972664</v>
      </c>
      <c r="G926" s="3" t="inlineStr">
        <is>
          <t/>
        </is>
      </c>
      <c r="H926" s="3" t="inlineStr">
        <is>
          <t>System</t>
        </is>
      </c>
      <c r="I926" s="3" t="inlineStr">
        <is>
          <t>Katelyn Long</t>
        </is>
      </c>
      <c r="J926" s="4" t="n">
        <v>45888.695555555554</v>
      </c>
      <c r="K926" s="5" t="n">
        <v>45888.0</v>
      </c>
      <c r="L926" s="5" t="n">
        <v>45846.0</v>
      </c>
      <c r="M926" s="3" t="inlineStr">
        <is>
          <t>Approved</t>
        </is>
      </c>
      <c r="N926" s="3" t="inlineStr">
        <is>
          <t>Available for Distribution, Country Start, Site Start, Study Start</t>
        </is>
      </c>
      <c r="O926" s="3" t="inlineStr">
        <is>
          <t>42847922MDD3003</t>
        </is>
      </c>
    </row>
    <row r="927">
      <c r="A927" s="2" t="str">
        <f>HYPERLINK("https://vtmf.veevavault.com/ui/#doc_info/29071070/1/0", "42847922MDD3003---Other Information Given to Investigators-08 May 2025 (v1.0)")</f>
        <v>42847922MDD3003---Other Information Given to Investigators-08 May 2025 (v1.0)</v>
      </c>
      <c r="B927" s="3" t="inlineStr">
        <is>
          <t>Central Trial Documents</t>
        </is>
      </c>
      <c r="C927" s="3" t="inlineStr">
        <is>
          <t>Subject Documents</t>
        </is>
      </c>
      <c r="D927" s="3" t="inlineStr">
        <is>
          <t>Other Information Given to Investigators</t>
        </is>
      </c>
      <c r="E927" s="3" t="inlineStr">
        <is>
          <t>42847922MDD3003_OARS-7 LinkedIn Sponsored Posts</t>
        </is>
      </c>
      <c r="F927" s="2" t="str">
        <f>HYPERLINK("https://vtmf.veevavault.com/ui/#doc_info/29071070/1/0", "VTMF-23358033")</f>
        <v>VTMF-23358033</v>
      </c>
      <c r="G927" s="3" t="inlineStr">
        <is>
          <t/>
        </is>
      </c>
      <c r="H927" s="3" t="inlineStr">
        <is>
          <t>System</t>
        </is>
      </c>
      <c r="I927" s="3" t="inlineStr">
        <is>
          <t>Katelyn Long</t>
        </is>
      </c>
      <c r="J927" s="4" t="n">
        <v>45825.93371527778</v>
      </c>
      <c r="K927" s="5" t="n">
        <v>45828.0</v>
      </c>
      <c r="L927" s="5" t="n">
        <v>45785.0</v>
      </c>
      <c r="M927" s="3" t="inlineStr">
        <is>
          <t>Approved</t>
        </is>
      </c>
      <c r="N927" s="3" t="inlineStr">
        <is>
          <t>Available for Distribution, Country Start, Site Start, Study Start</t>
        </is>
      </c>
      <c r="O927" s="3" t="inlineStr">
        <is>
          <t>42847922MDD3003</t>
        </is>
      </c>
    </row>
    <row r="928">
      <c r="A928" s="2" t="str">
        <f>HYPERLINK("https://vtmf.veevavault.com/ui/#doc_info/30227580/1/0", "42847922MDD3003---Other Information Given to Investigators-08 Oct 2025 (v1.0)")</f>
        <v>42847922MDD3003---Other Information Given to Investigators-08 Oct 2025 (v1.0)</v>
      </c>
      <c r="B928" s="3" t="inlineStr">
        <is>
          <t>Central Trial Documents</t>
        </is>
      </c>
      <c r="C928" s="3" t="inlineStr">
        <is>
          <t>Subject Documents</t>
        </is>
      </c>
      <c r="D928" s="3" t="inlineStr">
        <is>
          <t>Other Information Given to Investigators</t>
        </is>
      </c>
      <c r="E928" s="3" t="inlineStr">
        <is>
          <t>OARS-7 Teckro Alert</t>
        </is>
      </c>
      <c r="F928" s="2" t="str">
        <f>HYPERLINK("https://vtmf.veevavault.com/ui/#doc_info/30227580/1/0", "VTMF-24339600")</f>
        <v>VTMF-24339600</v>
      </c>
      <c r="G928" s="3" t="inlineStr">
        <is>
          <t/>
        </is>
      </c>
      <c r="H928" s="3" t="inlineStr">
        <is>
          <t>System</t>
        </is>
      </c>
      <c r="I928" s="3" t="inlineStr">
        <is>
          <t>Katelyn Long</t>
        </is>
      </c>
      <c r="J928" s="4" t="n">
        <v>45954.641180555554</v>
      </c>
      <c r="K928" s="5" t="n">
        <v>45954.0</v>
      </c>
      <c r="L928" s="5" t="n">
        <v>45938.0</v>
      </c>
      <c r="M928" s="3" t="inlineStr">
        <is>
          <t>Approved</t>
        </is>
      </c>
      <c r="N928" s="3" t="inlineStr">
        <is>
          <t>Available for Distribution, Country Start, Site Start, Study Start</t>
        </is>
      </c>
      <c r="O928" s="3" t="inlineStr">
        <is>
          <t>42847922MDD3003</t>
        </is>
      </c>
    </row>
    <row r="929">
      <c r="A929" s="2" t="str">
        <f>HYPERLINK("https://vtmf.veevavault.com/ui/#doc_info/31545167/1/0", "42847922MDD3003---Other Information Given to Investigators-08 Oct 2025 (v1.0)")</f>
        <v>42847922MDD3003---Other Information Given to Investigators-08 Oct 2025 (v1.0)</v>
      </c>
      <c r="B929" s="3" t="inlineStr">
        <is>
          <t>Central Trial Documents</t>
        </is>
      </c>
      <c r="C929" s="3" t="inlineStr">
        <is>
          <t>Subject Documents</t>
        </is>
      </c>
      <c r="D929" s="3" t="inlineStr">
        <is>
          <t>Other Information Given to Investigators</t>
        </is>
      </c>
      <c r="E929" s="3" t="inlineStr">
        <is>
          <t>OARS-7 Teckro Alert</t>
        </is>
      </c>
      <c r="F929" s="2" t="str">
        <f>HYPERLINK("https://vtmf.veevavault.com/ui/#doc_info/31545167/1/0", "VTMF-25456729")</f>
        <v>VTMF-25456729</v>
      </c>
      <c r="G929" s="3" t="inlineStr">
        <is>
          <t/>
        </is>
      </c>
      <c r="H929" s="3" t="inlineStr">
        <is>
          <t>System</t>
        </is>
      </c>
      <c r="I929" s="3" t="inlineStr">
        <is>
          <t>Katelyn Long</t>
        </is>
      </c>
      <c r="J929" s="4" t="n">
        <v>46140.75640046296</v>
      </c>
      <c r="K929" s="5" t="n">
        <v>46160.0</v>
      </c>
      <c r="L929" s="5" t="n">
        <v>45938.0</v>
      </c>
      <c r="M929" s="3" t="inlineStr">
        <is>
          <t>Approved</t>
        </is>
      </c>
      <c r="N929" s="3" t="inlineStr">
        <is>
          <t>Available for Distribution, Country Start, Site Start, Study Start</t>
        </is>
      </c>
      <c r="O929" s="3" t="inlineStr">
        <is>
          <t>42847922MDD3003</t>
        </is>
      </c>
    </row>
    <row r="930">
      <c r="A930" s="2" t="str">
        <f>HYPERLINK("https://vtmf.veevavault.com/ui/#doc_info/28050042/1/0", "42847922MDD3003---Other Information Given to Investigators-09 Jan 2025 (v1.0)")</f>
        <v>42847922MDD3003---Other Information Given to Investigators-09 Jan 2025 (v1.0)</v>
      </c>
      <c r="B930" s="3" t="inlineStr">
        <is>
          <t>Central Trial Documents</t>
        </is>
      </c>
      <c r="C930" s="3" t="inlineStr">
        <is>
          <t>Subject Documents</t>
        </is>
      </c>
      <c r="D930" s="3" t="inlineStr">
        <is>
          <t>Other Information Given to Investigators</t>
        </is>
      </c>
      <c r="E930" s="3" t="inlineStr">
        <is>
          <t>42847922MDD3003_Colleague Referral Letter</t>
        </is>
      </c>
      <c r="F930" s="2" t="str">
        <f>HYPERLINK("https://vtmf.veevavault.com/ui/#doc_info/28050042/1/0", "VTMF-22493772")</f>
        <v>VTMF-22493772</v>
      </c>
      <c r="G930" s="3" t="inlineStr">
        <is>
          <t/>
        </is>
      </c>
      <c r="H930" s="3" t="inlineStr">
        <is>
          <t>System</t>
        </is>
      </c>
      <c r="I930" s="3" t="inlineStr">
        <is>
          <t>Katelyn Long</t>
        </is>
      </c>
      <c r="J930" s="4" t="n">
        <v>45680.64461805556</v>
      </c>
      <c r="K930" s="5" t="n">
        <v>45685.0</v>
      </c>
      <c r="L930" s="5" t="n">
        <v>45666.0</v>
      </c>
      <c r="M930" s="3" t="inlineStr">
        <is>
          <t>Approved</t>
        </is>
      </c>
      <c r="N930" s="3" t="inlineStr">
        <is>
          <t>Available for Distribution, Country Start, Site Start, Study Start</t>
        </is>
      </c>
      <c r="O930" s="3" t="inlineStr">
        <is>
          <t>42847922MDD3003</t>
        </is>
      </c>
    </row>
    <row r="931">
      <c r="A931" s="2" t="str">
        <f>HYPERLINK("https://vtmf.veevavault.com/ui/#doc_info/27876715/3/0", "42847922MDD3003---Other Information Given to Investigators-09 May 2025 (v3.0)")</f>
        <v>42847922MDD3003---Other Information Given to Investigators-09 May 2025 (v3.0)</v>
      </c>
      <c r="B931" s="3" t="inlineStr">
        <is>
          <t>Central Trial Documents</t>
        </is>
      </c>
      <c r="C931" s="3" t="inlineStr">
        <is>
          <t>Subject Documents</t>
        </is>
      </c>
      <c r="D931" s="3" t="inlineStr">
        <is>
          <t>Other Information Given to Investigators</t>
        </is>
      </c>
      <c r="E931" s="3" t="inlineStr">
        <is>
          <t>Mood Disorders Portfolio_V2.0</t>
        </is>
      </c>
      <c r="F931" s="2" t="str">
        <f>HYPERLINK("https://vtmf.veevavault.com/ui/#doc_info/27876715/3/0", "VTMF-22353896")</f>
        <v>VTMF-22353896</v>
      </c>
      <c r="G931" s="3" t="inlineStr">
        <is>
          <t/>
        </is>
      </c>
      <c r="H931" s="3" t="inlineStr">
        <is>
          <t>Anthony Suarez (veeva.com)</t>
        </is>
      </c>
      <c r="I931" s="3" t="inlineStr">
        <is>
          <t>Katelyn Long</t>
        </is>
      </c>
      <c r="J931" s="4" t="n">
        <v>45786.67439814815</v>
      </c>
      <c r="K931" s="5" t="n">
        <v>45805.0</v>
      </c>
      <c r="L931" s="5" t="n">
        <v>45786.0</v>
      </c>
      <c r="M931" s="3" t="inlineStr">
        <is>
          <t>Approved</t>
        </is>
      </c>
      <c r="N931" s="3" t="inlineStr">
        <is>
          <t>Available for Distribution, Country Start, Site Start, Study Start</t>
        </is>
      </c>
      <c r="O931" s="3" t="inlineStr">
        <is>
          <t>42847922MDD3003, 89495120MDD2001</t>
        </is>
      </c>
    </row>
    <row r="932">
      <c r="A932" s="2" t="str">
        <f>HYPERLINK("https://vtmf.veevavault.com/ui/#doc_info/30227585/1/0", "42847922MDD3003---Other Information Given to Investigators-10 Sep 2025 (v1.0)")</f>
        <v>42847922MDD3003---Other Information Given to Investigators-10 Sep 2025 (v1.0)</v>
      </c>
      <c r="B932" s="3" t="inlineStr">
        <is>
          <t>Central Trial Documents</t>
        </is>
      </c>
      <c r="C932" s="3" t="inlineStr">
        <is>
          <t>Subject Documents</t>
        </is>
      </c>
      <c r="D932" s="3" t="inlineStr">
        <is>
          <t>Other Information Given to Investigators</t>
        </is>
      </c>
      <c r="E932" s="3" t="inlineStr">
        <is>
          <t>OARS-7 Teckro Alert</t>
        </is>
      </c>
      <c r="F932" s="2" t="str">
        <f>HYPERLINK("https://vtmf.veevavault.com/ui/#doc_info/30227585/1/0", "VTMF-24339605")</f>
        <v>VTMF-24339605</v>
      </c>
      <c r="G932" s="3" t="inlineStr">
        <is>
          <t/>
        </is>
      </c>
      <c r="H932" s="3" t="inlineStr">
        <is>
          <t>System</t>
        </is>
      </c>
      <c r="I932" s="3" t="inlineStr">
        <is>
          <t>Katelyn Long</t>
        </is>
      </c>
      <c r="J932" s="4" t="n">
        <v>45954.641180555554</v>
      </c>
      <c r="K932" s="5" t="n">
        <v>45954.0</v>
      </c>
      <c r="L932" s="5" t="n">
        <v>45910.0</v>
      </c>
      <c r="M932" s="3" t="inlineStr">
        <is>
          <t>Approved</t>
        </is>
      </c>
      <c r="N932" s="3" t="inlineStr">
        <is>
          <t>Available for Distribution, Country Start, Site Start, Study Start</t>
        </is>
      </c>
      <c r="O932" s="3" t="inlineStr">
        <is>
          <t>42847922MDD3003</t>
        </is>
      </c>
    </row>
    <row r="933">
      <c r="A933" s="2" t="str">
        <f>HYPERLINK("https://vtmf.veevavault.com/ui/#doc_info/31545162/1/0", "42847922MDD3003---Other Information Given to Investigators-10 Sep 2025 (v1.0)")</f>
        <v>42847922MDD3003---Other Information Given to Investigators-10 Sep 2025 (v1.0)</v>
      </c>
      <c r="B933" s="3" t="inlineStr">
        <is>
          <t>Central Trial Documents</t>
        </is>
      </c>
      <c r="C933" s="3" t="inlineStr">
        <is>
          <t>Subject Documents</t>
        </is>
      </c>
      <c r="D933" s="3" t="inlineStr">
        <is>
          <t>Other Information Given to Investigators</t>
        </is>
      </c>
      <c r="E933" s="3" t="inlineStr">
        <is>
          <t>OARS-7 Teckro Alert</t>
        </is>
      </c>
      <c r="F933" s="2" t="str">
        <f>HYPERLINK("https://vtmf.veevavault.com/ui/#doc_info/31545162/1/0", "VTMF-25456724")</f>
        <v>VTMF-25456724</v>
      </c>
      <c r="G933" s="3" t="inlineStr">
        <is>
          <t/>
        </is>
      </c>
      <c r="H933" s="3" t="inlineStr">
        <is>
          <t>System</t>
        </is>
      </c>
      <c r="I933" s="3" t="inlineStr">
        <is>
          <t>Katelyn Long</t>
        </is>
      </c>
      <c r="J933" s="4" t="n">
        <v>46140.75640046296</v>
      </c>
      <c r="K933" s="5" t="n">
        <v>46160.0</v>
      </c>
      <c r="L933" s="5" t="n">
        <v>45910.0</v>
      </c>
      <c r="M933" s="3" t="inlineStr">
        <is>
          <t>Approved</t>
        </is>
      </c>
      <c r="N933" s="3" t="inlineStr">
        <is>
          <t>Available for Distribution, Country Start, Site Start, Study Start</t>
        </is>
      </c>
      <c r="O933" s="3" t="inlineStr">
        <is>
          <t>42847922MDD3003</t>
        </is>
      </c>
    </row>
    <row r="934">
      <c r="A934" s="2" t="str">
        <f>HYPERLINK("https://vtmf.veevavault.com/ui/#doc_info/29789550/1/0", "42847922MDD3003---Other Information Given to Investigators-11 Aug 2025 (v1.0)")</f>
        <v>42847922MDD3003---Other Information Given to Investigators-11 Aug 2025 (v1.0)</v>
      </c>
      <c r="B934" s="3" t="inlineStr">
        <is>
          <t>Central Trial Documents</t>
        </is>
      </c>
      <c r="C934" s="3" t="inlineStr">
        <is>
          <t>Subject Documents</t>
        </is>
      </c>
      <c r="D934" s="3" t="inlineStr">
        <is>
          <t>Other Information Given to Investigators</t>
        </is>
      </c>
      <c r="E934" s="3" t="inlineStr">
        <is>
          <t>OARS-7 Teckro Alert</t>
        </is>
      </c>
      <c r="F934" s="2" t="str">
        <f>HYPERLINK("https://vtmf.veevavault.com/ui/#doc_info/29789550/1/0", "VTMF-23972765")</f>
        <v>VTMF-23972765</v>
      </c>
      <c r="G934" s="3" t="inlineStr">
        <is>
          <t/>
        </is>
      </c>
      <c r="H934" s="3" t="inlineStr">
        <is>
          <t>System</t>
        </is>
      </c>
      <c r="I934" s="3" t="inlineStr">
        <is>
          <t>Katelyn Long</t>
        </is>
      </c>
      <c r="J934" s="4" t="n">
        <v>45888.70814814815</v>
      </c>
      <c r="K934" s="5" t="n">
        <v>45888.0</v>
      </c>
      <c r="L934" s="5" t="n">
        <v>45880.0</v>
      </c>
      <c r="M934" s="3" t="inlineStr">
        <is>
          <t>Approved</t>
        </is>
      </c>
      <c r="N934" s="3" t="inlineStr">
        <is>
          <t>Available for Distribution, Country Start, Site Start, Study Start</t>
        </is>
      </c>
      <c r="O934" s="3" t="inlineStr">
        <is>
          <t>42847922MDD3003</t>
        </is>
      </c>
    </row>
    <row r="935">
      <c r="A935" s="2" t="str">
        <f>HYPERLINK("https://vtmf.veevavault.com/ui/#doc_info/29789375/1/0", "42847922MDD3003---Other Information Given to Investigators-11 Jun 2025 (v1.0)")</f>
        <v>42847922MDD3003---Other Information Given to Investigators-11 Jun 2025 (v1.0)</v>
      </c>
      <c r="B935" s="3" t="inlineStr">
        <is>
          <t>Central Trial Documents</t>
        </is>
      </c>
      <c r="C935" s="3" t="inlineStr">
        <is>
          <t>Subject Documents</t>
        </is>
      </c>
      <c r="D935" s="3" t="inlineStr">
        <is>
          <t>Other Information Given to Investigators</t>
        </is>
      </c>
      <c r="E935" s="3" t="inlineStr">
        <is>
          <t>OARS-7 Teckro Alert</t>
        </is>
      </c>
      <c r="F935" s="2" t="str">
        <f>HYPERLINK("https://vtmf.veevavault.com/ui/#doc_info/29789375/1/0", "VTMF-23972666")</f>
        <v>VTMF-23972666</v>
      </c>
      <c r="G935" s="3" t="inlineStr">
        <is>
          <t/>
        </is>
      </c>
      <c r="H935" s="3" t="inlineStr">
        <is>
          <t>System</t>
        </is>
      </c>
      <c r="I935" s="3" t="inlineStr">
        <is>
          <t>Katelyn Long</t>
        </is>
      </c>
      <c r="J935" s="4" t="n">
        <v>45888.695555555554</v>
      </c>
      <c r="K935" s="5" t="n">
        <v>45888.0</v>
      </c>
      <c r="L935" s="5" t="n">
        <v>45819.0</v>
      </c>
      <c r="M935" s="3" t="inlineStr">
        <is>
          <t>Approved</t>
        </is>
      </c>
      <c r="N935" s="3" t="inlineStr">
        <is>
          <t>Available for Distribution, Country Start, Site Start, Study Start</t>
        </is>
      </c>
      <c r="O935" s="3" t="inlineStr">
        <is>
          <t>42847922MDD3003</t>
        </is>
      </c>
    </row>
    <row r="936">
      <c r="A936" s="2" t="str">
        <f>HYPERLINK("https://vtmf.veevavault.com/ui/#doc_info/31545172/1/0", "42847922MDD3003---Other Information Given to Investigators-11 Nov 2025 (v1.0)")</f>
        <v>42847922MDD3003---Other Information Given to Investigators-11 Nov 2025 (v1.0)</v>
      </c>
      <c r="B936" s="3" t="inlineStr">
        <is>
          <t>Central Trial Documents</t>
        </is>
      </c>
      <c r="C936" s="3" t="inlineStr">
        <is>
          <t>Subject Documents</t>
        </is>
      </c>
      <c r="D936" s="3" t="inlineStr">
        <is>
          <t>Other Information Given to Investigators</t>
        </is>
      </c>
      <c r="E936" s="3" t="inlineStr">
        <is>
          <t>OARS-7 Teckro Alert</t>
        </is>
      </c>
      <c r="F936" s="2" t="str">
        <f>HYPERLINK("https://vtmf.veevavault.com/ui/#doc_info/31545172/1/0", "VTMF-25456734")</f>
        <v>VTMF-25456734</v>
      </c>
      <c r="G936" s="3" t="inlineStr">
        <is>
          <t/>
        </is>
      </c>
      <c r="H936" s="3" t="inlineStr">
        <is>
          <t>System</t>
        </is>
      </c>
      <c r="I936" s="3" t="inlineStr">
        <is>
          <t>Katelyn Long</t>
        </is>
      </c>
      <c r="J936" s="4" t="n">
        <v>46140.75640046296</v>
      </c>
      <c r="K936" s="5" t="n">
        <v>46160.0</v>
      </c>
      <c r="L936" s="5" t="n">
        <v>45972.0</v>
      </c>
      <c r="M936" s="3" t="inlineStr">
        <is>
          <t>Approved</t>
        </is>
      </c>
      <c r="N936" s="3" t="inlineStr">
        <is>
          <t>Available for Distribution, Country Start, Site Start, Study Start</t>
        </is>
      </c>
      <c r="O936" s="3" t="inlineStr">
        <is>
          <t>42847922MDD3003</t>
        </is>
      </c>
    </row>
    <row r="937">
      <c r="A937" s="2" t="str">
        <f>HYPERLINK("https://vtmf.veevavault.com/ui/#doc_info/31545173/1/0", "42847922MDD3003---Other Information Given to Investigators-11 Nov 2025 (v1.0)")</f>
        <v>42847922MDD3003---Other Information Given to Investigators-11 Nov 2025 (v1.0)</v>
      </c>
      <c r="B937" s="3" t="inlineStr">
        <is>
          <t>Central Trial Documents</t>
        </is>
      </c>
      <c r="C937" s="3" t="inlineStr">
        <is>
          <t>Subject Documents</t>
        </is>
      </c>
      <c r="D937" s="3" t="inlineStr">
        <is>
          <t>Other Information Given to Investigators</t>
        </is>
      </c>
      <c r="E937" s="3" t="inlineStr">
        <is>
          <t>OARS-7 Teckro Alert</t>
        </is>
      </c>
      <c r="F937" s="2" t="str">
        <f>HYPERLINK("https://vtmf.veevavault.com/ui/#doc_info/31545173/1/0", "VTMF-25456735")</f>
        <v>VTMF-25456735</v>
      </c>
      <c r="G937" s="3" t="inlineStr">
        <is>
          <t/>
        </is>
      </c>
      <c r="H937" s="3" t="inlineStr">
        <is>
          <t>System</t>
        </is>
      </c>
      <c r="I937" s="3" t="inlineStr">
        <is>
          <t>Katelyn Long</t>
        </is>
      </c>
      <c r="J937" s="4" t="n">
        <v>46140.75640046296</v>
      </c>
      <c r="K937" s="5" t="n">
        <v>46160.0</v>
      </c>
      <c r="L937" s="5" t="n">
        <v>45972.0</v>
      </c>
      <c r="M937" s="3" t="inlineStr">
        <is>
          <t>Approved</t>
        </is>
      </c>
      <c r="N937" s="3" t="inlineStr">
        <is>
          <t>Available for Distribution, Country Start, Site Start, Study Start</t>
        </is>
      </c>
      <c r="O937" s="3" t="inlineStr">
        <is>
          <t>42847922MDD3003</t>
        </is>
      </c>
    </row>
    <row r="938">
      <c r="A938" s="2" t="str">
        <f>HYPERLINK("https://vtmf.veevavault.com/ui/#doc_info/31545174/1/0", "42847922MDD3003---Other Information Given to Investigators-12 Nov 2025 (v1.0)")</f>
        <v>42847922MDD3003---Other Information Given to Investigators-12 Nov 2025 (v1.0)</v>
      </c>
      <c r="B938" s="3" t="inlineStr">
        <is>
          <t>Central Trial Documents</t>
        </is>
      </c>
      <c r="C938" s="3" t="inlineStr">
        <is>
          <t>Subject Documents</t>
        </is>
      </c>
      <c r="D938" s="3" t="inlineStr">
        <is>
          <t>Other Information Given to Investigators</t>
        </is>
      </c>
      <c r="E938" s="3" t="inlineStr">
        <is>
          <t>OARS-7 Teckro Alert</t>
        </is>
      </c>
      <c r="F938" s="2" t="str">
        <f>HYPERLINK("https://vtmf.veevavault.com/ui/#doc_info/31545174/1/0", "VTMF-25456736")</f>
        <v>VTMF-25456736</v>
      </c>
      <c r="G938" s="3" t="inlineStr">
        <is>
          <t/>
        </is>
      </c>
      <c r="H938" s="3" t="inlineStr">
        <is>
          <t>System</t>
        </is>
      </c>
      <c r="I938" s="3" t="inlineStr">
        <is>
          <t>Katelyn Long</t>
        </is>
      </c>
      <c r="J938" s="4" t="n">
        <v>46140.75640046296</v>
      </c>
      <c r="K938" s="5" t="n">
        <v>46160.0</v>
      </c>
      <c r="L938" s="5" t="n">
        <v>45973.0</v>
      </c>
      <c r="M938" s="3" t="inlineStr">
        <is>
          <t>Approved</t>
        </is>
      </c>
      <c r="N938" s="3" t="inlineStr">
        <is>
          <t>Available for Distribution, Country Start, Site Start, Study Start</t>
        </is>
      </c>
      <c r="O938" s="3" t="inlineStr">
        <is>
          <t>42847922MDD3003</t>
        </is>
      </c>
    </row>
    <row r="939">
      <c r="A939" s="2" t="str">
        <f>HYPERLINK("https://vtmf.veevavault.com/ui/#doc_info/29071059/1/0", "42847922MDD3003---Other Information Given to Investigators-13 Jun 2025 (v1.0)")</f>
        <v>42847922MDD3003---Other Information Given to Investigators-13 Jun 2025 (v1.0)</v>
      </c>
      <c r="B939" s="3" t="inlineStr">
        <is>
          <t>Central Trial Documents</t>
        </is>
      </c>
      <c r="C939" s="3" t="inlineStr">
        <is>
          <t>Subject Documents</t>
        </is>
      </c>
      <c r="D939" s="3" t="inlineStr">
        <is>
          <t>Other Information Given to Investigators</t>
        </is>
      </c>
      <c r="E939" s="3" t="inlineStr">
        <is>
          <t>42847922MDD3003_OARS-7 SERMO Email</t>
        </is>
      </c>
      <c r="F939" s="2" t="str">
        <f>HYPERLINK("https://vtmf.veevavault.com/ui/#doc_info/29071059/1/0", "VTMF-23358020")</f>
        <v>VTMF-23358020</v>
      </c>
      <c r="G939" s="3" t="inlineStr">
        <is>
          <t/>
        </is>
      </c>
      <c r="H939" s="3" t="inlineStr">
        <is>
          <t>System</t>
        </is>
      </c>
      <c r="I939" s="3" t="inlineStr">
        <is>
          <t>Katelyn Long</t>
        </is>
      </c>
      <c r="J939" s="4" t="n">
        <v>45821.773506944446</v>
      </c>
      <c r="K939" s="5" t="n">
        <v>45828.0</v>
      </c>
      <c r="L939" s="5" t="n">
        <v>45821.0</v>
      </c>
      <c r="M939" s="3" t="inlineStr">
        <is>
          <t>Approved</t>
        </is>
      </c>
      <c r="N939" s="3" t="inlineStr">
        <is>
          <t>Available for Distribution, Country Start, Site Start, Study Start</t>
        </is>
      </c>
      <c r="O939" s="3" t="inlineStr">
        <is>
          <t>42847922MDD3003</t>
        </is>
      </c>
    </row>
    <row r="940">
      <c r="A940" s="2" t="str">
        <f>HYPERLINK("https://vtmf.veevavault.com/ui/#doc_info/29353141/1/0", "42847922MDD3003---Other Information Given to Investigators-13 Jun 2025 (v1.0)")</f>
        <v>42847922MDD3003---Other Information Given to Investigators-13 Jun 2025 (v1.0)</v>
      </c>
      <c r="B940" s="3" t="inlineStr">
        <is>
          <t>Central Trial Documents</t>
        </is>
      </c>
      <c r="C940" s="3" t="inlineStr">
        <is>
          <t>Subject Documents</t>
        </is>
      </c>
      <c r="D940" s="3" t="inlineStr">
        <is>
          <t>Other Information Given to Investigators</t>
        </is>
      </c>
      <c r="E940" s="3" t="inlineStr">
        <is>
          <t>OARS-7 Evoke Communications Media Plan</t>
        </is>
      </c>
      <c r="F940" s="2" t="str">
        <f>HYPERLINK("https://vtmf.veevavault.com/ui/#doc_info/29353141/1/0", "VTMF-23596755")</f>
        <v>VTMF-23596755</v>
      </c>
      <c r="G940" s="3" t="inlineStr">
        <is>
          <t/>
        </is>
      </c>
      <c r="H940" s="3" t="inlineStr">
        <is>
          <t>System</t>
        </is>
      </c>
      <c r="I940" s="3" t="inlineStr">
        <is>
          <t>Katelyn Long</t>
        </is>
      </c>
      <c r="J940" s="4" t="n">
        <v>45821.766018518516</v>
      </c>
      <c r="K940" s="5" t="n">
        <v>45828.0</v>
      </c>
      <c r="L940" s="5" t="n">
        <v>45821.0</v>
      </c>
      <c r="M940" s="3" t="inlineStr">
        <is>
          <t>Approved</t>
        </is>
      </c>
      <c r="N940" s="3" t="inlineStr">
        <is>
          <t>Available for Distribution, Country Start, Site Start, Study Start</t>
        </is>
      </c>
      <c r="O940" s="3" t="inlineStr">
        <is>
          <t>42847922MDD3003</t>
        </is>
      </c>
    </row>
    <row r="941">
      <c r="A941" s="2" t="str">
        <f>HYPERLINK("https://vtmf.veevavault.com/ui/#doc_info/29071057/2/0", "42847922MDD3003---Other Information Given to Investigators-13 May 2025 (v2.0)")</f>
        <v>42847922MDD3003---Other Information Given to Investigators-13 May 2025 (v2.0)</v>
      </c>
      <c r="B941" s="3" t="inlineStr">
        <is>
          <t>Central Trial Documents</t>
        </is>
      </c>
      <c r="C941" s="3" t="inlineStr">
        <is>
          <t>Subject Documents</t>
        </is>
      </c>
      <c r="D941" s="3" t="inlineStr">
        <is>
          <t>Other Information Given to Investigators</t>
        </is>
      </c>
      <c r="E941" s="3" t="inlineStr">
        <is>
          <t>42847922MDD3003_OARS-7 SERMO Campaign Sponsored Posts</t>
        </is>
      </c>
      <c r="F941" s="2" t="str">
        <f>HYPERLINK("https://vtmf.veevavault.com/ui/#doc_info/29071057/2/0", "VTMF-23358015")</f>
        <v>VTMF-23358015</v>
      </c>
      <c r="G941" s="3" t="inlineStr">
        <is>
          <t/>
        </is>
      </c>
      <c r="H941" s="3" t="inlineStr">
        <is>
          <t>System</t>
        </is>
      </c>
      <c r="I941" s="3" t="inlineStr">
        <is>
          <t>Katelyn Long</t>
        </is>
      </c>
      <c r="J941" s="4" t="n">
        <v>45833.69267361111</v>
      </c>
      <c r="K941" s="5" t="n">
        <v>45835.0</v>
      </c>
      <c r="L941" s="5" t="n">
        <v>45790.0</v>
      </c>
      <c r="M941" s="3" t="inlineStr">
        <is>
          <t>Approved</t>
        </is>
      </c>
      <c r="N941" s="3" t="inlineStr">
        <is>
          <t>Available for Distribution, Country Start, Site Start, Study Start</t>
        </is>
      </c>
      <c r="O941" s="3" t="inlineStr">
        <is>
          <t>42847922MDD3003</t>
        </is>
      </c>
    </row>
    <row r="942">
      <c r="A942" s="2" t="str">
        <f>HYPERLINK("https://vtmf.veevavault.com/ui/#doc_info/31545175/1/0", "42847922MDD3003---Other Information Given to Investigators-13 Nov 2025 (v1.0)")</f>
        <v>42847922MDD3003---Other Information Given to Investigators-13 Nov 2025 (v1.0)</v>
      </c>
      <c r="B942" s="3" t="inlineStr">
        <is>
          <t>Central Trial Documents</t>
        </is>
      </c>
      <c r="C942" s="3" t="inlineStr">
        <is>
          <t>Subject Documents</t>
        </is>
      </c>
      <c r="D942" s="3" t="inlineStr">
        <is>
          <t>Other Information Given to Investigators</t>
        </is>
      </c>
      <c r="E942" s="3" t="inlineStr">
        <is>
          <t>OARS-7 Teckro Alert</t>
        </is>
      </c>
      <c r="F942" s="2" t="str">
        <f>HYPERLINK("https://vtmf.veevavault.com/ui/#doc_info/31545175/1/0", "VTMF-25456737")</f>
        <v>VTMF-25456737</v>
      </c>
      <c r="G942" s="3" t="inlineStr">
        <is>
          <t/>
        </is>
      </c>
      <c r="H942" s="3" t="inlineStr">
        <is>
          <t>System</t>
        </is>
      </c>
      <c r="I942" s="3" t="inlineStr">
        <is>
          <t>Katelyn Long</t>
        </is>
      </c>
      <c r="J942" s="4" t="n">
        <v>46140.75640046296</v>
      </c>
      <c r="K942" s="5" t="n">
        <v>46160.0</v>
      </c>
      <c r="L942" s="5" t="n">
        <v>45974.0</v>
      </c>
      <c r="M942" s="3" t="inlineStr">
        <is>
          <t>Approved</t>
        </is>
      </c>
      <c r="N942" s="3" t="inlineStr">
        <is>
          <t>Available for Distribution, Country Start, Site Start, Study Start</t>
        </is>
      </c>
      <c r="O942" s="3" t="inlineStr">
        <is>
          <t>42847922MDD3003</t>
        </is>
      </c>
    </row>
    <row r="943">
      <c r="A943" s="2" t="str">
        <f>HYPERLINK("https://vtmf.veevavault.com/ui/#doc_info/30227583/1/0", "42847922MDD3003---Other Information Given to Investigators-13 Oct 2025 (v1.0)")</f>
        <v>42847922MDD3003---Other Information Given to Investigators-13 Oct 2025 (v1.0)</v>
      </c>
      <c r="B943" s="3" t="inlineStr">
        <is>
          <t>Central Trial Documents</t>
        </is>
      </c>
      <c r="C943" s="3" t="inlineStr">
        <is>
          <t>Subject Documents</t>
        </is>
      </c>
      <c r="D943" s="3" t="inlineStr">
        <is>
          <t>Other Information Given to Investigators</t>
        </is>
      </c>
      <c r="E943" s="3" t="inlineStr">
        <is>
          <t>OARS-7 Teckro Alert</t>
        </is>
      </c>
      <c r="F943" s="2" t="str">
        <f>HYPERLINK("https://vtmf.veevavault.com/ui/#doc_info/30227583/1/0", "VTMF-24339603")</f>
        <v>VTMF-24339603</v>
      </c>
      <c r="G943" s="3" t="inlineStr">
        <is>
          <t/>
        </is>
      </c>
      <c r="H943" s="3" t="inlineStr">
        <is>
          <t>System</t>
        </is>
      </c>
      <c r="I943" s="3" t="inlineStr">
        <is>
          <t>Katelyn Long</t>
        </is>
      </c>
      <c r="J943" s="4" t="n">
        <v>45954.641180555554</v>
      </c>
      <c r="K943" s="5" t="n">
        <v>45954.0</v>
      </c>
      <c r="L943" s="5" t="n">
        <v>45943.0</v>
      </c>
      <c r="M943" s="3" t="inlineStr">
        <is>
          <t>Approved</t>
        </is>
      </c>
      <c r="N943" s="3" t="inlineStr">
        <is>
          <t>Available for Distribution, Country Start, Site Start, Study Start</t>
        </is>
      </c>
      <c r="O943" s="3" t="inlineStr">
        <is>
          <t>42847922MDD3003</t>
        </is>
      </c>
    </row>
    <row r="944">
      <c r="A944" s="2" t="str">
        <f>HYPERLINK("https://vtmf.veevavault.com/ui/#doc_info/29789551/1/0", "42847922MDD3003---Other Information Given to Investigators-14 Aug 2025 (v1.0)")</f>
        <v>42847922MDD3003---Other Information Given to Investigators-14 Aug 2025 (v1.0)</v>
      </c>
      <c r="B944" s="3" t="inlineStr">
        <is>
          <t>Central Trial Documents</t>
        </is>
      </c>
      <c r="C944" s="3" t="inlineStr">
        <is>
          <t>Subject Documents</t>
        </is>
      </c>
      <c r="D944" s="3" t="inlineStr">
        <is>
          <t>Other Information Given to Investigators</t>
        </is>
      </c>
      <c r="E944" s="3" t="inlineStr">
        <is>
          <t>OARS-7 Teckro Alert</t>
        </is>
      </c>
      <c r="F944" s="2" t="str">
        <f>HYPERLINK("https://vtmf.veevavault.com/ui/#doc_info/29789551/1/0", "VTMF-23972766")</f>
        <v>VTMF-23972766</v>
      </c>
      <c r="G944" s="3" t="inlineStr">
        <is>
          <t/>
        </is>
      </c>
      <c r="H944" s="3" t="inlineStr">
        <is>
          <t>System</t>
        </is>
      </c>
      <c r="I944" s="3" t="inlineStr">
        <is>
          <t>Katelyn Long</t>
        </is>
      </c>
      <c r="J944" s="4" t="n">
        <v>45888.70814814815</v>
      </c>
      <c r="K944" s="5" t="n">
        <v>45888.0</v>
      </c>
      <c r="L944" s="5" t="n">
        <v>45883.0</v>
      </c>
      <c r="M944" s="3" t="inlineStr">
        <is>
          <t>Approved</t>
        </is>
      </c>
      <c r="N944" s="3" t="inlineStr">
        <is>
          <t>Available for Distribution, Country Start, Site Start, Study Start</t>
        </is>
      </c>
      <c r="O944" s="3" t="inlineStr">
        <is>
          <t>42847922MDD3003</t>
        </is>
      </c>
    </row>
    <row r="945">
      <c r="A945" s="2" t="str">
        <f>HYPERLINK("https://vtmf.veevavault.com/ui/#doc_info/29789552/1/0", "42847922MDD3003---Other Information Given to Investigators-14 Aug 2025 (v1.0)")</f>
        <v>42847922MDD3003---Other Information Given to Investigators-14 Aug 2025 (v1.0)</v>
      </c>
      <c r="B945" s="3" t="inlineStr">
        <is>
          <t>Central Trial Documents</t>
        </is>
      </c>
      <c r="C945" s="3" t="inlineStr">
        <is>
          <t>Subject Documents</t>
        </is>
      </c>
      <c r="D945" s="3" t="inlineStr">
        <is>
          <t>Other Information Given to Investigators</t>
        </is>
      </c>
      <c r="E945" s="3" t="inlineStr">
        <is>
          <t>OARS-7 Teckro Alert</t>
        </is>
      </c>
      <c r="F945" s="2" t="str">
        <f>HYPERLINK("https://vtmf.veevavault.com/ui/#doc_info/29789552/1/0", "VTMF-23972767")</f>
        <v>VTMF-23972767</v>
      </c>
      <c r="G945" s="3" t="inlineStr">
        <is>
          <t/>
        </is>
      </c>
      <c r="H945" s="3" t="inlineStr">
        <is>
          <t>System</t>
        </is>
      </c>
      <c r="I945" s="3" t="inlineStr">
        <is>
          <t>Katelyn Long</t>
        </is>
      </c>
      <c r="J945" s="4" t="n">
        <v>45888.70814814815</v>
      </c>
      <c r="K945" s="5" t="n">
        <v>45888.0</v>
      </c>
      <c r="L945" s="5" t="n">
        <v>45883.0</v>
      </c>
      <c r="M945" s="3" t="inlineStr">
        <is>
          <t>Approved</t>
        </is>
      </c>
      <c r="N945" s="3" t="inlineStr">
        <is>
          <t>Available for Distribution, Country Start, Site Start, Study Start</t>
        </is>
      </c>
      <c r="O945" s="3" t="inlineStr">
        <is>
          <t>42847922MDD3003</t>
        </is>
      </c>
    </row>
    <row r="946">
      <c r="A946" s="2" t="str">
        <f>HYPERLINK("https://vtmf.veevavault.com/ui/#doc_info/29789553/1/0", "42847922MDD3003---Other Information Given to Investigators-14 Aug 2025 (v1.0)")</f>
        <v>42847922MDD3003---Other Information Given to Investigators-14 Aug 2025 (v1.0)</v>
      </c>
      <c r="B946" s="3" t="inlineStr">
        <is>
          <t>Central Trial Documents</t>
        </is>
      </c>
      <c r="C946" s="3" t="inlineStr">
        <is>
          <t>Subject Documents</t>
        </is>
      </c>
      <c r="D946" s="3" t="inlineStr">
        <is>
          <t>Other Information Given to Investigators</t>
        </is>
      </c>
      <c r="E946" s="3" t="inlineStr">
        <is>
          <t>OARS-7 Teckro Alert</t>
        </is>
      </c>
      <c r="F946" s="2" t="str">
        <f>HYPERLINK("https://vtmf.veevavault.com/ui/#doc_info/29789553/1/0", "VTMF-23972768")</f>
        <v>VTMF-23972768</v>
      </c>
      <c r="G946" s="3" t="inlineStr">
        <is>
          <t/>
        </is>
      </c>
      <c r="H946" s="3" t="inlineStr">
        <is>
          <t>System</t>
        </is>
      </c>
      <c r="I946" s="3" t="inlineStr">
        <is>
          <t>Katelyn Long</t>
        </is>
      </c>
      <c r="J946" s="4" t="n">
        <v>45888.70814814815</v>
      </c>
      <c r="K946" s="5" t="n">
        <v>45888.0</v>
      </c>
      <c r="L946" s="5" t="n">
        <v>45883.0</v>
      </c>
      <c r="M946" s="3" t="inlineStr">
        <is>
          <t>Approved</t>
        </is>
      </c>
      <c r="N946" s="3" t="inlineStr">
        <is>
          <t>Available for Distribution, Country Start, Site Start, Study Start</t>
        </is>
      </c>
      <c r="O946" s="3" t="inlineStr">
        <is>
          <t>42847922MDD3003</t>
        </is>
      </c>
    </row>
    <row r="947">
      <c r="A947" s="2" t="str">
        <f>HYPERLINK("https://vtmf.veevavault.com/ui/#doc_info/26107792/2/0", "42847922MDD3003---Other Information Given to Investigators-14 Jun 2024 (v2.0)")</f>
        <v>42847922MDD3003---Other Information Given to Investigators-14 Jun 2024 (v2.0)</v>
      </c>
      <c r="B947" s="3" t="inlineStr">
        <is>
          <t>Central Trial Documents</t>
        </is>
      </c>
      <c r="C947" s="3" t="inlineStr">
        <is>
          <t>Subject Documents</t>
        </is>
      </c>
      <c r="D947" s="3" t="inlineStr">
        <is>
          <t>Other Information Given to Investigators</t>
        </is>
      </c>
      <c r="E947" s="3" t="inlineStr">
        <is>
          <t>Mini Protocol_ENG_V1.0</t>
        </is>
      </c>
      <c r="F947" s="2" t="str">
        <f>HYPERLINK("https://vtmf.veevavault.com/ui/#doc_info/26107792/2/0", "VTMF-20875221")</f>
        <v>VTMF-20875221</v>
      </c>
      <c r="G947" s="3" t="inlineStr">
        <is>
          <t/>
        </is>
      </c>
      <c r="H947" s="3" t="inlineStr">
        <is>
          <t>System</t>
        </is>
      </c>
      <c r="I947" s="3" t="inlineStr">
        <is>
          <t>Adam McKain</t>
        </is>
      </c>
      <c r="J947" s="4" t="n">
        <v>45469.90840277778</v>
      </c>
      <c r="K947" s="5" t="n">
        <v>45475.0</v>
      </c>
      <c r="L947" s="5" t="n">
        <v>45457.0</v>
      </c>
      <c r="M947" s="3" t="inlineStr">
        <is>
          <t>Approved</t>
        </is>
      </c>
      <c r="N947" s="3" t="inlineStr">
        <is>
          <t>Available for Distribution, Country Start, Site Start, Study Start</t>
        </is>
      </c>
      <c r="O947" s="3" t="inlineStr">
        <is>
          <t>42847922MDD3003</t>
        </is>
      </c>
    </row>
    <row r="948">
      <c r="A948" s="2" t="str">
        <f>HYPERLINK("https://vtmf.veevavault.com/ui/#doc_info/29789384/1/0", "42847922MDD3003---Other Information Given to Investigators-15 Feb 2025 (v1.0)")</f>
        <v>42847922MDD3003---Other Information Given to Investigators-15 Feb 2025 (v1.0)</v>
      </c>
      <c r="B948" s="3" t="inlineStr">
        <is>
          <t>Central Trial Documents</t>
        </is>
      </c>
      <c r="C948" s="3" t="inlineStr">
        <is>
          <t>Subject Documents</t>
        </is>
      </c>
      <c r="D948" s="3" t="inlineStr">
        <is>
          <t>Other Information Given to Investigators</t>
        </is>
      </c>
      <c r="E948" s="3" t="inlineStr">
        <is>
          <t>OARS-7 Teckro Alert</t>
        </is>
      </c>
      <c r="F948" s="2" t="str">
        <f>HYPERLINK("https://vtmf.veevavault.com/ui/#doc_info/29789384/1/0", "VTMF-23972675")</f>
        <v>VTMF-23972675</v>
      </c>
      <c r="G948" s="3" t="inlineStr">
        <is>
          <t/>
        </is>
      </c>
      <c r="H948" s="3" t="inlineStr">
        <is>
          <t>System</t>
        </is>
      </c>
      <c r="I948" s="3" t="inlineStr">
        <is>
          <t>Katelyn Long</t>
        </is>
      </c>
      <c r="J948" s="4" t="n">
        <v>45888.695555555554</v>
      </c>
      <c r="K948" s="5" t="n">
        <v>45888.0</v>
      </c>
      <c r="L948" s="5" t="n">
        <v>45703.0</v>
      </c>
      <c r="M948" s="3" t="inlineStr">
        <is>
          <t>Approved</t>
        </is>
      </c>
      <c r="N948" s="3" t="inlineStr">
        <is>
          <t>Available for Distribution, Country Start, Site Start, Study Start</t>
        </is>
      </c>
      <c r="O948" s="3" t="inlineStr">
        <is>
          <t>42847922MDD3003</t>
        </is>
      </c>
    </row>
    <row r="949">
      <c r="A949" s="2" t="str">
        <f>HYPERLINK("https://vtmf.veevavault.com/ui/#doc_info/26152801/1/0", "42847922MDD3003---Other Information Given to Investigators-16 Apr 2024 (v1.0)")</f>
        <v>42847922MDD3003---Other Information Given to Investigators-16 Apr 2024 (v1.0)</v>
      </c>
      <c r="B949" s="3" t="inlineStr">
        <is>
          <t>Central Trial Documents</t>
        </is>
      </c>
      <c r="C949" s="3" t="inlineStr">
        <is>
          <t>Subject Documents</t>
        </is>
      </c>
      <c r="D949" s="3" t="inlineStr">
        <is>
          <t>Other Information Given to Investigators</t>
        </is>
      </c>
      <c r="E949" s="3" t="inlineStr">
        <is>
          <t>Branded Kit Box_ENG_V1.0</t>
        </is>
      </c>
      <c r="F949" s="2" t="str">
        <f>HYPERLINK("https://vtmf.veevavault.com/ui/#doc_info/26152801/1/0", "VTMF-20914696")</f>
        <v>VTMF-20914696</v>
      </c>
      <c r="G949" s="3" t="inlineStr">
        <is>
          <t/>
        </is>
      </c>
      <c r="H949" s="3" t="inlineStr">
        <is>
          <t>System</t>
        </is>
      </c>
      <c r="I949" s="3" t="inlineStr">
        <is>
          <t>Adam McKain</t>
        </is>
      </c>
      <c r="J949" s="4" t="n">
        <v>45399.91572916666</v>
      </c>
      <c r="K949" s="5" t="n">
        <v>45419.0</v>
      </c>
      <c r="L949" s="5" t="n">
        <v>45398.0</v>
      </c>
      <c r="M949" s="3" t="inlineStr">
        <is>
          <t>Approved</t>
        </is>
      </c>
      <c r="N949" s="3" t="inlineStr">
        <is>
          <t>Available for Distribution, Country Start, Site Start, Study Start</t>
        </is>
      </c>
      <c r="O949" s="3" t="inlineStr">
        <is>
          <t>42847922MDD3003</t>
        </is>
      </c>
    </row>
    <row r="950">
      <c r="A950" s="2" t="str">
        <f>HYPERLINK("https://vtmf.veevavault.com/ui/#doc_info/29789380/1/0", "42847922MDD3003---Other Information Given to Investigators-16 Apr 2025 (v1.0)")</f>
        <v>42847922MDD3003---Other Information Given to Investigators-16 Apr 2025 (v1.0)</v>
      </c>
      <c r="B950" s="3" t="inlineStr">
        <is>
          <t>Central Trial Documents</t>
        </is>
      </c>
      <c r="C950" s="3" t="inlineStr">
        <is>
          <t>Subject Documents</t>
        </is>
      </c>
      <c r="D950" s="3" t="inlineStr">
        <is>
          <t>Other Information Given to Investigators</t>
        </is>
      </c>
      <c r="E950" s="3" t="inlineStr">
        <is>
          <t>OARS-7 Teckro Alert</t>
        </is>
      </c>
      <c r="F950" s="2" t="str">
        <f>HYPERLINK("https://vtmf.veevavault.com/ui/#doc_info/29789380/1/0", "VTMF-23972671")</f>
        <v>VTMF-23972671</v>
      </c>
      <c r="G950" s="3" t="inlineStr">
        <is>
          <t/>
        </is>
      </c>
      <c r="H950" s="3" t="inlineStr">
        <is>
          <t>System</t>
        </is>
      </c>
      <c r="I950" s="3" t="inlineStr">
        <is>
          <t>Katelyn Long</t>
        </is>
      </c>
      <c r="J950" s="4" t="n">
        <v>45888.695555555554</v>
      </c>
      <c r="K950" s="5" t="n">
        <v>45888.0</v>
      </c>
      <c r="L950" s="5" t="n">
        <v>45763.0</v>
      </c>
      <c r="M950" s="3" t="inlineStr">
        <is>
          <t>Approved</t>
        </is>
      </c>
      <c r="N950" s="3" t="inlineStr">
        <is>
          <t>Available for Distribution, Country Start, Site Start, Study Start</t>
        </is>
      </c>
      <c r="O950" s="3" t="inlineStr">
        <is>
          <t>42847922MDD3003</t>
        </is>
      </c>
    </row>
    <row r="951">
      <c r="A951" s="2" t="str">
        <f>HYPERLINK("https://vtmf.veevavault.com/ui/#doc_info/31545153/1/0", "42847922MDD3003---Other Information Given to Investigators-16 Mar 2026 (v1.0)")</f>
        <v>42847922MDD3003---Other Information Given to Investigators-16 Mar 2026 (v1.0)</v>
      </c>
      <c r="B951" s="3" t="inlineStr">
        <is>
          <t>Central Trial Documents</t>
        </is>
      </c>
      <c r="C951" s="3" t="inlineStr">
        <is>
          <t>Subject Documents</t>
        </is>
      </c>
      <c r="D951" s="3" t="inlineStr">
        <is>
          <t>Other Information Given to Investigators</t>
        </is>
      </c>
      <c r="E951" s="3" t="inlineStr">
        <is>
          <t>OARS-7 Teckro Alert</t>
        </is>
      </c>
      <c r="F951" s="2" t="str">
        <f>HYPERLINK("https://vtmf.veevavault.com/ui/#doc_info/31545153/1/0", "VTMF-25456715")</f>
        <v>VTMF-25456715</v>
      </c>
      <c r="G951" s="3" t="inlineStr">
        <is>
          <t/>
        </is>
      </c>
      <c r="H951" s="3" t="inlineStr">
        <is>
          <t>System</t>
        </is>
      </c>
      <c r="I951" s="3" t="inlineStr">
        <is>
          <t>Katelyn Long</t>
        </is>
      </c>
      <c r="J951" s="4" t="n">
        <v>46140.75640046296</v>
      </c>
      <c r="K951" s="5" t="n">
        <v>46160.0</v>
      </c>
      <c r="L951" s="5" t="n">
        <v>46097.0</v>
      </c>
      <c r="M951" s="3" t="inlineStr">
        <is>
          <t>Approved</t>
        </is>
      </c>
      <c r="N951" s="3" t="inlineStr">
        <is>
          <t>Available for Distribution, Country Start, Site Start, Study Start</t>
        </is>
      </c>
      <c r="O951" s="3" t="inlineStr">
        <is>
          <t>42847922MDD3003</t>
        </is>
      </c>
    </row>
    <row r="952">
      <c r="A952" s="2" t="str">
        <f>HYPERLINK("https://vtmf.veevavault.com/ui/#doc_info/31545180/1/0", "42847922MDD3003---Other Information Given to Investigators-17 Dec 2025 (v1.0)")</f>
        <v>42847922MDD3003---Other Information Given to Investigators-17 Dec 2025 (v1.0)</v>
      </c>
      <c r="B952" s="3" t="inlineStr">
        <is>
          <t>Central Trial Documents</t>
        </is>
      </c>
      <c r="C952" s="3" t="inlineStr">
        <is>
          <t>Subject Documents</t>
        </is>
      </c>
      <c r="D952" s="3" t="inlineStr">
        <is>
          <t>Other Information Given to Investigators</t>
        </is>
      </c>
      <c r="E952" s="3" t="inlineStr">
        <is>
          <t>OARS-7 Teckro Alert</t>
        </is>
      </c>
      <c r="F952" s="2" t="str">
        <f>HYPERLINK("https://vtmf.veevavault.com/ui/#doc_info/31545180/1/0", "VTMF-25456742")</f>
        <v>VTMF-25456742</v>
      </c>
      <c r="G952" s="3" t="inlineStr">
        <is>
          <t/>
        </is>
      </c>
      <c r="H952" s="3" t="inlineStr">
        <is>
          <t>System</t>
        </is>
      </c>
      <c r="I952" s="3" t="inlineStr">
        <is>
          <t>Katelyn Long</t>
        </is>
      </c>
      <c r="J952" s="4" t="n">
        <v>46140.75640046296</v>
      </c>
      <c r="K952" s="5" t="n">
        <v>46160.0</v>
      </c>
      <c r="L952" s="5" t="n">
        <v>46008.0</v>
      </c>
      <c r="M952" s="3" t="inlineStr">
        <is>
          <t>Approved</t>
        </is>
      </c>
      <c r="N952" s="3" t="inlineStr">
        <is>
          <t>Available for Distribution, Country Start, Site Start, Study Start</t>
        </is>
      </c>
      <c r="O952" s="3" t="inlineStr">
        <is>
          <t>42847922MDD3003</t>
        </is>
      </c>
    </row>
    <row r="953">
      <c r="A953" s="2" t="str">
        <f>HYPERLINK("https://vtmf.veevavault.com/ui/#doc_info/29071073/1/0", "42847922MDD3003---Other Information Given to Investigators-17 Jun 2025 (v1.0)")</f>
        <v>42847922MDD3003---Other Information Given to Investigators-17 Jun 2025 (v1.0)</v>
      </c>
      <c r="B953" s="3" t="inlineStr">
        <is>
          <t>Central Trial Documents</t>
        </is>
      </c>
      <c r="C953" s="3" t="inlineStr">
        <is>
          <t>Subject Documents</t>
        </is>
      </c>
      <c r="D953" s="3" t="inlineStr">
        <is>
          <t>Other Information Given to Investigators</t>
        </is>
      </c>
      <c r="E953" s="3" t="inlineStr">
        <is>
          <t>42847922MDD3003_OARS-7 Medscape Brand Alert</t>
        </is>
      </c>
      <c r="F953" s="2" t="str">
        <f>HYPERLINK("https://vtmf.veevavault.com/ui/#doc_info/29071073/1/0", "VTMF-23358037")</f>
        <v>VTMF-23358037</v>
      </c>
      <c r="G953" s="3" t="inlineStr">
        <is>
          <t/>
        </is>
      </c>
      <c r="H953" s="3" t="inlineStr">
        <is>
          <t>System</t>
        </is>
      </c>
      <c r="I953" s="3" t="inlineStr">
        <is>
          <t>Katelyn Long</t>
        </is>
      </c>
      <c r="J953" s="4" t="n">
        <v>45825.92256944445</v>
      </c>
      <c r="K953" s="5" t="n">
        <v>45828.0</v>
      </c>
      <c r="L953" s="5" t="n">
        <v>45825.0</v>
      </c>
      <c r="M953" s="3" t="inlineStr">
        <is>
          <t>Approved</t>
        </is>
      </c>
      <c r="N953" s="3" t="inlineStr">
        <is>
          <t>Available for Distribution, Country Start, Site Start, Study Start</t>
        </is>
      </c>
      <c r="O953" s="3" t="inlineStr">
        <is>
          <t>42847922MDD3003</t>
        </is>
      </c>
    </row>
    <row r="954">
      <c r="A954" s="2" t="str">
        <f>HYPERLINK("https://vtmf.veevavault.com/ui/#doc_info/26495218/1/0", "42847922MDD3003---Other Information Given to Investigators-17 May 2024 (v1.0)")</f>
        <v>42847922MDD3003---Other Information Given to Investigators-17 May 2024 (v1.0)</v>
      </c>
      <c r="B954" s="3" t="inlineStr">
        <is>
          <t>Central Trial Documents</t>
        </is>
      </c>
      <c r="C954" s="3" t="inlineStr">
        <is>
          <t>Subject Documents</t>
        </is>
      </c>
      <c r="D954" s="3" t="inlineStr">
        <is>
          <t>Other Information Given to Investigators</t>
        </is>
      </c>
      <c r="E954" s="3" t="inlineStr">
        <is>
          <t>Site Setup Guide_ENG_V1.0</t>
        </is>
      </c>
      <c r="F954" s="2" t="str">
        <f>HYPERLINK("https://vtmf.veevavault.com/ui/#doc_info/26495218/1/0", "VTMF-21213648")</f>
        <v>VTMF-21213648</v>
      </c>
      <c r="G954" s="3" t="inlineStr">
        <is>
          <t/>
        </is>
      </c>
      <c r="H954" s="3" t="inlineStr">
        <is>
          <t>System</t>
        </is>
      </c>
      <c r="I954" s="3" t="inlineStr">
        <is>
          <t>Adam McKain</t>
        </is>
      </c>
      <c r="J954" s="4" t="n">
        <v>45454.08121527778</v>
      </c>
      <c r="K954" s="5" t="n">
        <v>45460.0</v>
      </c>
      <c r="L954" s="5" t="n">
        <v>45429.0</v>
      </c>
      <c r="M954" s="3" t="inlineStr">
        <is>
          <t>Approved</t>
        </is>
      </c>
      <c r="N954" s="3" t="inlineStr">
        <is>
          <t>Available for Distribution, Country Start, Site Start, Study Start</t>
        </is>
      </c>
      <c r="O954" s="3" t="inlineStr">
        <is>
          <t>42847922MDD3003</t>
        </is>
      </c>
    </row>
    <row r="955">
      <c r="A955" s="2" t="str">
        <f>HYPERLINK("https://vtmf.veevavault.com/ui/#doc_info/26135678/2/0", "42847922MDD3003---Other Information Given to Investigators-17 Oct 2024 (v2.0)")</f>
        <v>42847922MDD3003---Other Information Given to Investigators-17 Oct 2024 (v2.0)</v>
      </c>
      <c r="B955" s="3" t="inlineStr">
        <is>
          <t>Central Trial Documents</t>
        </is>
      </c>
      <c r="C955" s="3" t="inlineStr">
        <is>
          <t>Subject Documents</t>
        </is>
      </c>
      <c r="D955" s="3" t="inlineStr">
        <is>
          <t>Other Information Given to Investigators</t>
        </is>
      </c>
      <c r="E955" s="3" t="inlineStr">
        <is>
          <t>High Level Protocol Information for HCPs_ENG_V1.0</t>
        </is>
      </c>
      <c r="F955" s="2" t="str">
        <f>HYPERLINK("https://vtmf.veevavault.com/ui/#doc_info/26135678/2/0", "VTMF-20899709")</f>
        <v>VTMF-20899709</v>
      </c>
      <c r="G955" s="3" t="inlineStr">
        <is>
          <t/>
        </is>
      </c>
      <c r="H955" s="3" t="inlineStr">
        <is>
          <t>Anthony Suarez (veeva.com)</t>
        </is>
      </c>
      <c r="I955" s="3" t="inlineStr">
        <is>
          <t>Adam McKain</t>
        </is>
      </c>
      <c r="J955" s="4" t="n">
        <v>45586.84789351852</v>
      </c>
      <c r="K955" s="5" t="n">
        <v>45590.0</v>
      </c>
      <c r="L955" s="5" t="n">
        <v>45582.0</v>
      </c>
      <c r="M955" s="3" t="inlineStr">
        <is>
          <t>Approved</t>
        </is>
      </c>
      <c r="N955" s="3" t="inlineStr">
        <is>
          <t>Available for Distribution, Country Start, Site Start, Study Start</t>
        </is>
      </c>
      <c r="O955" s="3" t="inlineStr">
        <is>
          <t>42847922MDD3003</t>
        </is>
      </c>
    </row>
    <row r="956">
      <c r="A956" s="2" t="str">
        <f>HYPERLINK("https://vtmf.veevavault.com/ui/#doc_info/29789382/1/0", "42847922MDD3003---Other Information Given to Investigators-19 Mar 2025 (v1.0)")</f>
        <v>42847922MDD3003---Other Information Given to Investigators-19 Mar 2025 (v1.0)</v>
      </c>
      <c r="B956" s="3" t="inlineStr">
        <is>
          <t>Central Trial Documents</t>
        </is>
      </c>
      <c r="C956" s="3" t="inlineStr">
        <is>
          <t>Subject Documents</t>
        </is>
      </c>
      <c r="D956" s="3" t="inlineStr">
        <is>
          <t>Other Information Given to Investigators</t>
        </is>
      </c>
      <c r="E956" s="3" t="inlineStr">
        <is>
          <t>OARS-7 Teckro Alert</t>
        </is>
      </c>
      <c r="F956" s="2" t="str">
        <f>HYPERLINK("https://vtmf.veevavault.com/ui/#doc_info/29789382/1/0", "VTMF-23972673")</f>
        <v>VTMF-23972673</v>
      </c>
      <c r="G956" s="3" t="inlineStr">
        <is>
          <t/>
        </is>
      </c>
      <c r="H956" s="3" t="inlineStr">
        <is>
          <t>System</t>
        </is>
      </c>
      <c r="I956" s="3" t="inlineStr">
        <is>
          <t>Katelyn Long</t>
        </is>
      </c>
      <c r="J956" s="4" t="n">
        <v>45888.695555555554</v>
      </c>
      <c r="K956" s="5" t="n">
        <v>45888.0</v>
      </c>
      <c r="L956" s="5" t="n">
        <v>45735.0</v>
      </c>
      <c r="M956" s="3" t="inlineStr">
        <is>
          <t>Approved</t>
        </is>
      </c>
      <c r="N956" s="3" t="inlineStr">
        <is>
          <t>Available for Distribution, Country Start, Site Start, Study Start</t>
        </is>
      </c>
      <c r="O956" s="3" t="inlineStr">
        <is>
          <t>42847922MDD3003</t>
        </is>
      </c>
    </row>
    <row r="957">
      <c r="A957" s="2" t="str">
        <f>HYPERLINK("https://vtmf.veevavault.com/ui/#doc_info/31545176/1/0", "42847922MDD3003---Other Information Given to Investigators-19 Nov 2025 (v1.0)")</f>
        <v>42847922MDD3003---Other Information Given to Investigators-19 Nov 2025 (v1.0)</v>
      </c>
      <c r="B957" s="3" t="inlineStr">
        <is>
          <t>Central Trial Documents</t>
        </is>
      </c>
      <c r="C957" s="3" t="inlineStr">
        <is>
          <t>Subject Documents</t>
        </is>
      </c>
      <c r="D957" s="3" t="inlineStr">
        <is>
          <t>Other Information Given to Investigators</t>
        </is>
      </c>
      <c r="E957" s="3" t="inlineStr">
        <is>
          <t>OARS-7 Teckro Alert</t>
        </is>
      </c>
      <c r="F957" s="2" t="str">
        <f>HYPERLINK("https://vtmf.veevavault.com/ui/#doc_info/31545176/1/0", "VTMF-25456738")</f>
        <v>VTMF-25456738</v>
      </c>
      <c r="G957" s="3" t="inlineStr">
        <is>
          <t/>
        </is>
      </c>
      <c r="H957" s="3" t="inlineStr">
        <is>
          <t>System</t>
        </is>
      </c>
      <c r="I957" s="3" t="inlineStr">
        <is>
          <t>Katelyn Long</t>
        </is>
      </c>
      <c r="J957" s="4" t="n">
        <v>46140.75640046296</v>
      </c>
      <c r="K957" s="5" t="n">
        <v>46160.0</v>
      </c>
      <c r="L957" s="5" t="n">
        <v>45980.0</v>
      </c>
      <c r="M957" s="3" t="inlineStr">
        <is>
          <t>Approved</t>
        </is>
      </c>
      <c r="N957" s="3" t="inlineStr">
        <is>
          <t>Available for Distribution, Country Start, Site Start, Study Start</t>
        </is>
      </c>
      <c r="O957" s="3" t="inlineStr">
        <is>
          <t>42847922MDD3003</t>
        </is>
      </c>
    </row>
    <row r="958">
      <c r="A958" s="2" t="str">
        <f>HYPERLINK("https://vtmf.veevavault.com/ui/#doc_info/31545158/1/0", "42847922MDD3003---Other Information Given to Investigators-20 Apr 2026 (v1.0)")</f>
        <v>42847922MDD3003---Other Information Given to Investigators-20 Apr 2026 (v1.0)</v>
      </c>
      <c r="B958" s="3" t="inlineStr">
        <is>
          <t>Central Trial Documents</t>
        </is>
      </c>
      <c r="C958" s="3" t="inlineStr">
        <is>
          <t>Subject Documents</t>
        </is>
      </c>
      <c r="D958" s="3" t="inlineStr">
        <is>
          <t>Other Information Given to Investigators</t>
        </is>
      </c>
      <c r="E958" s="3" t="inlineStr">
        <is>
          <t>OARS-7 Teckro Alert</t>
        </is>
      </c>
      <c r="F958" s="2" t="str">
        <f>HYPERLINK("https://vtmf.veevavault.com/ui/#doc_info/31545158/1/0", "VTMF-25456720")</f>
        <v>VTMF-25456720</v>
      </c>
      <c r="G958" s="3" t="inlineStr">
        <is>
          <t/>
        </is>
      </c>
      <c r="H958" s="3" t="inlineStr">
        <is>
          <t>System</t>
        </is>
      </c>
      <c r="I958" s="3" t="inlineStr">
        <is>
          <t>Katelyn Long</t>
        </is>
      </c>
      <c r="J958" s="4" t="n">
        <v>46140.75640046296</v>
      </c>
      <c r="K958" s="5" t="n">
        <v>46160.0</v>
      </c>
      <c r="L958" s="5" t="n">
        <v>46132.0</v>
      </c>
      <c r="M958" s="3" t="inlineStr">
        <is>
          <t>Approved</t>
        </is>
      </c>
      <c r="N958" s="3" t="inlineStr">
        <is>
          <t>Available for Distribution, Country Start, Site Start, Study Start</t>
        </is>
      </c>
      <c r="O958" s="3" t="inlineStr">
        <is>
          <t>42847922MDD3003</t>
        </is>
      </c>
    </row>
    <row r="959">
      <c r="A959" s="2" t="str">
        <f>HYPERLINK("https://vtmf.veevavault.com/ui/#doc_info/31545154/1/0", "42847922MDD3003---Other Information Given to Investigators-20 Mar 2026 (v1.0)")</f>
        <v>42847922MDD3003---Other Information Given to Investigators-20 Mar 2026 (v1.0)</v>
      </c>
      <c r="B959" s="3" t="inlineStr">
        <is>
          <t>Central Trial Documents</t>
        </is>
      </c>
      <c r="C959" s="3" t="inlineStr">
        <is>
          <t>Subject Documents</t>
        </is>
      </c>
      <c r="D959" s="3" t="inlineStr">
        <is>
          <t>Other Information Given to Investigators</t>
        </is>
      </c>
      <c r="E959" s="3" t="inlineStr">
        <is>
          <t>OARS-7 Teckro Alert</t>
        </is>
      </c>
      <c r="F959" s="2" t="str">
        <f>HYPERLINK("https://vtmf.veevavault.com/ui/#doc_info/31545154/1/0", "VTMF-25456716")</f>
        <v>VTMF-25456716</v>
      </c>
      <c r="G959" s="3" t="inlineStr">
        <is>
          <t/>
        </is>
      </c>
      <c r="H959" s="3" t="inlineStr">
        <is>
          <t>System</t>
        </is>
      </c>
      <c r="I959" s="3" t="inlineStr">
        <is>
          <t>Katelyn Long</t>
        </is>
      </c>
      <c r="J959" s="4" t="n">
        <v>46140.75640046296</v>
      </c>
      <c r="K959" s="5" t="n">
        <v>46160.0</v>
      </c>
      <c r="L959" s="5" t="n">
        <v>46101.0</v>
      </c>
      <c r="M959" s="3" t="inlineStr">
        <is>
          <t>Approved</t>
        </is>
      </c>
      <c r="N959" s="3" t="inlineStr">
        <is>
          <t>Available for Distribution, Country Start, Site Start, Study Start</t>
        </is>
      </c>
      <c r="O959" s="3" t="inlineStr">
        <is>
          <t>42847922MDD3003</t>
        </is>
      </c>
    </row>
    <row r="960">
      <c r="A960" s="2" t="str">
        <f>HYPERLINK("https://vtmf.veevavault.com/ui/#doc_info/29789378/1/0", "42847922MDD3003---Other Information Given to Investigators-20 May 2025 (v1.0)")</f>
        <v>42847922MDD3003---Other Information Given to Investigators-20 May 2025 (v1.0)</v>
      </c>
      <c r="B960" s="3" t="inlineStr">
        <is>
          <t>Central Trial Documents</t>
        </is>
      </c>
      <c r="C960" s="3" t="inlineStr">
        <is>
          <t>Subject Documents</t>
        </is>
      </c>
      <c r="D960" s="3" t="inlineStr">
        <is>
          <t>Other Information Given to Investigators</t>
        </is>
      </c>
      <c r="E960" s="3" t="inlineStr">
        <is>
          <t>OARS-7 Teckro Alert</t>
        </is>
      </c>
      <c r="F960" s="2" t="str">
        <f>HYPERLINK("https://vtmf.veevavault.com/ui/#doc_info/29789378/1/0", "VTMF-23972669")</f>
        <v>VTMF-23972669</v>
      </c>
      <c r="G960" s="3" t="inlineStr">
        <is>
          <t/>
        </is>
      </c>
      <c r="H960" s="3" t="inlineStr">
        <is>
          <t>System</t>
        </is>
      </c>
      <c r="I960" s="3" t="inlineStr">
        <is>
          <t>Katelyn Long</t>
        </is>
      </c>
      <c r="J960" s="4" t="n">
        <v>45888.695555555554</v>
      </c>
      <c r="K960" s="5" t="n">
        <v>45888.0</v>
      </c>
      <c r="L960" s="5" t="n">
        <v>45797.0</v>
      </c>
      <c r="M960" s="3" t="inlineStr">
        <is>
          <t>Approved</t>
        </is>
      </c>
      <c r="N960" s="3" t="inlineStr">
        <is>
          <t>Available for Distribution, Country Start, Site Start, Study Start</t>
        </is>
      </c>
      <c r="O960" s="3" t="inlineStr">
        <is>
          <t>42847922MDD3003</t>
        </is>
      </c>
    </row>
    <row r="961">
      <c r="A961" s="2" t="str">
        <f>HYPERLINK("https://vtmf.veevavault.com/ui/#doc_info/31545159/1/0", "42847922MDD3003---Other Information Given to Investigators-21 Apr 2026 (v1.0)")</f>
        <v>42847922MDD3003---Other Information Given to Investigators-21 Apr 2026 (v1.0)</v>
      </c>
      <c r="B961" s="3" t="inlineStr">
        <is>
          <t>Central Trial Documents</t>
        </is>
      </c>
      <c r="C961" s="3" t="inlineStr">
        <is>
          <t>Subject Documents</t>
        </is>
      </c>
      <c r="D961" s="3" t="inlineStr">
        <is>
          <t>Other Information Given to Investigators</t>
        </is>
      </c>
      <c r="E961" s="3" t="inlineStr">
        <is>
          <t>OARS-7 Teckro Alert</t>
        </is>
      </c>
      <c r="F961" s="2" t="str">
        <f>HYPERLINK("https://vtmf.veevavault.com/ui/#doc_info/31545159/1/0", "VTMF-25456721")</f>
        <v>VTMF-25456721</v>
      </c>
      <c r="G961" s="3" t="inlineStr">
        <is>
          <t/>
        </is>
      </c>
      <c r="H961" s="3" t="inlineStr">
        <is>
          <t>System</t>
        </is>
      </c>
      <c r="I961" s="3" t="inlineStr">
        <is>
          <t>Katelyn Long</t>
        </is>
      </c>
      <c r="J961" s="4" t="n">
        <v>46140.75640046296</v>
      </c>
      <c r="K961" s="5" t="n">
        <v>46160.0</v>
      </c>
      <c r="L961" s="5" t="n">
        <v>46133.0</v>
      </c>
      <c r="M961" s="3" t="inlineStr">
        <is>
          <t>Approved</t>
        </is>
      </c>
      <c r="N961" s="3" t="inlineStr">
        <is>
          <t>Available for Distribution, Country Start, Site Start, Study Start</t>
        </is>
      </c>
      <c r="O961" s="3" t="inlineStr">
        <is>
          <t>42847922MDD3003</t>
        </is>
      </c>
    </row>
    <row r="962">
      <c r="A962" s="2" t="str">
        <f>HYPERLINK("https://vtmf.veevavault.com/ui/#doc_info/29789386/1/0", "42847922MDD3003---Other Information Given to Investigators-21 Jan 2025 (v1.0)")</f>
        <v>42847922MDD3003---Other Information Given to Investigators-21 Jan 2025 (v1.0)</v>
      </c>
      <c r="B962" s="3" t="inlineStr">
        <is>
          <t>Central Trial Documents</t>
        </is>
      </c>
      <c r="C962" s="3" t="inlineStr">
        <is>
          <t>Subject Documents</t>
        </is>
      </c>
      <c r="D962" s="3" t="inlineStr">
        <is>
          <t>Other Information Given to Investigators</t>
        </is>
      </c>
      <c r="E962" s="3" t="inlineStr">
        <is>
          <t>OARS-7 Teckro Alert</t>
        </is>
      </c>
      <c r="F962" s="2" t="str">
        <f>HYPERLINK("https://vtmf.veevavault.com/ui/#doc_info/29789386/1/0", "VTMF-23972677")</f>
        <v>VTMF-23972677</v>
      </c>
      <c r="G962" s="3" t="inlineStr">
        <is>
          <t/>
        </is>
      </c>
      <c r="H962" s="3" t="inlineStr">
        <is>
          <t>System</t>
        </is>
      </c>
      <c r="I962" s="3" t="inlineStr">
        <is>
          <t>Katelyn Long</t>
        </is>
      </c>
      <c r="J962" s="4" t="n">
        <v>45888.695555555554</v>
      </c>
      <c r="K962" s="5" t="n">
        <v>45888.0</v>
      </c>
      <c r="L962" s="5" t="n">
        <v>45678.0</v>
      </c>
      <c r="M962" s="3" t="inlineStr">
        <is>
          <t>Approved</t>
        </is>
      </c>
      <c r="N962" s="3" t="inlineStr">
        <is>
          <t>Available for Distribution, Country Start, Site Start, Study Start</t>
        </is>
      </c>
      <c r="O962" s="3" t="inlineStr">
        <is>
          <t>42847922MDD3003</t>
        </is>
      </c>
    </row>
    <row r="963">
      <c r="A963" s="2" t="str">
        <f>HYPERLINK("https://vtmf.veevavault.com/ui/#doc_info/29789377/1/0", "42847922MDD3003---Other Information Given to Investigators-21 May 2025 (v1.0)")</f>
        <v>42847922MDD3003---Other Information Given to Investigators-21 May 2025 (v1.0)</v>
      </c>
      <c r="B963" s="3" t="inlineStr">
        <is>
          <t>Central Trial Documents</t>
        </is>
      </c>
      <c r="C963" s="3" t="inlineStr">
        <is>
          <t>Subject Documents</t>
        </is>
      </c>
      <c r="D963" s="3" t="inlineStr">
        <is>
          <t>Other Information Given to Investigators</t>
        </is>
      </c>
      <c r="E963" s="3" t="inlineStr">
        <is>
          <t>OARS-7 Teckro Alert</t>
        </is>
      </c>
      <c r="F963" s="2" t="str">
        <f>HYPERLINK("https://vtmf.veevavault.com/ui/#doc_info/29789377/1/0", "VTMF-23972668")</f>
        <v>VTMF-23972668</v>
      </c>
      <c r="G963" s="3" t="inlineStr">
        <is>
          <t/>
        </is>
      </c>
      <c r="H963" s="3" t="inlineStr">
        <is>
          <t>System</t>
        </is>
      </c>
      <c r="I963" s="3" t="inlineStr">
        <is>
          <t>Katelyn Long</t>
        </is>
      </c>
      <c r="J963" s="4" t="n">
        <v>45888.695555555554</v>
      </c>
      <c r="K963" s="5" t="n">
        <v>45888.0</v>
      </c>
      <c r="L963" s="5" t="n">
        <v>45798.0</v>
      </c>
      <c r="M963" s="3" t="inlineStr">
        <is>
          <t>Approved</t>
        </is>
      </c>
      <c r="N963" s="3" t="inlineStr">
        <is>
          <t>Available for Distribution, Country Start, Site Start, Study Start</t>
        </is>
      </c>
      <c r="O963" s="3" t="inlineStr">
        <is>
          <t>42847922MDD3003</t>
        </is>
      </c>
    </row>
    <row r="964">
      <c r="A964" s="2" t="str">
        <f>HYPERLINK("https://vtmf.veevavault.com/ui/#doc_info/31545182/1/0", "42847922MDD3003---Other Information Given to Investigators-22 Dec 2025 (v1.0)")</f>
        <v>42847922MDD3003---Other Information Given to Investigators-22 Dec 2025 (v1.0)</v>
      </c>
      <c r="B964" s="3" t="inlineStr">
        <is>
          <t>Central Trial Documents</t>
        </is>
      </c>
      <c r="C964" s="3" t="inlineStr">
        <is>
          <t>Subject Documents</t>
        </is>
      </c>
      <c r="D964" s="3" t="inlineStr">
        <is>
          <t>Other Information Given to Investigators</t>
        </is>
      </c>
      <c r="E964" s="3" t="inlineStr">
        <is>
          <t>OARS-7 Teckro Alert</t>
        </is>
      </c>
      <c r="F964" s="2" t="str">
        <f>HYPERLINK("https://vtmf.veevavault.com/ui/#doc_info/31545182/1/0", "VTMF-25456744")</f>
        <v>VTMF-25456744</v>
      </c>
      <c r="G964" s="3" t="inlineStr">
        <is>
          <t/>
        </is>
      </c>
      <c r="H964" s="3" t="inlineStr">
        <is>
          <t>System</t>
        </is>
      </c>
      <c r="I964" s="3" t="inlineStr">
        <is>
          <t>Katelyn Long</t>
        </is>
      </c>
      <c r="J964" s="4" t="n">
        <v>46140.75640046296</v>
      </c>
      <c r="K964" s="5" t="n">
        <v>46140.0</v>
      </c>
      <c r="L964" s="5" t="n">
        <v>46013.0</v>
      </c>
      <c r="M964" s="3" t="inlineStr">
        <is>
          <t>Approved</t>
        </is>
      </c>
      <c r="N964" s="3" t="inlineStr">
        <is>
          <t>Available for Distribution, Country Start, Site Start, Study Start</t>
        </is>
      </c>
      <c r="O964" s="3" t="inlineStr">
        <is>
          <t>42847922MDD3003</t>
        </is>
      </c>
    </row>
    <row r="965">
      <c r="A965" s="2" t="str">
        <f>HYPERLINK("https://vtmf.veevavault.com/ui/#doc_info/31545183/1/0", "42847922MDD3003---Other Information Given to Investigators-22 Jan 2026 (v1.0)")</f>
        <v>42847922MDD3003---Other Information Given to Investigators-22 Jan 2026 (v1.0)</v>
      </c>
      <c r="B965" s="3" t="inlineStr">
        <is>
          <t>Central Trial Documents</t>
        </is>
      </c>
      <c r="C965" s="3" t="inlineStr">
        <is>
          <t>Subject Documents</t>
        </is>
      </c>
      <c r="D965" s="3" t="inlineStr">
        <is>
          <t>Other Information Given to Investigators</t>
        </is>
      </c>
      <c r="E965" s="3" t="inlineStr">
        <is>
          <t>OARS-7 Teckro Alert</t>
        </is>
      </c>
      <c r="F965" s="2" t="str">
        <f>HYPERLINK("https://vtmf.veevavault.com/ui/#doc_info/31545183/1/0", "VTMF-25456745")</f>
        <v>VTMF-25456745</v>
      </c>
      <c r="G965" s="3" t="inlineStr">
        <is>
          <t/>
        </is>
      </c>
      <c r="H965" s="3" t="inlineStr">
        <is>
          <t>System</t>
        </is>
      </c>
      <c r="I965" s="3" t="inlineStr">
        <is>
          <t>Katelyn Long</t>
        </is>
      </c>
      <c r="J965" s="4" t="n">
        <v>46140.75640046296</v>
      </c>
      <c r="K965" s="5" t="n">
        <v>46140.0</v>
      </c>
      <c r="L965" s="5" t="n">
        <v>46044.0</v>
      </c>
      <c r="M965" s="3" t="inlineStr">
        <is>
          <t>Approved</t>
        </is>
      </c>
      <c r="N965" s="3" t="inlineStr">
        <is>
          <t>Available for Distribution, Country Start, Site Start, Study Start</t>
        </is>
      </c>
      <c r="O965" s="3" t="inlineStr">
        <is>
          <t>42847922MDD3003</t>
        </is>
      </c>
    </row>
    <row r="966">
      <c r="A966" s="2" t="str">
        <f>HYPERLINK("https://vtmf.veevavault.com/ui/#doc_info/26135675/1/0", "42847922MDD3003---Other Information Given to Investigators-22 May 2024 (v1.0)")</f>
        <v>42847922MDD3003---Other Information Given to Investigators-22 May 2024 (v1.0)</v>
      </c>
      <c r="B966" s="3" t="inlineStr">
        <is>
          <t>Central Trial Documents</t>
        </is>
      </c>
      <c r="C966" s="3" t="inlineStr">
        <is>
          <t>Subject Documents</t>
        </is>
      </c>
      <c r="D966" s="3" t="inlineStr">
        <is>
          <t>Other Information Given to Investigators</t>
        </is>
      </c>
      <c r="E966" s="3" t="inlineStr">
        <is>
          <t>Physician Referral Brochure_ENG_V1.0</t>
        </is>
      </c>
      <c r="F966" s="2" t="str">
        <f>HYPERLINK("https://vtmf.veevavault.com/ui/#doc_info/26135675/1/0", "VTMF-20899703")</f>
        <v>VTMF-20899703</v>
      </c>
      <c r="G966" s="3" t="inlineStr">
        <is>
          <t/>
        </is>
      </c>
      <c r="H966" s="3" t="inlineStr">
        <is>
          <t>System</t>
        </is>
      </c>
      <c r="I966" s="3" t="inlineStr">
        <is>
          <t>Adam McKain</t>
        </is>
      </c>
      <c r="J966" s="4" t="n">
        <v>45454.08944444444</v>
      </c>
      <c r="K966" s="5" t="n">
        <v>45461.0</v>
      </c>
      <c r="L966" s="5" t="n">
        <v>45434.0</v>
      </c>
      <c r="M966" s="3" t="inlineStr">
        <is>
          <t>Approved</t>
        </is>
      </c>
      <c r="N966" s="3" t="inlineStr">
        <is>
          <t>Available for Distribution, Country Start, Site Start, Study Start</t>
        </is>
      </c>
      <c r="O966" s="3" t="inlineStr">
        <is>
          <t>42847922MDD3003</t>
        </is>
      </c>
    </row>
    <row r="967">
      <c r="A967" s="2" t="str">
        <f>HYPERLINK("https://vtmf.veevavault.com/ui/#doc_info/31545181/1/0", "42847922MDD3003---Other Information Given to Investigators-23 Dec 2025 (v1.0)")</f>
        <v>42847922MDD3003---Other Information Given to Investigators-23 Dec 2025 (v1.0)</v>
      </c>
      <c r="B967" s="3" t="inlineStr">
        <is>
          <t>Central Trial Documents</t>
        </is>
      </c>
      <c r="C967" s="3" t="inlineStr">
        <is>
          <t>Subject Documents</t>
        </is>
      </c>
      <c r="D967" s="3" t="inlineStr">
        <is>
          <t>Other Information Given to Investigators</t>
        </is>
      </c>
      <c r="E967" s="3" t="inlineStr">
        <is>
          <t>OARS-7 Teckro Alert</t>
        </is>
      </c>
      <c r="F967" s="2" t="str">
        <f>HYPERLINK("https://vtmf.veevavault.com/ui/#doc_info/31545181/1/0", "VTMF-25456743")</f>
        <v>VTMF-25456743</v>
      </c>
      <c r="G967" s="3" t="inlineStr">
        <is>
          <t/>
        </is>
      </c>
      <c r="H967" s="3" t="inlineStr">
        <is>
          <t>System</t>
        </is>
      </c>
      <c r="I967" s="3" t="inlineStr">
        <is>
          <t>Katelyn Long</t>
        </is>
      </c>
      <c r="J967" s="4" t="n">
        <v>46140.75640046296</v>
      </c>
      <c r="K967" s="5" t="n">
        <v>46160.0</v>
      </c>
      <c r="L967" s="5" t="n">
        <v>46014.0</v>
      </c>
      <c r="M967" s="3" t="inlineStr">
        <is>
          <t>Approved</t>
        </is>
      </c>
      <c r="N967" s="3" t="inlineStr">
        <is>
          <t>Available for Distribution, Country Start, Site Start, Study Start</t>
        </is>
      </c>
      <c r="O967" s="3" t="inlineStr">
        <is>
          <t>42847922MDD3003</t>
        </is>
      </c>
    </row>
    <row r="968">
      <c r="A968" s="2" t="str">
        <f>HYPERLINK("https://vtmf.veevavault.com/ui/#doc_info/31545152/1/0", "42847922MDD3003---Other Information Given to Investigators-23 Feb 2026 (v1.0)")</f>
        <v>42847922MDD3003---Other Information Given to Investigators-23 Feb 2026 (v1.0)</v>
      </c>
      <c r="B968" s="3" t="inlineStr">
        <is>
          <t>Central Trial Documents</t>
        </is>
      </c>
      <c r="C968" s="3" t="inlineStr">
        <is>
          <t>Subject Documents</t>
        </is>
      </c>
      <c r="D968" s="3" t="inlineStr">
        <is>
          <t>Other Information Given to Investigators</t>
        </is>
      </c>
      <c r="E968" s="3" t="inlineStr">
        <is>
          <t>OARS-7 Teckro Alert</t>
        </is>
      </c>
      <c r="F968" s="2" t="str">
        <f>HYPERLINK("https://vtmf.veevavault.com/ui/#doc_info/31545152/1/0", "VTMF-25456714")</f>
        <v>VTMF-25456714</v>
      </c>
      <c r="G968" s="3" t="inlineStr">
        <is>
          <t/>
        </is>
      </c>
      <c r="H968" s="3" t="inlineStr">
        <is>
          <t>System</t>
        </is>
      </c>
      <c r="I968" s="3" t="inlineStr">
        <is>
          <t>Katelyn Long</t>
        </is>
      </c>
      <c r="J968" s="4" t="n">
        <v>46140.75640046296</v>
      </c>
      <c r="K968" s="5" t="n">
        <v>46160.0</v>
      </c>
      <c r="L968" s="5" t="n">
        <v>46076.0</v>
      </c>
      <c r="M968" s="3" t="inlineStr">
        <is>
          <t>Approved</t>
        </is>
      </c>
      <c r="N968" s="3" t="inlineStr">
        <is>
          <t>Available for Distribution, Country Start, Site Start, Study Start</t>
        </is>
      </c>
      <c r="O968" s="3" t="inlineStr">
        <is>
          <t>42847922MDD3003</t>
        </is>
      </c>
    </row>
    <row r="969">
      <c r="A969" s="2" t="str">
        <f>HYPERLINK("https://vtmf.veevavault.com/ui/#doc_info/29789372/1/0", "42847922MDD3003---Other Information Given to Investigators-23 Jul 2025 (v1.0)")</f>
        <v>42847922MDD3003---Other Information Given to Investigators-23 Jul 2025 (v1.0)</v>
      </c>
      <c r="B969" s="3" t="inlineStr">
        <is>
          <t>Central Trial Documents</t>
        </is>
      </c>
      <c r="C969" s="3" t="inlineStr">
        <is>
          <t>Subject Documents</t>
        </is>
      </c>
      <c r="D969" s="3" t="inlineStr">
        <is>
          <t>Other Information Given to Investigators</t>
        </is>
      </c>
      <c r="E969" s="3" t="inlineStr">
        <is>
          <t>OARS-7 Teckro Alert</t>
        </is>
      </c>
      <c r="F969" s="2" t="str">
        <f>HYPERLINK("https://vtmf.veevavault.com/ui/#doc_info/29789372/1/0", "VTMF-23972663")</f>
        <v>VTMF-23972663</v>
      </c>
      <c r="G969" s="3" t="inlineStr">
        <is>
          <t/>
        </is>
      </c>
      <c r="H969" s="3" t="inlineStr">
        <is>
          <t>System</t>
        </is>
      </c>
      <c r="I969" s="3" t="inlineStr">
        <is>
          <t>Katelyn Long</t>
        </is>
      </c>
      <c r="J969" s="4" t="n">
        <v>45888.695555555554</v>
      </c>
      <c r="K969" s="5" t="n">
        <v>45888.0</v>
      </c>
      <c r="L969" s="5" t="n">
        <v>45861.0</v>
      </c>
      <c r="M969" s="3" t="inlineStr">
        <is>
          <t>Approved</t>
        </is>
      </c>
      <c r="N969" s="3" t="inlineStr">
        <is>
          <t>Available for Distribution, Country Start, Site Start, Study Start</t>
        </is>
      </c>
      <c r="O969" s="3" t="inlineStr">
        <is>
          <t>42847922MDD3003</t>
        </is>
      </c>
    </row>
    <row r="970">
      <c r="A970" s="2" t="str">
        <f>HYPERLINK("https://vtmf.veevavault.com/ui/#doc_info/25182974/1/0", "42847922MDD3003---Other Information Given to Investigators-24 Jan 2024 (v1.0)")</f>
        <v>42847922MDD3003---Other Information Given to Investigators-24 Jan 2024 (v1.0)</v>
      </c>
      <c r="B970" s="3" t="inlineStr">
        <is>
          <t>Central Trial Documents</t>
        </is>
      </c>
      <c r="C970" s="3" t="inlineStr">
        <is>
          <t>Subject Documents</t>
        </is>
      </c>
      <c r="D970" s="3" t="inlineStr">
        <is>
          <t>Other Information Given to Investigators</t>
        </is>
      </c>
      <c r="E970" s="3" t="inlineStr">
        <is>
          <t>Fenway Health LGBTQIA+ Toolkit; version1.0 24Jan2024</t>
        </is>
      </c>
      <c r="F970" s="2" t="str">
        <f>HYPERLINK("https://vtmf.veevavault.com/ui/#doc_info/25182974/1/0", "VTMF-20063743")</f>
        <v>VTMF-20063743</v>
      </c>
      <c r="G970" s="3" t="inlineStr">
        <is>
          <t/>
        </is>
      </c>
      <c r="H970" s="3" t="inlineStr">
        <is>
          <t>Cate Selby</t>
        </is>
      </c>
      <c r="I970" s="3" t="inlineStr">
        <is>
          <t>Anita Amadi</t>
        </is>
      </c>
      <c r="J970" s="4" t="n">
        <v>45324.45046296297</v>
      </c>
      <c r="K970" s="5" t="n">
        <v>45334.0</v>
      </c>
      <c r="L970" s="5" t="n">
        <v>45315.0</v>
      </c>
      <c r="M970" s="3" t="inlineStr">
        <is>
          <t>Approved</t>
        </is>
      </c>
      <c r="N970" s="3" t="inlineStr">
        <is>
          <t>Available for Distribution, Country Start, Site Start, Study Start</t>
        </is>
      </c>
      <c r="O970" s="3" t="inlineStr">
        <is>
          <t>42847922MDD3003, 56021927PCR3020, 64407564MMY2006, 67953964MDD3005, 67953964MDD3007, 89495120MDD2001</t>
        </is>
      </c>
    </row>
    <row r="971">
      <c r="A971" s="2" t="str">
        <f>HYPERLINK("https://vtmf.veevavault.com/ui/#doc_info/31545178/1/0", "42847922MDD3003---Other Information Given to Investigators-24 Nov 2025 (v1.0)")</f>
        <v>42847922MDD3003---Other Information Given to Investigators-24 Nov 2025 (v1.0)</v>
      </c>
      <c r="B971" s="3" t="inlineStr">
        <is>
          <t>Central Trial Documents</t>
        </is>
      </c>
      <c r="C971" s="3" t="inlineStr">
        <is>
          <t>Subject Documents</t>
        </is>
      </c>
      <c r="D971" s="3" t="inlineStr">
        <is>
          <t>Other Information Given to Investigators</t>
        </is>
      </c>
      <c r="E971" s="3" t="inlineStr">
        <is>
          <t>OARS-7 Teckro Alert</t>
        </is>
      </c>
      <c r="F971" s="2" t="str">
        <f>HYPERLINK("https://vtmf.veevavault.com/ui/#doc_info/31545178/1/0", "VTMF-25456740")</f>
        <v>VTMF-25456740</v>
      </c>
      <c r="G971" s="3" t="inlineStr">
        <is>
          <t/>
        </is>
      </c>
      <c r="H971" s="3" t="inlineStr">
        <is>
          <t>System</t>
        </is>
      </c>
      <c r="I971" s="3" t="inlineStr">
        <is>
          <t>Katelyn Long</t>
        </is>
      </c>
      <c r="J971" s="4" t="n">
        <v>46140.75640046296</v>
      </c>
      <c r="K971" s="5" t="n">
        <v>46160.0</v>
      </c>
      <c r="L971" s="5" t="n">
        <v>45985.0</v>
      </c>
      <c r="M971" s="3" t="inlineStr">
        <is>
          <t>Approved</t>
        </is>
      </c>
      <c r="N971" s="3" t="inlineStr">
        <is>
          <t>Available for Distribution, Country Start, Site Start, Study Start</t>
        </is>
      </c>
      <c r="O971" s="3" t="inlineStr">
        <is>
          <t>42847922MDD3003</t>
        </is>
      </c>
    </row>
    <row r="972">
      <c r="A972" s="2" t="str">
        <f>HYPERLINK("https://vtmf.veevavault.com/ui/#doc_info/30251674/2/0", "42847922MDD3003---Other Information Given to Investigators-24 Oct 2025 (v2.0)")</f>
        <v>42847922MDD3003---Other Information Given to Investigators-24 Oct 2025 (v2.0)</v>
      </c>
      <c r="B972" s="3" t="inlineStr">
        <is>
          <t>Central Trial Documents</t>
        </is>
      </c>
      <c r="C972" s="3" t="inlineStr">
        <is>
          <t>Subject Documents</t>
        </is>
      </c>
      <c r="D972" s="3" t="inlineStr">
        <is>
          <t>Other Information Given to Investigators</t>
        </is>
      </c>
      <c r="E972" s="3" t="inlineStr">
        <is>
          <t>42847922MDD3003 SIGMA-MADRS memo</t>
        </is>
      </c>
      <c r="F972" s="2" t="str">
        <f>HYPERLINK("https://vtmf.veevavault.com/ui/#doc_info/30251674/2/0", "VTMF-24359246")</f>
        <v>VTMF-24359246</v>
      </c>
      <c r="G972" s="3" t="inlineStr">
        <is>
          <t/>
        </is>
      </c>
      <c r="H972" s="3" t="inlineStr">
        <is>
          <t>System</t>
        </is>
      </c>
      <c r="I972" s="3" t="inlineStr">
        <is>
          <t>Joseph Trombello</t>
        </is>
      </c>
      <c r="J972" s="4" t="n">
        <v>45958.79804398148</v>
      </c>
      <c r="K972" s="5" t="n">
        <v>45958.0</v>
      </c>
      <c r="L972" s="5" t="n">
        <v>45954.0</v>
      </c>
      <c r="M972" s="3" t="inlineStr">
        <is>
          <t>Approved</t>
        </is>
      </c>
      <c r="N972" s="3" t="inlineStr">
        <is>
          <t>Available for Distribution, Country Start, Site Start, Study Start</t>
        </is>
      </c>
      <c r="O972" s="3" t="inlineStr">
        <is>
          <t>42847922MDD3003</t>
        </is>
      </c>
    </row>
    <row r="973">
      <c r="A973" s="2" t="str">
        <f>HYPERLINK("https://vtmf.veevavault.com/ui/#doc_info/30227582/1/0", "42847922MDD3003---Other Information Given to Investigators-24 Sep 2025 (v1.0)")</f>
        <v>42847922MDD3003---Other Information Given to Investigators-24 Sep 2025 (v1.0)</v>
      </c>
      <c r="B973" s="3" t="inlineStr">
        <is>
          <t>Central Trial Documents</t>
        </is>
      </c>
      <c r="C973" s="3" t="inlineStr">
        <is>
          <t>Subject Documents</t>
        </is>
      </c>
      <c r="D973" s="3" t="inlineStr">
        <is>
          <t>Other Information Given to Investigators</t>
        </is>
      </c>
      <c r="E973" s="3" t="inlineStr">
        <is>
          <t>OARS-7 Teckro Alert</t>
        </is>
      </c>
      <c r="F973" s="2" t="str">
        <f>HYPERLINK("https://vtmf.veevavault.com/ui/#doc_info/30227582/1/0", "VTMF-24339602")</f>
        <v>VTMF-24339602</v>
      </c>
      <c r="G973" s="3" t="inlineStr">
        <is>
          <t/>
        </is>
      </c>
      <c r="H973" s="3" t="inlineStr">
        <is>
          <t>System</t>
        </is>
      </c>
      <c r="I973" s="3" t="inlineStr">
        <is>
          <t>Katelyn Long</t>
        </is>
      </c>
      <c r="J973" s="4" t="n">
        <v>45954.641180555554</v>
      </c>
      <c r="K973" s="5" t="n">
        <v>45954.0</v>
      </c>
      <c r="L973" s="5" t="n">
        <v>45924.0</v>
      </c>
      <c r="M973" s="3" t="inlineStr">
        <is>
          <t>Approved</t>
        </is>
      </c>
      <c r="N973" s="3" t="inlineStr">
        <is>
          <t>Available for Distribution, Country Start, Site Start, Study Start</t>
        </is>
      </c>
      <c r="O973" s="3" t="inlineStr">
        <is>
          <t>42847922MDD3003</t>
        </is>
      </c>
    </row>
    <row r="974">
      <c r="A974" s="2" t="str">
        <f>HYPERLINK("https://vtmf.veevavault.com/ui/#doc_info/31545163/1/0", "42847922MDD3003---Other Information Given to Investigators-24 Sep 2025 (v1.0)")</f>
        <v>42847922MDD3003---Other Information Given to Investigators-24 Sep 2025 (v1.0)</v>
      </c>
      <c r="B974" s="3" t="inlineStr">
        <is>
          <t>Central Trial Documents</t>
        </is>
      </c>
      <c r="C974" s="3" t="inlineStr">
        <is>
          <t>Subject Documents</t>
        </is>
      </c>
      <c r="D974" s="3" t="inlineStr">
        <is>
          <t>Other Information Given to Investigators</t>
        </is>
      </c>
      <c r="E974" s="3" t="inlineStr">
        <is>
          <t>OARS-7 Teckro Alert</t>
        </is>
      </c>
      <c r="F974" s="2" t="str">
        <f>HYPERLINK("https://vtmf.veevavault.com/ui/#doc_info/31545163/1/0", "VTMF-25456725")</f>
        <v>VTMF-25456725</v>
      </c>
      <c r="G974" s="3" t="inlineStr">
        <is>
          <t/>
        </is>
      </c>
      <c r="H974" s="3" t="inlineStr">
        <is>
          <t>System</t>
        </is>
      </c>
      <c r="I974" s="3" t="inlineStr">
        <is>
          <t>Katelyn Long</t>
        </is>
      </c>
      <c r="J974" s="4" t="n">
        <v>46140.75640046296</v>
      </c>
      <c r="K974" s="5" t="n">
        <v>46153.0</v>
      </c>
      <c r="L974" s="5" t="n">
        <v>45924.0</v>
      </c>
      <c r="M974" s="3" t="inlineStr">
        <is>
          <t>Approved</t>
        </is>
      </c>
      <c r="N974" s="3" t="inlineStr">
        <is>
          <t>Available for Distribution, Country Start, Site Start, Study Start</t>
        </is>
      </c>
      <c r="O974" s="3" t="inlineStr">
        <is>
          <t>42847922MDD3003</t>
        </is>
      </c>
    </row>
    <row r="975">
      <c r="A975" s="2" t="str">
        <f>HYPERLINK("https://vtmf.veevavault.com/ui/#doc_info/30227725/1/0", "42847922MDD3003---Other Information Given to Investigators-25 Aug 2025 (v1.0)")</f>
        <v>42847922MDD3003---Other Information Given to Investigators-25 Aug 2025 (v1.0)</v>
      </c>
      <c r="B975" s="3" t="inlineStr">
        <is>
          <t>Central Trial Documents</t>
        </is>
      </c>
      <c r="C975" s="3" t="inlineStr">
        <is>
          <t>Subject Documents</t>
        </is>
      </c>
      <c r="D975" s="3" t="inlineStr">
        <is>
          <t>Other Information Given to Investigators</t>
        </is>
      </c>
      <c r="E975" s="3" t="inlineStr">
        <is>
          <t>OARS-7 Teckro Alert</t>
        </is>
      </c>
      <c r="F975" s="2" t="str">
        <f>HYPERLINK("https://vtmf.veevavault.com/ui/#doc_info/30227725/1/0", "VTMF-24339655")</f>
        <v>VTMF-24339655</v>
      </c>
      <c r="G975" s="3" t="inlineStr">
        <is>
          <t/>
        </is>
      </c>
      <c r="H975" s="3" t="inlineStr">
        <is>
          <t>System</t>
        </is>
      </c>
      <c r="I975" s="3" t="inlineStr">
        <is>
          <t>Katelyn Long</t>
        </is>
      </c>
      <c r="J975" s="4" t="n">
        <v>45954.64560185185</v>
      </c>
      <c r="K975" s="5" t="n">
        <v>45954.0</v>
      </c>
      <c r="L975" s="5" t="n">
        <v>45894.0</v>
      </c>
      <c r="M975" s="3" t="inlineStr">
        <is>
          <t>Approved</t>
        </is>
      </c>
      <c r="N975" s="3" t="inlineStr">
        <is>
          <t>Available for Distribution, Country Start, Site Start, Study Start</t>
        </is>
      </c>
      <c r="O975" s="3" t="inlineStr">
        <is>
          <t>42847922MDD3003</t>
        </is>
      </c>
    </row>
    <row r="976">
      <c r="A976" s="2" t="str">
        <f>HYPERLINK("https://vtmf.veevavault.com/ui/#doc_info/31545184/1/0", "42847922MDD3003---Other Information Given to Investigators-26 Jan 2026 (v1.0)")</f>
        <v>42847922MDD3003---Other Information Given to Investigators-26 Jan 2026 (v1.0)</v>
      </c>
      <c r="B976" s="3" t="inlineStr">
        <is>
          <t>Central Trial Documents</t>
        </is>
      </c>
      <c r="C976" s="3" t="inlineStr">
        <is>
          <t>Subject Documents</t>
        </is>
      </c>
      <c r="D976" s="3" t="inlineStr">
        <is>
          <t>Other Information Given to Investigators</t>
        </is>
      </c>
      <c r="E976" s="3" t="inlineStr">
        <is>
          <t>OARS-7 Teckro Alert</t>
        </is>
      </c>
      <c r="F976" s="2" t="str">
        <f>HYPERLINK("https://vtmf.veevavault.com/ui/#doc_info/31545184/1/0", "VTMF-25456746")</f>
        <v>VTMF-25456746</v>
      </c>
      <c r="G976" s="3" t="inlineStr">
        <is>
          <t/>
        </is>
      </c>
      <c r="H976" s="3" t="inlineStr">
        <is>
          <t>System</t>
        </is>
      </c>
      <c r="I976" s="3" t="inlineStr">
        <is>
          <t>Katelyn Long</t>
        </is>
      </c>
      <c r="J976" s="4" t="n">
        <v>46140.75640046296</v>
      </c>
      <c r="K976" s="5" t="n">
        <v>46140.0</v>
      </c>
      <c r="L976" s="5" t="n">
        <v>46048.0</v>
      </c>
      <c r="M976" s="3" t="inlineStr">
        <is>
          <t>Approved</t>
        </is>
      </c>
      <c r="N976" s="3" t="inlineStr">
        <is>
          <t>Available for Distribution, Country Start, Site Start, Study Start</t>
        </is>
      </c>
      <c r="O976" s="3" t="inlineStr">
        <is>
          <t>42847922MDD3003</t>
        </is>
      </c>
    </row>
    <row r="977">
      <c r="A977" s="2" t="str">
        <f>HYPERLINK("https://vtmf.veevavault.com/ui/#doc_info/29789374/1/0", "42847922MDD3003---Other Information Given to Investigators-26 Jun 2025 (v1.0)")</f>
        <v>42847922MDD3003---Other Information Given to Investigators-26 Jun 2025 (v1.0)</v>
      </c>
      <c r="B977" s="3" t="inlineStr">
        <is>
          <t>Central Trial Documents</t>
        </is>
      </c>
      <c r="C977" s="3" t="inlineStr">
        <is>
          <t>Subject Documents</t>
        </is>
      </c>
      <c r="D977" s="3" t="inlineStr">
        <is>
          <t>Other Information Given to Investigators</t>
        </is>
      </c>
      <c r="E977" s="3" t="inlineStr">
        <is>
          <t>OARS-7 Teckro Alert</t>
        </is>
      </c>
      <c r="F977" s="2" t="str">
        <f>HYPERLINK("https://vtmf.veevavault.com/ui/#doc_info/29789374/1/0", "VTMF-23972665")</f>
        <v>VTMF-23972665</v>
      </c>
      <c r="G977" s="3" t="inlineStr">
        <is>
          <t/>
        </is>
      </c>
      <c r="H977" s="3" t="inlineStr">
        <is>
          <t>System</t>
        </is>
      </c>
      <c r="I977" s="3" t="inlineStr">
        <is>
          <t>Katelyn Long</t>
        </is>
      </c>
      <c r="J977" s="4" t="n">
        <v>45888.695555555554</v>
      </c>
      <c r="K977" s="5" t="n">
        <v>45888.0</v>
      </c>
      <c r="L977" s="5" t="n">
        <v>45834.0</v>
      </c>
      <c r="M977" s="3" t="inlineStr">
        <is>
          <t>Approved</t>
        </is>
      </c>
      <c r="N977" s="3" t="inlineStr">
        <is>
          <t>Available for Distribution, Country Start, Site Start, Study Start</t>
        </is>
      </c>
      <c r="O977" s="3" t="inlineStr">
        <is>
          <t>42847922MDD3003</t>
        </is>
      </c>
    </row>
    <row r="978">
      <c r="A978" s="2" t="str">
        <f>HYPERLINK("https://vtmf.veevavault.com/ui/#doc_info/31545155/1/0", "42847922MDD3003---Other Information Given to Investigators-26 Mar 2026 (v1.0)")</f>
        <v>42847922MDD3003---Other Information Given to Investigators-26 Mar 2026 (v1.0)</v>
      </c>
      <c r="B978" s="3" t="inlineStr">
        <is>
          <t>Central Trial Documents</t>
        </is>
      </c>
      <c r="C978" s="3" t="inlineStr">
        <is>
          <t>Subject Documents</t>
        </is>
      </c>
      <c r="D978" s="3" t="inlineStr">
        <is>
          <t>Other Information Given to Investigators</t>
        </is>
      </c>
      <c r="E978" s="3" t="inlineStr">
        <is>
          <t>OARS-7 Teckro Alert</t>
        </is>
      </c>
      <c r="F978" s="2" t="str">
        <f>HYPERLINK("https://vtmf.veevavault.com/ui/#doc_info/31545155/1/0", "VTMF-25456717")</f>
        <v>VTMF-25456717</v>
      </c>
      <c r="G978" s="3" t="inlineStr">
        <is>
          <t/>
        </is>
      </c>
      <c r="H978" s="3" t="inlineStr">
        <is>
          <t>System</t>
        </is>
      </c>
      <c r="I978" s="3" t="inlineStr">
        <is>
          <t>Katelyn Long</t>
        </is>
      </c>
      <c r="J978" s="4" t="n">
        <v>46140.75640046296</v>
      </c>
      <c r="K978" s="5" t="n">
        <v>46160.0</v>
      </c>
      <c r="L978" s="5" t="n">
        <v>46107.0</v>
      </c>
      <c r="M978" s="3" t="inlineStr">
        <is>
          <t>Approved</t>
        </is>
      </c>
      <c r="N978" s="3" t="inlineStr">
        <is>
          <t>Available for Distribution, Country Start, Site Start, Study Start</t>
        </is>
      </c>
      <c r="O978" s="3" t="inlineStr">
        <is>
          <t>42847922MDD3003</t>
        </is>
      </c>
    </row>
    <row r="979">
      <c r="A979" s="2" t="str">
        <f>HYPERLINK("https://vtmf.veevavault.com/ui/#doc_info/31545156/1/0", "42847922MDD3003---Other Information Given to Investigators-26 Mar 2026 (v1.0)")</f>
        <v>42847922MDD3003---Other Information Given to Investigators-26 Mar 2026 (v1.0)</v>
      </c>
      <c r="B979" s="3" t="inlineStr">
        <is>
          <t>Central Trial Documents</t>
        </is>
      </c>
      <c r="C979" s="3" t="inlineStr">
        <is>
          <t>Subject Documents</t>
        </is>
      </c>
      <c r="D979" s="3" t="inlineStr">
        <is>
          <t>Other Information Given to Investigators</t>
        </is>
      </c>
      <c r="E979" s="3" t="inlineStr">
        <is>
          <t>OARS-7 Teckro Alert</t>
        </is>
      </c>
      <c r="F979" s="2" t="str">
        <f>HYPERLINK("https://vtmf.veevavault.com/ui/#doc_info/31545156/1/0", "VTMF-25456718")</f>
        <v>VTMF-25456718</v>
      </c>
      <c r="G979" s="3" t="inlineStr">
        <is>
          <t/>
        </is>
      </c>
      <c r="H979" s="3" t="inlineStr">
        <is>
          <t>System</t>
        </is>
      </c>
      <c r="I979" s="3" t="inlineStr">
        <is>
          <t>Katelyn Long</t>
        </is>
      </c>
      <c r="J979" s="4" t="n">
        <v>46140.75640046296</v>
      </c>
      <c r="K979" s="5" t="n">
        <v>46160.0</v>
      </c>
      <c r="L979" s="5" t="n">
        <v>46107.0</v>
      </c>
      <c r="M979" s="3" t="inlineStr">
        <is>
          <t>Approved</t>
        </is>
      </c>
      <c r="N979" s="3" t="inlineStr">
        <is>
          <t>Available for Distribution, Country Start, Site Start, Study Start</t>
        </is>
      </c>
      <c r="O979" s="3" t="inlineStr">
        <is>
          <t>42847922MDD3003</t>
        </is>
      </c>
    </row>
    <row r="980">
      <c r="A980" s="2" t="str">
        <f>HYPERLINK("https://vtmf.veevavault.com/ui/#doc_info/31545164/1/0", "42847922MDD3003---Other Information Given to Investigators-26 Sep 2025 (v1.0)")</f>
        <v>42847922MDD3003---Other Information Given to Investigators-26 Sep 2025 (v1.0)</v>
      </c>
      <c r="B980" s="3" t="inlineStr">
        <is>
          <t>Central Trial Documents</t>
        </is>
      </c>
      <c r="C980" s="3" t="inlineStr">
        <is>
          <t>Subject Documents</t>
        </is>
      </c>
      <c r="D980" s="3" t="inlineStr">
        <is>
          <t>Other Information Given to Investigators</t>
        </is>
      </c>
      <c r="E980" s="3" t="inlineStr">
        <is>
          <t>OARS-7 Teckro Alert</t>
        </is>
      </c>
      <c r="F980" s="2" t="str">
        <f>HYPERLINK("https://vtmf.veevavault.com/ui/#doc_info/31545164/1/0", "VTMF-25456726")</f>
        <v>VTMF-25456726</v>
      </c>
      <c r="G980" s="3" t="inlineStr">
        <is>
          <t/>
        </is>
      </c>
      <c r="H980" s="3" t="inlineStr">
        <is>
          <t>System</t>
        </is>
      </c>
      <c r="I980" s="3" t="inlineStr">
        <is>
          <t>Katelyn Long</t>
        </is>
      </c>
      <c r="J980" s="4" t="n">
        <v>46140.75640046296</v>
      </c>
      <c r="K980" s="5" t="n">
        <v>46160.0</v>
      </c>
      <c r="L980" s="5" t="n">
        <v>45926.0</v>
      </c>
      <c r="M980" s="3" t="inlineStr">
        <is>
          <t>Approved</t>
        </is>
      </c>
      <c r="N980" s="3" t="inlineStr">
        <is>
          <t>Available for Distribution, Country Start, Site Start, Study Start</t>
        </is>
      </c>
      <c r="O980" s="3" t="inlineStr">
        <is>
          <t>42847922MDD3003</t>
        </is>
      </c>
    </row>
    <row r="981">
      <c r="A981" s="2" t="str">
        <f>HYPERLINK("https://vtmf.veevavault.com/ui/#doc_info/30227584/1/0", "42847922MDD3003---Other Information Given to Investigators-26 Sep 2025 (v1.0)")</f>
        <v>42847922MDD3003---Other Information Given to Investigators-26 Sep 2025 (v1.0)</v>
      </c>
      <c r="B981" s="3" t="inlineStr">
        <is>
          <t>Central Trial Documents</t>
        </is>
      </c>
      <c r="C981" s="3" t="inlineStr">
        <is>
          <t>Subject Documents</t>
        </is>
      </c>
      <c r="D981" s="3" t="inlineStr">
        <is>
          <t>Other Information Given to Investigators</t>
        </is>
      </c>
      <c r="E981" s="3" t="inlineStr">
        <is>
          <t>OARS-7 Teckro Alert</t>
        </is>
      </c>
      <c r="F981" s="2" t="str">
        <f>HYPERLINK("https://vtmf.veevavault.com/ui/#doc_info/30227584/1/0", "VTMF-24339604")</f>
        <v>VTMF-24339604</v>
      </c>
      <c r="G981" s="3" t="inlineStr">
        <is>
          <t/>
        </is>
      </c>
      <c r="H981" s="3" t="inlineStr">
        <is>
          <t>System</t>
        </is>
      </c>
      <c r="I981" s="3" t="inlineStr">
        <is>
          <t>Katelyn Long</t>
        </is>
      </c>
      <c r="J981" s="4" t="n">
        <v>45954.641180555554</v>
      </c>
      <c r="K981" s="5" t="n">
        <v>45954.0</v>
      </c>
      <c r="L981" s="5" t="n">
        <v>45926.0</v>
      </c>
      <c r="M981" s="3" t="inlineStr">
        <is>
          <t>Approved</t>
        </is>
      </c>
      <c r="N981" s="3" t="inlineStr">
        <is>
          <t>Available for Distribution, Country Start, Site Start, Study Start</t>
        </is>
      </c>
      <c r="O981" s="3" t="inlineStr">
        <is>
          <t>42847922MDD3003</t>
        </is>
      </c>
    </row>
    <row r="982">
      <c r="A982" s="2" t="str">
        <f>HYPERLINK("https://vtmf.veevavault.com/ui/#doc_info/31545160/1/0", "42847922MDD3003---Other Information Given to Investigators-27 Apr 2026 (v1.0)")</f>
        <v>42847922MDD3003---Other Information Given to Investigators-27 Apr 2026 (v1.0)</v>
      </c>
      <c r="B982" s="3" t="inlineStr">
        <is>
          <t>Central Trial Documents</t>
        </is>
      </c>
      <c r="C982" s="3" t="inlineStr">
        <is>
          <t>Subject Documents</t>
        </is>
      </c>
      <c r="D982" s="3" t="inlineStr">
        <is>
          <t>Other Information Given to Investigators</t>
        </is>
      </c>
      <c r="E982" s="3" t="inlineStr">
        <is>
          <t>OARS-7 Teckro Alert</t>
        </is>
      </c>
      <c r="F982" s="2" t="str">
        <f>HYPERLINK("https://vtmf.veevavault.com/ui/#doc_info/31545160/1/0", "VTMF-25456722")</f>
        <v>VTMF-25456722</v>
      </c>
      <c r="G982" s="3" t="inlineStr">
        <is>
          <t/>
        </is>
      </c>
      <c r="H982" s="3" t="inlineStr">
        <is>
          <t>System</t>
        </is>
      </c>
      <c r="I982" s="3" t="inlineStr">
        <is>
          <t>Katelyn Long</t>
        </is>
      </c>
      <c r="J982" s="4" t="n">
        <v>46140.75640046296</v>
      </c>
      <c r="K982" s="5" t="n">
        <v>46160.0</v>
      </c>
      <c r="L982" s="5" t="n">
        <v>46139.0</v>
      </c>
      <c r="M982" s="3" t="inlineStr">
        <is>
          <t>Approved</t>
        </is>
      </c>
      <c r="N982" s="3" t="inlineStr">
        <is>
          <t>Available for Distribution, Country Start, Site Start, Study Start</t>
        </is>
      </c>
      <c r="O982" s="3" t="inlineStr">
        <is>
          <t>42847922MDD3003</t>
        </is>
      </c>
    </row>
    <row r="983">
      <c r="A983" s="2" t="str">
        <f>HYPERLINK("https://vtmf.veevavault.com/ui/#doc_info/31545161/1/0", "42847922MDD3003---Other Information Given to Investigators-27 Apr 2026 (v1.0)")</f>
        <v>42847922MDD3003---Other Information Given to Investigators-27 Apr 2026 (v1.0)</v>
      </c>
      <c r="B983" s="3" t="inlineStr">
        <is>
          <t>Central Trial Documents</t>
        </is>
      </c>
      <c r="C983" s="3" t="inlineStr">
        <is>
          <t>Subject Documents</t>
        </is>
      </c>
      <c r="D983" s="3" t="inlineStr">
        <is>
          <t>Other Information Given to Investigators</t>
        </is>
      </c>
      <c r="E983" s="3" t="inlineStr">
        <is>
          <t>OARS-7 Teckro Alert</t>
        </is>
      </c>
      <c r="F983" s="2" t="str">
        <f>HYPERLINK("https://vtmf.veevavault.com/ui/#doc_info/31545161/1/0", "VTMF-25456723")</f>
        <v>VTMF-25456723</v>
      </c>
      <c r="G983" s="3" t="inlineStr">
        <is>
          <t/>
        </is>
      </c>
      <c r="H983" s="3" t="inlineStr">
        <is>
          <t>System</t>
        </is>
      </c>
      <c r="I983" s="3" t="inlineStr">
        <is>
          <t>Katelyn Long</t>
        </is>
      </c>
      <c r="J983" s="4" t="n">
        <v>46140.75640046296</v>
      </c>
      <c r="K983" s="5" t="n">
        <v>46160.0</v>
      </c>
      <c r="L983" s="5" t="n">
        <v>46139.0</v>
      </c>
      <c r="M983" s="3" t="inlineStr">
        <is>
          <t>Approved</t>
        </is>
      </c>
      <c r="N983" s="3" t="inlineStr">
        <is>
          <t>Available for Distribution, Country Start, Site Start, Study Start</t>
        </is>
      </c>
      <c r="O983" s="3" t="inlineStr">
        <is>
          <t>42847922MDD3003</t>
        </is>
      </c>
    </row>
    <row r="984">
      <c r="A984" s="2" t="str">
        <f>HYPERLINK("https://vtmf.veevavault.com/ui/#doc_info/30227586/1/0", "42847922MDD3003---Other Information Given to Investigators-27 Aug 2025 (v1.0)")</f>
        <v>42847922MDD3003---Other Information Given to Investigators-27 Aug 2025 (v1.0)</v>
      </c>
      <c r="B984" s="3" t="inlineStr">
        <is>
          <t>Central Trial Documents</t>
        </is>
      </c>
      <c r="C984" s="3" t="inlineStr">
        <is>
          <t>Subject Documents</t>
        </is>
      </c>
      <c r="D984" s="3" t="inlineStr">
        <is>
          <t>Other Information Given to Investigators</t>
        </is>
      </c>
      <c r="E984" s="3" t="inlineStr">
        <is>
          <t>OARS-7 Teckro Alert</t>
        </is>
      </c>
      <c r="F984" s="2" t="str">
        <f>HYPERLINK("https://vtmf.veevavault.com/ui/#doc_info/30227586/1/0", "VTMF-24339606")</f>
        <v>VTMF-24339606</v>
      </c>
      <c r="G984" s="3" t="inlineStr">
        <is>
          <t/>
        </is>
      </c>
      <c r="H984" s="3" t="inlineStr">
        <is>
          <t>System</t>
        </is>
      </c>
      <c r="I984" s="3" t="inlineStr">
        <is>
          <t>Katelyn Long</t>
        </is>
      </c>
      <c r="J984" s="4" t="n">
        <v>45954.641180555554</v>
      </c>
      <c r="K984" s="5" t="n">
        <v>45954.0</v>
      </c>
      <c r="L984" s="5" t="n">
        <v>45896.0</v>
      </c>
      <c r="M984" s="3" t="inlineStr">
        <is>
          <t>Approved</t>
        </is>
      </c>
      <c r="N984" s="3" t="inlineStr">
        <is>
          <t>Available for Distribution, Country Start, Site Start, Study Start</t>
        </is>
      </c>
      <c r="O984" s="3" t="inlineStr">
        <is>
          <t>42847922MDD3003</t>
        </is>
      </c>
    </row>
    <row r="985">
      <c r="A985" s="2" t="str">
        <f>HYPERLINK("https://vtmf.veevavault.com/ui/#doc_info/30965915/1/0", "42847922MDD3003---Other Information Given to Investigators-27 Feb 2026 (v1.0)")</f>
        <v>42847922MDD3003---Other Information Given to Investigators-27 Feb 2026 (v1.0)</v>
      </c>
      <c r="B985" s="3" t="inlineStr">
        <is>
          <t>Central Trial Documents</t>
        </is>
      </c>
      <c r="C985" s="3" t="inlineStr">
        <is>
          <t>Subject Documents</t>
        </is>
      </c>
      <c r="D985" s="3" t="inlineStr">
        <is>
          <t>Other Information Given to Investigators</t>
        </is>
      </c>
      <c r="E985" s="3" t="inlineStr">
        <is>
          <t>42847922MDD3003 Newsletter FDA DAP Goals_27Feb2026</t>
        </is>
      </c>
      <c r="F985" s="2" t="str">
        <f>HYPERLINK("https://vtmf.veevavault.com/ui/#doc_info/30965915/1/0", "VTMF-24959925")</f>
        <v>VTMF-24959925</v>
      </c>
      <c r="G985" s="3" t="inlineStr">
        <is>
          <t/>
        </is>
      </c>
      <c r="H985" s="3" t="inlineStr">
        <is>
          <t>System</t>
        </is>
      </c>
      <c r="I985" s="3" t="inlineStr">
        <is>
          <t>Astrid Lenaerts</t>
        </is>
      </c>
      <c r="J985" s="4" t="n">
        <v>46080.43392361111</v>
      </c>
      <c r="K985" s="5" t="n">
        <v>46083.0</v>
      </c>
      <c r="L985" s="5" t="n">
        <v>46080.0</v>
      </c>
      <c r="M985" s="3" t="inlineStr">
        <is>
          <t>Approved</t>
        </is>
      </c>
      <c r="N985" s="3" t="inlineStr">
        <is>
          <t>Available for Distribution, Country Start, Site Start, Study Start</t>
        </is>
      </c>
      <c r="O985" s="3" t="inlineStr">
        <is>
          <t>42847922MDD3003</t>
        </is>
      </c>
    </row>
    <row r="986">
      <c r="A986" s="2" t="str">
        <f>HYPERLINK("https://vtmf.veevavault.com/ui/#doc_info/31545151/1/0", "42847922MDD3003---Other Information Given to Investigators-28 Apr 2026 (v1.0)")</f>
        <v>42847922MDD3003---Other Information Given to Investigators-28 Apr 2026 (v1.0)</v>
      </c>
      <c r="B986" s="3" t="inlineStr">
        <is>
          <t>Central Trial Documents</t>
        </is>
      </c>
      <c r="C986" s="3" t="inlineStr">
        <is>
          <t>Subject Documents</t>
        </is>
      </c>
      <c r="D986" s="3" t="inlineStr">
        <is>
          <t>Other Information Given to Investigators</t>
        </is>
      </c>
      <c r="E986" s="3" t="inlineStr">
        <is>
          <t>OARS-7 Teckro Alert</t>
        </is>
      </c>
      <c r="F986" s="2" t="str">
        <f>HYPERLINK("https://vtmf.veevavault.com/ui/#doc_info/31545151/1/0", "VTMF-25456713")</f>
        <v>VTMF-25456713</v>
      </c>
      <c r="G986" s="3" t="inlineStr">
        <is>
          <t/>
        </is>
      </c>
      <c r="H986" s="3" t="inlineStr">
        <is>
          <t>System</t>
        </is>
      </c>
      <c r="I986" s="3" t="inlineStr">
        <is>
          <t>Katelyn Long</t>
        </is>
      </c>
      <c r="J986" s="4" t="n">
        <v>46140.75640046296</v>
      </c>
      <c r="K986" s="5" t="n">
        <v>46160.0</v>
      </c>
      <c r="L986" s="5" t="n">
        <v>46140.0</v>
      </c>
      <c r="M986" s="3" t="inlineStr">
        <is>
          <t>Approved</t>
        </is>
      </c>
      <c r="N986" s="3" t="inlineStr">
        <is>
          <t>Available for Distribution, Country Start, Site Start, Study Start</t>
        </is>
      </c>
      <c r="O986" s="3" t="inlineStr">
        <is>
          <t>42847922MDD3003</t>
        </is>
      </c>
    </row>
    <row r="987">
      <c r="A987" s="2" t="str">
        <f>HYPERLINK("https://vtmf.veevavault.com/ui/#doc_info/31545157/1/0", "42847922MDD3003---Other Information Given to Investigators-28 Apr 2026 (v1.0)")</f>
        <v>42847922MDD3003---Other Information Given to Investigators-28 Apr 2026 (v1.0)</v>
      </c>
      <c r="B987" s="3" t="inlineStr">
        <is>
          <t>Central Trial Documents</t>
        </is>
      </c>
      <c r="C987" s="3" t="inlineStr">
        <is>
          <t>Subject Documents</t>
        </is>
      </c>
      <c r="D987" s="3" t="inlineStr">
        <is>
          <t>Other Information Given to Investigators</t>
        </is>
      </c>
      <c r="E987" s="3" t="inlineStr">
        <is>
          <t>OARS-7 Teckro Alert</t>
        </is>
      </c>
      <c r="F987" s="2" t="str">
        <f>HYPERLINK("https://vtmf.veevavault.com/ui/#doc_info/31545157/1/0", "VTMF-25456719")</f>
        <v>VTMF-25456719</v>
      </c>
      <c r="G987" s="3" t="inlineStr">
        <is>
          <t/>
        </is>
      </c>
      <c r="H987" s="3" t="inlineStr">
        <is>
          <t>System</t>
        </is>
      </c>
      <c r="I987" s="3" t="inlineStr">
        <is>
          <t>Katelyn Long</t>
        </is>
      </c>
      <c r="J987" s="4" t="n">
        <v>46140.75640046296</v>
      </c>
      <c r="K987" s="5" t="n">
        <v>46160.0</v>
      </c>
      <c r="L987" s="5" t="n">
        <v>46140.0</v>
      </c>
      <c r="M987" s="3" t="inlineStr">
        <is>
          <t>Approved</t>
        </is>
      </c>
      <c r="N987" s="3" t="inlineStr">
        <is>
          <t>Available for Distribution, Country Start, Site Start, Study Start</t>
        </is>
      </c>
      <c r="O987" s="3" t="inlineStr">
        <is>
          <t>42847922MDD3003</t>
        </is>
      </c>
    </row>
    <row r="988">
      <c r="A988" s="2" t="str">
        <f>HYPERLINK("https://vtmf.veevavault.com/ui/#doc_info/31545165/1/0", "42847922MDD3003---Other Information Given to Investigators-28 Apr 2026 (v1.0)")</f>
        <v>42847922MDD3003---Other Information Given to Investigators-28 Apr 2026 (v1.0)</v>
      </c>
      <c r="B988" s="3" t="inlineStr">
        <is>
          <t>Central Trial Documents</t>
        </is>
      </c>
      <c r="C988" s="3" t="inlineStr">
        <is>
          <t>Subject Documents</t>
        </is>
      </c>
      <c r="D988" s="3" t="inlineStr">
        <is>
          <t>Other Information Given to Investigators</t>
        </is>
      </c>
      <c r="E988" s="3" t="inlineStr">
        <is>
          <t>OARS-7 Teckro Alert</t>
        </is>
      </c>
      <c r="F988" s="2" t="str">
        <f>HYPERLINK("https://vtmf.veevavault.com/ui/#doc_info/31545165/1/0", "VTMF-25456727")</f>
        <v>VTMF-25456727</v>
      </c>
      <c r="G988" s="3" t="inlineStr">
        <is>
          <t/>
        </is>
      </c>
      <c r="H988" s="3" t="inlineStr">
        <is>
          <t>System</t>
        </is>
      </c>
      <c r="I988" s="3" t="inlineStr">
        <is>
          <t>Katelyn Long</t>
        </is>
      </c>
      <c r="J988" s="4" t="n">
        <v>46140.75640046296</v>
      </c>
      <c r="K988" s="5" t="n">
        <v>46160.0</v>
      </c>
      <c r="L988" s="5" t="n">
        <v>46140.0</v>
      </c>
      <c r="M988" s="3" t="inlineStr">
        <is>
          <t>Approved</t>
        </is>
      </c>
      <c r="N988" s="3" t="inlineStr">
        <is>
          <t>Available for Distribution, Country Start, Site Start, Study Start</t>
        </is>
      </c>
      <c r="O988" s="3" t="inlineStr">
        <is>
          <t>42847922MDD3003</t>
        </is>
      </c>
    </row>
    <row r="989">
      <c r="A989" s="2" t="str">
        <f>HYPERLINK("https://vtmf.veevavault.com/ui/#doc_info/31545166/1/0", "42847922MDD3003---Other Information Given to Investigators-28 Apr 2026 (v1.0)")</f>
        <v>42847922MDD3003---Other Information Given to Investigators-28 Apr 2026 (v1.0)</v>
      </c>
      <c r="B989" s="3" t="inlineStr">
        <is>
          <t>Central Trial Documents</t>
        </is>
      </c>
      <c r="C989" s="3" t="inlineStr">
        <is>
          <t>Subject Documents</t>
        </is>
      </c>
      <c r="D989" s="3" t="inlineStr">
        <is>
          <t>Other Information Given to Investigators</t>
        </is>
      </c>
      <c r="E989" s="3" t="inlineStr">
        <is>
          <t>OARS-7 Teckro Alert</t>
        </is>
      </c>
      <c r="F989" s="2" t="str">
        <f>HYPERLINK("https://vtmf.veevavault.com/ui/#doc_info/31545166/1/0", "VTMF-25456728")</f>
        <v>VTMF-25456728</v>
      </c>
      <c r="G989" s="3" t="inlineStr">
        <is>
          <t/>
        </is>
      </c>
      <c r="H989" s="3" t="inlineStr">
        <is>
          <t>System</t>
        </is>
      </c>
      <c r="I989" s="3" t="inlineStr">
        <is>
          <t>Katelyn Long</t>
        </is>
      </c>
      <c r="J989" s="4" t="n">
        <v>46140.75640046296</v>
      </c>
      <c r="K989" s="5" t="n">
        <v>46160.0</v>
      </c>
      <c r="L989" s="5" t="n">
        <v>46140.0</v>
      </c>
      <c r="M989" s="3" t="inlineStr">
        <is>
          <t>Approved</t>
        </is>
      </c>
      <c r="N989" s="3" t="inlineStr">
        <is>
          <t>Available for Distribution, Country Start, Site Start, Study Start</t>
        </is>
      </c>
      <c r="O989" s="3" t="inlineStr">
        <is>
          <t>42847922MDD3003</t>
        </is>
      </c>
    </row>
    <row r="990">
      <c r="A990" s="2" t="str">
        <f>HYPERLINK("https://vtmf.veevavault.com/ui/#doc_info/31545168/1/0", "42847922MDD3003---Other Information Given to Investigators-28 Apr 2026 (v1.0)")</f>
        <v>42847922MDD3003---Other Information Given to Investigators-28 Apr 2026 (v1.0)</v>
      </c>
      <c r="B990" s="3" t="inlineStr">
        <is>
          <t>Central Trial Documents</t>
        </is>
      </c>
      <c r="C990" s="3" t="inlineStr">
        <is>
          <t>Subject Documents</t>
        </is>
      </c>
      <c r="D990" s="3" t="inlineStr">
        <is>
          <t>Other Information Given to Investigators</t>
        </is>
      </c>
      <c r="E990" s="3" t="inlineStr">
        <is>
          <t>OARS-7 Teckro Alert</t>
        </is>
      </c>
      <c r="F990" s="2" t="str">
        <f>HYPERLINK("https://vtmf.veevavault.com/ui/#doc_info/31545168/1/0", "VTMF-25456730")</f>
        <v>VTMF-25456730</v>
      </c>
      <c r="G990" s="3" t="inlineStr">
        <is>
          <t/>
        </is>
      </c>
      <c r="H990" s="3" t="inlineStr">
        <is>
          <t>System</t>
        </is>
      </c>
      <c r="I990" s="3" t="inlineStr">
        <is>
          <t>Katelyn Long</t>
        </is>
      </c>
      <c r="J990" s="4" t="n">
        <v>46140.75640046296</v>
      </c>
      <c r="K990" s="5" t="n">
        <v>46160.0</v>
      </c>
      <c r="L990" s="5" t="n">
        <v>46140.0</v>
      </c>
      <c r="M990" s="3" t="inlineStr">
        <is>
          <t>Approved</t>
        </is>
      </c>
      <c r="N990" s="3" t="inlineStr">
        <is>
          <t>Available for Distribution, Country Start, Site Start, Study Start</t>
        </is>
      </c>
      <c r="O990" s="3" t="inlineStr">
        <is>
          <t>42847922MDD3003</t>
        </is>
      </c>
    </row>
    <row r="991">
      <c r="A991" s="2" t="str">
        <f>HYPERLINK("https://vtmf.veevavault.com/ui/#doc_info/31545169/1/0", "42847922MDD3003---Other Information Given to Investigators-28 Apr 2026 (v1.0)")</f>
        <v>42847922MDD3003---Other Information Given to Investigators-28 Apr 2026 (v1.0)</v>
      </c>
      <c r="B991" s="3" t="inlineStr">
        <is>
          <t>Central Trial Documents</t>
        </is>
      </c>
      <c r="C991" s="3" t="inlineStr">
        <is>
          <t>Subject Documents</t>
        </is>
      </c>
      <c r="D991" s="3" t="inlineStr">
        <is>
          <t>Other Information Given to Investigators</t>
        </is>
      </c>
      <c r="E991" s="3" t="inlineStr">
        <is>
          <t>OARS-7 Teckro Alert</t>
        </is>
      </c>
      <c r="F991" s="2" t="str">
        <f>HYPERLINK("https://vtmf.veevavault.com/ui/#doc_info/31545169/1/0", "VTMF-25456731")</f>
        <v>VTMF-25456731</v>
      </c>
      <c r="G991" s="3" t="inlineStr">
        <is>
          <t/>
        </is>
      </c>
      <c r="H991" s="3" t="inlineStr">
        <is>
          <t>System</t>
        </is>
      </c>
      <c r="I991" s="3" t="inlineStr">
        <is>
          <t>Katelyn Long</t>
        </is>
      </c>
      <c r="J991" s="4" t="n">
        <v>46140.75640046296</v>
      </c>
      <c r="K991" s="5" t="n">
        <v>46160.0</v>
      </c>
      <c r="L991" s="5" t="n">
        <v>46140.0</v>
      </c>
      <c r="M991" s="3" t="inlineStr">
        <is>
          <t>Approved</t>
        </is>
      </c>
      <c r="N991" s="3" t="inlineStr">
        <is>
          <t>Available for Distribution, Country Start, Site Start, Study Start</t>
        </is>
      </c>
      <c r="O991" s="3" t="inlineStr">
        <is>
          <t>42847922MDD3003</t>
        </is>
      </c>
    </row>
    <row r="992">
      <c r="A992" s="2" t="str">
        <f>HYPERLINK("https://vtmf.veevavault.com/ui/#doc_info/31545177/1/0", "42847922MDD3003---Other Information Given to Investigators-28 Apr 2026 (v1.0)")</f>
        <v>42847922MDD3003---Other Information Given to Investigators-28 Apr 2026 (v1.0)</v>
      </c>
      <c r="B992" s="3" t="inlineStr">
        <is>
          <t>Central Trial Documents</t>
        </is>
      </c>
      <c r="C992" s="3" t="inlineStr">
        <is>
          <t>Subject Documents</t>
        </is>
      </c>
      <c r="D992" s="3" t="inlineStr">
        <is>
          <t>Other Information Given to Investigators</t>
        </is>
      </c>
      <c r="E992" s="3" t="inlineStr">
        <is>
          <t>OARS-7 Teckro Alert</t>
        </is>
      </c>
      <c r="F992" s="2" t="str">
        <f>HYPERLINK("https://vtmf.veevavault.com/ui/#doc_info/31545177/1/0", "VTMF-25456739")</f>
        <v>VTMF-25456739</v>
      </c>
      <c r="G992" s="3" t="inlineStr">
        <is>
          <t/>
        </is>
      </c>
      <c r="H992" s="3" t="inlineStr">
        <is>
          <t>System</t>
        </is>
      </c>
      <c r="I992" s="3" t="inlineStr">
        <is>
          <t>Katelyn Long</t>
        </is>
      </c>
      <c r="J992" s="4" t="n">
        <v>46140.75640046296</v>
      </c>
      <c r="K992" s="5" t="n">
        <v>46160.0</v>
      </c>
      <c r="L992" s="5" t="n">
        <v>46140.0</v>
      </c>
      <c r="M992" s="3" t="inlineStr">
        <is>
          <t>Approved</t>
        </is>
      </c>
      <c r="N992" s="3" t="inlineStr">
        <is>
          <t>Available for Distribution, Country Start, Site Start, Study Start</t>
        </is>
      </c>
      <c r="O992" s="3" t="inlineStr">
        <is>
          <t>42847922MDD3003</t>
        </is>
      </c>
    </row>
    <row r="993">
      <c r="A993" s="2" t="str">
        <f>HYPERLINK("https://vtmf.veevavault.com/ui/#doc_info/31545179/1/0", "42847922MDD3003---Other Information Given to Investigators-28 Apr 2026 (v1.0)")</f>
        <v>42847922MDD3003---Other Information Given to Investigators-28 Apr 2026 (v1.0)</v>
      </c>
      <c r="B993" s="3" t="inlineStr">
        <is>
          <t>Central Trial Documents</t>
        </is>
      </c>
      <c r="C993" s="3" t="inlineStr">
        <is>
          <t>Subject Documents</t>
        </is>
      </c>
      <c r="D993" s="3" t="inlineStr">
        <is>
          <t>Other Information Given to Investigators</t>
        </is>
      </c>
      <c r="E993" s="3" t="inlineStr">
        <is>
          <t>OARS-7 Teckro Alert</t>
        </is>
      </c>
      <c r="F993" s="2" t="str">
        <f>HYPERLINK("https://vtmf.veevavault.com/ui/#doc_info/31545179/1/0", "VTMF-25456741")</f>
        <v>VTMF-25456741</v>
      </c>
      <c r="G993" s="3" t="inlineStr">
        <is>
          <t/>
        </is>
      </c>
      <c r="H993" s="3" t="inlineStr">
        <is>
          <t>System</t>
        </is>
      </c>
      <c r="I993" s="3" t="inlineStr">
        <is>
          <t>Katelyn Long</t>
        </is>
      </c>
      <c r="J993" s="4" t="n">
        <v>46140.75640046296</v>
      </c>
      <c r="K993" s="5" t="n">
        <v>46160.0</v>
      </c>
      <c r="L993" s="5" t="n">
        <v>46140.0</v>
      </c>
      <c r="M993" s="3" t="inlineStr">
        <is>
          <t>Approved</t>
        </is>
      </c>
      <c r="N993" s="3" t="inlineStr">
        <is>
          <t>Available for Distribution, Country Start, Site Start, Study Start</t>
        </is>
      </c>
      <c r="O993" s="3" t="inlineStr">
        <is>
          <t>42847922MDD3003</t>
        </is>
      </c>
    </row>
    <row r="994">
      <c r="A994" s="2" t="str">
        <f>HYPERLINK("https://vtmf.veevavault.com/ui/#doc_info/29789379/1/0", "42847922MDD3003---Other Information Given to Investigators-29 Apr 2025 (v1.0)")</f>
        <v>42847922MDD3003---Other Information Given to Investigators-29 Apr 2025 (v1.0)</v>
      </c>
      <c r="B994" s="3" t="inlineStr">
        <is>
          <t>Central Trial Documents</t>
        </is>
      </c>
      <c r="C994" s="3" t="inlineStr">
        <is>
          <t>Subject Documents</t>
        </is>
      </c>
      <c r="D994" s="3" t="inlineStr">
        <is>
          <t>Other Information Given to Investigators</t>
        </is>
      </c>
      <c r="E994" s="3" t="inlineStr">
        <is>
          <t>OARS-7 Teckro Alert</t>
        </is>
      </c>
      <c r="F994" s="2" t="str">
        <f>HYPERLINK("https://vtmf.veevavault.com/ui/#doc_info/29789379/1/0", "VTMF-23972670")</f>
        <v>VTMF-23972670</v>
      </c>
      <c r="G994" s="3" t="inlineStr">
        <is>
          <t/>
        </is>
      </c>
      <c r="H994" s="3" t="inlineStr">
        <is>
          <t>System</t>
        </is>
      </c>
      <c r="I994" s="3" t="inlineStr">
        <is>
          <t>Katelyn Long</t>
        </is>
      </c>
      <c r="J994" s="4" t="n">
        <v>45888.695555555554</v>
      </c>
      <c r="K994" s="5" t="n">
        <v>45888.0</v>
      </c>
      <c r="L994" s="5" t="n">
        <v>45776.0</v>
      </c>
      <c r="M994" s="3" t="inlineStr">
        <is>
          <t>Approved</t>
        </is>
      </c>
      <c r="N994" s="3" t="inlineStr">
        <is>
          <t>Available for Distribution, Country Start, Site Start, Study Start</t>
        </is>
      </c>
      <c r="O994" s="3" t="inlineStr">
        <is>
          <t>42847922MDD3003</t>
        </is>
      </c>
    </row>
    <row r="995">
      <c r="A995" s="2" t="str">
        <f>HYPERLINK("https://vtmf.veevavault.com/ui/#doc_info/31545185/1/0", "42847922MDD3003---Other Information Given to Investigators-29 Jan 2026 (v1.0)")</f>
        <v>42847922MDD3003---Other Information Given to Investigators-29 Jan 2026 (v1.0)</v>
      </c>
      <c r="B995" s="3" t="inlineStr">
        <is>
          <t>Central Trial Documents</t>
        </is>
      </c>
      <c r="C995" s="3" t="inlineStr">
        <is>
          <t>Subject Documents</t>
        </is>
      </c>
      <c r="D995" s="3" t="inlineStr">
        <is>
          <t>Other Information Given to Investigators</t>
        </is>
      </c>
      <c r="E995" s="3" t="inlineStr">
        <is>
          <t>OARS-7 Teckro Alert</t>
        </is>
      </c>
      <c r="F995" s="2" t="str">
        <f>HYPERLINK("https://vtmf.veevavault.com/ui/#doc_info/31545185/1/0", "VTMF-25456747")</f>
        <v>VTMF-25456747</v>
      </c>
      <c r="G995" s="3" t="inlineStr">
        <is>
          <t/>
        </is>
      </c>
      <c r="H995" s="3" t="inlineStr">
        <is>
          <t>System</t>
        </is>
      </c>
      <c r="I995" s="3" t="inlineStr">
        <is>
          <t>Katelyn Long</t>
        </is>
      </c>
      <c r="J995" s="4" t="n">
        <v>46140.75640046296</v>
      </c>
      <c r="K995" s="5" t="n">
        <v>46140.0</v>
      </c>
      <c r="L995" s="5" t="n">
        <v>46051.0</v>
      </c>
      <c r="M995" s="3" t="inlineStr">
        <is>
          <t>Approved</t>
        </is>
      </c>
      <c r="N995" s="3" t="inlineStr">
        <is>
          <t>Available for Distribution, Country Start, Site Start, Study Start</t>
        </is>
      </c>
      <c r="O995" s="3" t="inlineStr">
        <is>
          <t>42847922MDD3003</t>
        </is>
      </c>
    </row>
    <row r="996">
      <c r="A996" s="2" t="str">
        <f>HYPERLINK("https://vtmf.veevavault.com/ui/#doc_info/31545170/1/0", "42847922MDD3003---Other Information Given to Investigators-29 Oct 2025 (v1.0)")</f>
        <v>42847922MDD3003---Other Information Given to Investigators-29 Oct 2025 (v1.0)</v>
      </c>
      <c r="B996" s="3" t="inlineStr">
        <is>
          <t>Central Trial Documents</t>
        </is>
      </c>
      <c r="C996" s="3" t="inlineStr">
        <is>
          <t>Subject Documents</t>
        </is>
      </c>
      <c r="D996" s="3" t="inlineStr">
        <is>
          <t>Other Information Given to Investigators</t>
        </is>
      </c>
      <c r="E996" s="3" t="inlineStr">
        <is>
          <t>OARS-7 Teckro Alert</t>
        </is>
      </c>
      <c r="F996" s="2" t="str">
        <f>HYPERLINK("https://vtmf.veevavault.com/ui/#doc_info/31545170/1/0", "VTMF-25456732")</f>
        <v>VTMF-25456732</v>
      </c>
      <c r="G996" s="3" t="inlineStr">
        <is>
          <t/>
        </is>
      </c>
      <c r="H996" s="3" t="inlineStr">
        <is>
          <t>System</t>
        </is>
      </c>
      <c r="I996" s="3" t="inlineStr">
        <is>
          <t>Katelyn Long</t>
        </is>
      </c>
      <c r="J996" s="4" t="n">
        <v>46140.75640046296</v>
      </c>
      <c r="K996" s="5" t="n">
        <v>46160.0</v>
      </c>
      <c r="L996" s="5" t="n">
        <v>45959.0</v>
      </c>
      <c r="M996" s="3" t="inlineStr">
        <is>
          <t>Approved</t>
        </is>
      </c>
      <c r="N996" s="3" t="inlineStr">
        <is>
          <t>Available for Distribution, Country Start, Site Start, Study Start</t>
        </is>
      </c>
      <c r="O996" s="3" t="inlineStr">
        <is>
          <t>42847922MDD3003</t>
        </is>
      </c>
    </row>
    <row r="997">
      <c r="A997" s="2" t="str">
        <f>HYPERLINK("https://vtmf.veevavault.com/ui/#doc_info/31545186/1/0", "42847922MDD3003---Other Information Given to Investigators-30 Jan 2026 (v1.0)")</f>
        <v>42847922MDD3003---Other Information Given to Investigators-30 Jan 2026 (v1.0)</v>
      </c>
      <c r="B997" s="3" t="inlineStr">
        <is>
          <t>Central Trial Documents</t>
        </is>
      </c>
      <c r="C997" s="3" t="inlineStr">
        <is>
          <t>Subject Documents</t>
        </is>
      </c>
      <c r="D997" s="3" t="inlineStr">
        <is>
          <t>Other Information Given to Investigators</t>
        </is>
      </c>
      <c r="E997" s="3" t="inlineStr">
        <is>
          <t>OARS-7 Teckro Alert</t>
        </is>
      </c>
      <c r="F997" s="2" t="str">
        <f>HYPERLINK("https://vtmf.veevavault.com/ui/#doc_info/31545186/1/0", "VTMF-25456748")</f>
        <v>VTMF-25456748</v>
      </c>
      <c r="G997" s="3" t="inlineStr">
        <is>
          <t/>
        </is>
      </c>
      <c r="H997" s="3" t="inlineStr">
        <is>
          <t>System</t>
        </is>
      </c>
      <c r="I997" s="3" t="inlineStr">
        <is>
          <t>Katelyn Long</t>
        </is>
      </c>
      <c r="J997" s="4" t="n">
        <v>46140.75640046296</v>
      </c>
      <c r="K997" s="5" t="n">
        <v>46140.0</v>
      </c>
      <c r="L997" s="5" t="n">
        <v>46052.0</v>
      </c>
      <c r="M997" s="3" t="inlineStr">
        <is>
          <t>Approved</t>
        </is>
      </c>
      <c r="N997" s="3" t="inlineStr">
        <is>
          <t>Available for Distribution, Country Start, Site Start, Study Start</t>
        </is>
      </c>
      <c r="O997" s="3" t="inlineStr">
        <is>
          <t>42847922MDD3003</t>
        </is>
      </c>
    </row>
    <row r="998">
      <c r="A998" s="2" t="str">
        <f>HYPERLINK("https://vtmf.veevavault.com/ui/#doc_info/29789554/1/0", "42847922MDD3003---Other Information Given to Investigators-31 Jul 2025 (v1.0)")</f>
        <v>42847922MDD3003---Other Information Given to Investigators-31 Jul 2025 (v1.0)</v>
      </c>
      <c r="B998" s="3" t="inlineStr">
        <is>
          <t>Central Trial Documents</t>
        </is>
      </c>
      <c r="C998" s="3" t="inlineStr">
        <is>
          <t>Subject Documents</t>
        </is>
      </c>
      <c r="D998" s="3" t="inlineStr">
        <is>
          <t>Other Information Given to Investigators</t>
        </is>
      </c>
      <c r="E998" s="3" t="inlineStr">
        <is>
          <t>OARS-7 Teckro Alert</t>
        </is>
      </c>
      <c r="F998" s="2" t="str">
        <f>HYPERLINK("https://vtmf.veevavault.com/ui/#doc_info/29789554/1/0", "VTMF-23972769")</f>
        <v>VTMF-23972769</v>
      </c>
      <c r="G998" s="3" t="inlineStr">
        <is>
          <t/>
        </is>
      </c>
      <c r="H998" s="3" t="inlineStr">
        <is>
          <t>System</t>
        </is>
      </c>
      <c r="I998" s="3" t="inlineStr">
        <is>
          <t>Katelyn Long</t>
        </is>
      </c>
      <c r="J998" s="4" t="n">
        <v>45888.70814814815</v>
      </c>
      <c r="K998" s="5" t="n">
        <v>45888.0</v>
      </c>
      <c r="L998" s="5" t="n">
        <v>45869.0</v>
      </c>
      <c r="M998" s="3" t="inlineStr">
        <is>
          <t>Approved</t>
        </is>
      </c>
      <c r="N998" s="3" t="inlineStr">
        <is>
          <t>Available for Distribution, Country Start, Site Start, Study Start</t>
        </is>
      </c>
      <c r="O998" s="3" t="inlineStr">
        <is>
          <t>42847922MDD3003</t>
        </is>
      </c>
    </row>
    <row r="999">
      <c r="A999" s="2" t="str">
        <f>HYPERLINK("https://vtmf.veevavault.com/ui/#doc_info/26116799/1/0", "42847922MDD3003---Other Written Information Give to Subjects-02 Apr 2024 (v1.0)")</f>
        <v>42847922MDD3003---Other Written Information Give to Subjects-02 Apr 2024 (v1.0)</v>
      </c>
      <c r="B999" s="3" t="inlineStr">
        <is>
          <t>Central Trial Documents</t>
        </is>
      </c>
      <c r="C999" s="3" t="inlineStr">
        <is>
          <t>Subject Documents</t>
        </is>
      </c>
      <c r="D999" s="3" t="inlineStr">
        <is>
          <t>Other Information Given to Subjects</t>
        </is>
      </c>
      <c r="E999" s="3" t="inlineStr">
        <is>
          <t>Program-Wide 4x Milestone Cards</t>
        </is>
      </c>
      <c r="F999" s="2" t="str">
        <f>HYPERLINK("https://vtmf.veevavault.com/ui/#doc_info/26116799/1/0", "VTMF-20883158")</f>
        <v>VTMF-20883158</v>
      </c>
      <c r="G999" s="3" t="inlineStr">
        <is>
          <t/>
        </is>
      </c>
      <c r="H999" s="3" t="inlineStr">
        <is>
          <t>System</t>
        </is>
      </c>
      <c r="I999" s="3" t="inlineStr">
        <is>
          <t>Adam McKain</t>
        </is>
      </c>
      <c r="J999" s="4" t="n">
        <v>45407.86539351852</v>
      </c>
      <c r="K999" s="5" t="n">
        <v>45413.0</v>
      </c>
      <c r="L999" s="5" t="n">
        <v>45384.0</v>
      </c>
      <c r="M999" s="3" t="inlineStr">
        <is>
          <t>Approved</t>
        </is>
      </c>
      <c r="N999" s="3" t="inlineStr">
        <is>
          <t>Available for Distribution, Study Start</t>
        </is>
      </c>
      <c r="O999" s="3" t="inlineStr">
        <is>
          <t>42847922MDD3003</t>
        </is>
      </c>
    </row>
    <row r="1000">
      <c r="A1000" s="2" t="str">
        <f>HYPERLINK("https://vtmf.veevavault.com/ui/#doc_info/26337557/1/0", "42847922MDD3003---Other Written Information Give to Subjects-03 May 2024 (v1.0)")</f>
        <v>42847922MDD3003---Other Written Information Give to Subjects-03 May 2024 (v1.0)</v>
      </c>
      <c r="B1000" s="3" t="inlineStr">
        <is>
          <t>Central Trial Documents</t>
        </is>
      </c>
      <c r="C1000" s="3" t="inlineStr">
        <is>
          <t>Subject Documents</t>
        </is>
      </c>
      <c r="D1000" s="3" t="inlineStr">
        <is>
          <t>Other Information Given to Subjects</t>
        </is>
      </c>
      <c r="E1000" s="3" t="inlineStr">
        <is>
          <t>Participant Education Module Storyboard_FINAL_V1.0_03May2024.</t>
        </is>
      </c>
      <c r="F1000" s="2" t="str">
        <f>HYPERLINK("https://vtmf.veevavault.com/ui/#doc_info/26337557/1/0", "VTMF-21074850")</f>
        <v>VTMF-21074850</v>
      </c>
      <c r="G1000" s="3" t="inlineStr">
        <is>
          <t/>
        </is>
      </c>
      <c r="H1000" s="3" t="inlineStr">
        <is>
          <t>System</t>
        </is>
      </c>
      <c r="I1000" s="3" t="inlineStr">
        <is>
          <t>Gina Stefanelli</t>
        </is>
      </c>
      <c r="J1000" s="4" t="n">
        <v>45428.5865625</v>
      </c>
      <c r="K1000" s="5" t="n">
        <v>45428.0</v>
      </c>
      <c r="L1000" s="5" t="n">
        <v>45415.0</v>
      </c>
      <c r="M1000" s="3" t="inlineStr">
        <is>
          <t>Approved</t>
        </is>
      </c>
      <c r="N1000" s="3" t="inlineStr">
        <is>
          <t>Available for Distribution, Study Start</t>
        </is>
      </c>
      <c r="O1000" s="3" t="inlineStr">
        <is>
          <t>42847922MDD3003</t>
        </is>
      </c>
    </row>
    <row r="1001">
      <c r="A1001" s="2" t="str">
        <f>HYPERLINK("https://vtmf.veevavault.com/ui/#doc_info/26106033/1/0", "42847922MDD3003---Other Written Information Give to Subjects-04 Apr 2024 (v1.0)")</f>
        <v>42847922MDD3003---Other Written Information Give to Subjects-04 Apr 2024 (v1.0)</v>
      </c>
      <c r="B1001" s="3" t="inlineStr">
        <is>
          <t>Central Trial Documents</t>
        </is>
      </c>
      <c r="C1001" s="3" t="inlineStr">
        <is>
          <t>Subject Documents</t>
        </is>
      </c>
      <c r="D1001" s="3" t="inlineStr">
        <is>
          <t>Other Information Given to Subjects</t>
        </is>
      </c>
      <c r="E1001" s="3" t="inlineStr">
        <is>
          <t>Participant Training Guide enUS_v1</t>
        </is>
      </c>
      <c r="F1001" s="2" t="str">
        <f>HYPERLINK("https://vtmf.veevavault.com/ui/#doc_info/26106033/1/0", "VTMF-20873524")</f>
        <v>VTMF-20873524</v>
      </c>
      <c r="G1001" s="3" t="inlineStr">
        <is>
          <t/>
        </is>
      </c>
      <c r="H1001" s="3" t="inlineStr">
        <is>
          <t>Anthony Suarez (veeva.com)</t>
        </is>
      </c>
      <c r="I1001" s="3" t="inlineStr">
        <is>
          <t>Stephanie Bachman</t>
        </is>
      </c>
      <c r="J1001" s="4" t="n">
        <v>45392.84521990741</v>
      </c>
      <c r="K1001" s="5" t="n">
        <v>45392.0</v>
      </c>
      <c r="L1001" s="5" t="n">
        <v>45386.0</v>
      </c>
      <c r="M1001" s="3" t="inlineStr">
        <is>
          <t>Approved</t>
        </is>
      </c>
      <c r="N1001" s="3" t="inlineStr">
        <is>
          <t>Available for Distribution, Study Start</t>
        </is>
      </c>
      <c r="O1001" s="3" t="inlineStr">
        <is>
          <t>42847922MDD3003</t>
        </is>
      </c>
    </row>
    <row r="1002">
      <c r="A1002" s="2" t="str">
        <f>HYPERLINK("https://vtmf.veevavault.com/ui/#doc_info/25876461/1/0", "42847922MDD3003---Other Written Information Give to Subjects-05 Mar 2024 (v1.0)")</f>
        <v>42847922MDD3003---Other Written Information Give to Subjects-05 Mar 2024 (v1.0)</v>
      </c>
      <c r="B1002" s="3" t="inlineStr">
        <is>
          <t>Central Trial Documents</t>
        </is>
      </c>
      <c r="C1002" s="3" t="inlineStr">
        <is>
          <t>Subject Documents</t>
        </is>
      </c>
      <c r="D1002" s="3" t="inlineStr">
        <is>
          <t>Other Information Given to Subjects</t>
        </is>
      </c>
      <c r="E1002" s="3" t="inlineStr">
        <is>
          <t>Appointment Reminder Card_ENG07_V1.0; 05Mar2024</t>
        </is>
      </c>
      <c r="F1002" s="2" t="str">
        <f>HYPERLINK("https://vtmf.veevavault.com/ui/#doc_info/25876461/1/0", "VTMF-20670264")</f>
        <v>VTMF-20670264</v>
      </c>
      <c r="G1002" s="3" t="inlineStr">
        <is>
          <t/>
        </is>
      </c>
      <c r="H1002" s="3" t="inlineStr">
        <is>
          <t>System</t>
        </is>
      </c>
      <c r="I1002" s="3" t="inlineStr">
        <is>
          <t>Nichol Esparza</t>
        </is>
      </c>
      <c r="J1002" s="4" t="n">
        <v>45359.061435185184</v>
      </c>
      <c r="K1002" s="5" t="n">
        <v>45367.0</v>
      </c>
      <c r="L1002" s="5" t="n">
        <v>45356.0</v>
      </c>
      <c r="M1002" s="3" t="inlineStr">
        <is>
          <t>Approved</t>
        </is>
      </c>
      <c r="N1002" s="3" t="inlineStr">
        <is>
          <t>Available for Distribution, Study Start</t>
        </is>
      </c>
      <c r="O1002" s="3" t="inlineStr">
        <is>
          <t>42847922MDD3003</t>
        </is>
      </c>
    </row>
    <row r="1003">
      <c r="A1003" s="2" t="str">
        <f>HYPERLINK("https://vtmf.veevavault.com/ui/#doc_info/26658174/2/0", "42847922MDD3003---Other Written Information Give to Subjects-07 Oct 2024 (v2.0)")</f>
        <v>42847922MDD3003---Other Written Information Give to Subjects-07 Oct 2024 (v2.0)</v>
      </c>
      <c r="B1003" s="3" t="inlineStr">
        <is>
          <t>Central Trial Documents</t>
        </is>
      </c>
      <c r="C1003" s="3" t="inlineStr">
        <is>
          <t>Subject Documents</t>
        </is>
      </c>
      <c r="D1003" s="3" t="inlineStr">
        <is>
          <t>Other Information Given to Subjects</t>
        </is>
      </c>
      <c r="E1003" s="3" t="inlineStr">
        <is>
          <t>Participant Resource Guide_ENG_V2.0</t>
        </is>
      </c>
      <c r="F1003" s="2" t="str">
        <f>HYPERLINK("https://vtmf.veevavault.com/ui/#doc_info/26658174/2/0", "VTMF-21355717")</f>
        <v>VTMF-21355717</v>
      </c>
      <c r="G1003" s="3" t="inlineStr">
        <is>
          <t/>
        </is>
      </c>
      <c r="H1003" s="3" t="inlineStr">
        <is>
          <t>Anthony Suarez (veeva.com)</t>
        </is>
      </c>
      <c r="I1003" s="3" t="inlineStr">
        <is>
          <t>Adam McKain</t>
        </is>
      </c>
      <c r="J1003" s="4" t="n">
        <v>45579.87181712963</v>
      </c>
      <c r="K1003" s="5" t="n">
        <v>45590.0</v>
      </c>
      <c r="L1003" s="5" t="n">
        <v>45572.0</v>
      </c>
      <c r="M1003" s="3" t="inlineStr">
        <is>
          <t>Approved</t>
        </is>
      </c>
      <c r="N1003" s="3" t="inlineStr">
        <is>
          <t>Available for Distribution, Study Start</t>
        </is>
      </c>
      <c r="O1003" s="3" t="inlineStr">
        <is>
          <t>42847922MDD3003</t>
        </is>
      </c>
    </row>
    <row r="1004">
      <c r="A1004" s="2" t="str">
        <f>HYPERLINK("https://vtmf.veevavault.com/ui/#doc_info/26658191/2/0", "42847922MDD3003---Other Written Information Give to Subjects-07 Oct 2024 (v2.0)")</f>
        <v>42847922MDD3003---Other Written Information Give to Subjects-07 Oct 2024 (v2.0)</v>
      </c>
      <c r="B1004" s="3" t="inlineStr">
        <is>
          <t>Central Trial Documents</t>
        </is>
      </c>
      <c r="C1004" s="3" t="inlineStr">
        <is>
          <t>Subject Documents</t>
        </is>
      </c>
      <c r="D1004" s="3" t="inlineStr">
        <is>
          <t>Other Information Given to Subjects</t>
        </is>
      </c>
      <c r="E1004" s="3" t="inlineStr">
        <is>
          <t>Participant Resource Guide Part 2_ENG_V1.0</t>
        </is>
      </c>
      <c r="F1004" s="2" t="str">
        <f>HYPERLINK("https://vtmf.veevavault.com/ui/#doc_info/26658191/2/0", "VTMF-21355728")</f>
        <v>VTMF-21355728</v>
      </c>
      <c r="G1004" s="3" t="inlineStr">
        <is>
          <t/>
        </is>
      </c>
      <c r="H1004" s="3" t="inlineStr">
        <is>
          <t>System</t>
        </is>
      </c>
      <c r="I1004" s="3" t="inlineStr">
        <is>
          <t>Adam McKain</t>
        </is>
      </c>
      <c r="J1004" s="4" t="n">
        <v>45579.873935185184</v>
      </c>
      <c r="K1004" s="5" t="n">
        <v>45590.0</v>
      </c>
      <c r="L1004" s="5" t="n">
        <v>45572.0</v>
      </c>
      <c r="M1004" s="3" t="inlineStr">
        <is>
          <t>Approved</t>
        </is>
      </c>
      <c r="N1004" s="3" t="inlineStr">
        <is>
          <t>Available for Distribution, Study Start</t>
        </is>
      </c>
      <c r="O1004" s="3" t="inlineStr">
        <is>
          <t>42847922MDD3003</t>
        </is>
      </c>
    </row>
    <row r="1005">
      <c r="A1005" s="2" t="str">
        <f>HYPERLINK("https://vtmf.veevavault.com/ui/#doc_info/24938876/1/0", "42847922MDD3003---Other Written Information Give to Subjects-09 Oct 2023 (v1.0)")</f>
        <v>42847922MDD3003---Other Written Information Give to Subjects-09 Oct 2023 (v1.0)</v>
      </c>
      <c r="B1005" s="3" t="inlineStr">
        <is>
          <t>Central Trial Documents</t>
        </is>
      </c>
      <c r="C1005" s="3" t="inlineStr">
        <is>
          <t>Subject Documents</t>
        </is>
      </c>
      <c r="D1005" s="3" t="inlineStr">
        <is>
          <t>Other Information Given to Subjects</t>
        </is>
      </c>
      <c r="E1005" s="3" t="inlineStr">
        <is>
          <t>Moto-G32_User_Guide</t>
        </is>
      </c>
      <c r="F1005" s="2" t="str">
        <f>HYPERLINK("https://vtmf.veevavault.com/ui/#doc_info/24938876/1/0", "VTMF-19847988")</f>
        <v>VTMF-19847988</v>
      </c>
      <c r="G1005" s="3" t="inlineStr">
        <is>
          <t/>
        </is>
      </c>
      <c r="H1005" s="3" t="inlineStr">
        <is>
          <t>Anthony Suarez (veeva.com)</t>
        </is>
      </c>
      <c r="I1005" s="3" t="inlineStr">
        <is>
          <t>Natallia Shved</t>
        </is>
      </c>
      <c r="J1005" s="4" t="n">
        <v>45208.674050925925</v>
      </c>
      <c r="K1005" s="5" t="n">
        <v>45209.0</v>
      </c>
      <c r="L1005" s="5" t="n">
        <v>45208.0</v>
      </c>
      <c r="M1005" s="3" t="inlineStr">
        <is>
          <t>Approved</t>
        </is>
      </c>
      <c r="N1005" s="3" t="inlineStr">
        <is>
          <t>Available for Distribution, Study Start</t>
        </is>
      </c>
      <c r="O1005" s="3" t="inlineStr">
        <is>
          <t>42847922MDD3003, 80202135FNAIT3001</t>
        </is>
      </c>
    </row>
    <row r="1006">
      <c r="A1006" s="2" t="str">
        <f>HYPERLINK("https://vtmf.veevavault.com/ui/#doc_info/26069726/1/0", "42847922MDD3003---Other Written Information Give to Subjects-16 Apr 2024 (v1.0)")</f>
        <v>42847922MDD3003---Other Written Information Give to Subjects-16 Apr 2024 (v1.0)</v>
      </c>
      <c r="B1006" s="3" t="inlineStr">
        <is>
          <t>Central Trial Documents</t>
        </is>
      </c>
      <c r="C1006" s="3" t="inlineStr">
        <is>
          <t>Subject Documents</t>
        </is>
      </c>
      <c r="D1006" s="3" t="inlineStr">
        <is>
          <t>Other Information Given to Subjects</t>
        </is>
      </c>
      <c r="E1006" s="3" t="inlineStr">
        <is>
          <t>MDD3003 OARS 7_Study Assistance Item_V1.0_16 April 2024</t>
        </is>
      </c>
      <c r="F1006" s="2" t="str">
        <f>HYPERLINK("https://vtmf.veevavault.com/ui/#doc_info/26069726/1/0", "VTMF-20841392")</f>
        <v>VTMF-20841392</v>
      </c>
      <c r="G1006" s="3" t="inlineStr">
        <is>
          <t/>
        </is>
      </c>
      <c r="H1006" s="3" t="inlineStr">
        <is>
          <t>System</t>
        </is>
      </c>
      <c r="I1006" s="3" t="inlineStr">
        <is>
          <t>Claudia Soi</t>
        </is>
      </c>
      <c r="J1006" s="4" t="n">
        <v>45398.793645833335</v>
      </c>
      <c r="K1006" s="5" t="n">
        <v>45401.0</v>
      </c>
      <c r="L1006" s="5" t="n">
        <v>45398.0</v>
      </c>
      <c r="M1006" s="3" t="inlineStr">
        <is>
          <t>Approved</t>
        </is>
      </c>
      <c r="N1006" s="3" t="inlineStr">
        <is>
          <t>Available for Distribution, Study Start</t>
        </is>
      </c>
      <c r="O1006" s="3" t="inlineStr">
        <is>
          <t>42847922MDD3003</t>
        </is>
      </c>
    </row>
    <row r="1007">
      <c r="A1007" s="2" t="str">
        <f>HYPERLINK("https://vtmf.veevavault.com/ui/#doc_info/25764067/1/0", "42847922MDD3003---Other Written Information Give to Subjects-21 Feb 2024 (v1.0)")</f>
        <v>42847922MDD3003---Other Written Information Give to Subjects-21 Feb 2024 (v1.0)</v>
      </c>
      <c r="B1007" s="3" t="inlineStr">
        <is>
          <t>Central Trial Documents</t>
        </is>
      </c>
      <c r="C1007" s="3" t="inlineStr">
        <is>
          <t>Subject Documents</t>
        </is>
      </c>
      <c r="D1007" s="3" t="inlineStr">
        <is>
          <t>Other Information Given to Subjects</t>
        </is>
      </c>
      <c r="E1007" s="3" t="inlineStr">
        <is>
          <t>42847922MDD3003 Cover Letter_Study Level_Greenphire ClinCard Travel Reference Guide for Subjects and ConneX USA Travel Contact Card Oct2016/ Jan2019</t>
        </is>
      </c>
      <c r="F1007" s="2" t="str">
        <f>HYPERLINK("https://vtmf.veevavault.com/ui/#doc_info/25764067/1/0", "VTMF-20571512")</f>
        <v>VTMF-20571512</v>
      </c>
      <c r="G1007" s="3" t="inlineStr">
        <is>
          <t/>
        </is>
      </c>
      <c r="H1007" s="3" t="inlineStr">
        <is>
          <t>System</t>
        </is>
      </c>
      <c r="I1007" s="3" t="inlineStr">
        <is>
          <t>Lori Cherrin</t>
        </is>
      </c>
      <c r="J1007" s="4" t="n">
        <v>45343.927094907405</v>
      </c>
      <c r="K1007" s="5" t="n">
        <v>45355.0</v>
      </c>
      <c r="L1007" s="5" t="n">
        <v>45343.0</v>
      </c>
      <c r="M1007" s="3" t="inlineStr">
        <is>
          <t>Approved</t>
        </is>
      </c>
      <c r="N1007" s="3" t="inlineStr">
        <is>
          <t>Available for Distribution, Study Start</t>
        </is>
      </c>
      <c r="O1007" s="3" t="inlineStr">
        <is>
          <t>42847922MDD3003</t>
        </is>
      </c>
    </row>
    <row r="1008">
      <c r="A1008" s="2" t="str">
        <f>HYPERLINK("https://vtmf.veevavault.com/ui/#doc_info/25764068/1/0", "42847922MDD3003---Other Written Information Give to Subjects-21 Feb 2024 (v1.0)")</f>
        <v>42847922MDD3003---Other Written Information Give to Subjects-21 Feb 2024 (v1.0)</v>
      </c>
      <c r="B1008" s="3" t="inlineStr">
        <is>
          <t>Central Trial Documents</t>
        </is>
      </c>
      <c r="C1008" s="3" t="inlineStr">
        <is>
          <t>Subject Documents</t>
        </is>
      </c>
      <c r="D1008" s="3" t="inlineStr">
        <is>
          <t>Other Information Given to Subjects</t>
        </is>
      </c>
      <c r="E1008" s="3" t="inlineStr">
        <is>
          <t>42847922MDD3003 Cover Letter_Study Level_Patient Stipend and Travel Information Sheet Aug2019</t>
        </is>
      </c>
      <c r="F1008" s="2" t="str">
        <f>HYPERLINK("https://vtmf.veevavault.com/ui/#doc_info/25764068/1/0", "VTMF-20571513")</f>
        <v>VTMF-20571513</v>
      </c>
      <c r="G1008" s="3" t="inlineStr">
        <is>
          <t/>
        </is>
      </c>
      <c r="H1008" s="3" t="inlineStr">
        <is>
          <t>System</t>
        </is>
      </c>
      <c r="I1008" s="3" t="inlineStr">
        <is>
          <t>Lori Cherrin</t>
        </is>
      </c>
      <c r="J1008" s="4" t="n">
        <v>45345.689375</v>
      </c>
      <c r="K1008" s="5" t="n">
        <v>45349.0</v>
      </c>
      <c r="L1008" s="5" t="n">
        <v>45343.0</v>
      </c>
      <c r="M1008" s="3" t="inlineStr">
        <is>
          <t>Approved</t>
        </is>
      </c>
      <c r="N1008" s="3" t="inlineStr">
        <is>
          <t>Available for Distribution, Study Start</t>
        </is>
      </c>
      <c r="O1008" s="3" t="inlineStr">
        <is>
          <t>42847922MDD3003</t>
        </is>
      </c>
    </row>
    <row r="1009">
      <c r="A1009" s="2" t="str">
        <f>HYPERLINK("https://vtmf.veevavault.com/ui/#doc_info/27749891/1/0", "42847922MDD3003---Other Written Information Give to Subjects-26 Nov 2024 (v1.0)")</f>
        <v>42847922MDD3003---Other Written Information Give to Subjects-26 Nov 2024 (v1.0)</v>
      </c>
      <c r="B1009" s="3" t="inlineStr">
        <is>
          <t>Central Trial Documents</t>
        </is>
      </c>
      <c r="C1009" s="3" t="inlineStr">
        <is>
          <t>Subject Documents</t>
        </is>
      </c>
      <c r="D1009" s="3" t="inlineStr">
        <is>
          <t>Other Information Given to Subjects</t>
        </is>
      </c>
      <c r="E1009" s="3" t="inlineStr">
        <is>
          <t>CTSdatabase - Subject Data Authorization Form_v1.0</t>
        </is>
      </c>
      <c r="F1009" s="2" t="str">
        <f>HYPERLINK("https://vtmf.veevavault.com/ui/#doc_info/27749891/1/0", "VTMF-22250851")</f>
        <v>VTMF-22250851</v>
      </c>
      <c r="G1009" s="3" t="inlineStr">
        <is>
          <t/>
        </is>
      </c>
      <c r="H1009" s="3" t="inlineStr">
        <is>
          <t>Anthony Suarez (veeva.com)</t>
        </is>
      </c>
      <c r="I1009" s="3" t="inlineStr">
        <is>
          <t>Katelyn Long</t>
        </is>
      </c>
      <c r="J1009" s="4" t="n">
        <v>45622.836863425924</v>
      </c>
      <c r="K1009" s="5" t="n">
        <v>45622.0</v>
      </c>
      <c r="L1009" s="5" t="n">
        <v>45622.0</v>
      </c>
      <c r="M1009" s="3" t="inlineStr">
        <is>
          <t>Approved</t>
        </is>
      </c>
      <c r="N1009" s="3" t="inlineStr">
        <is>
          <t>Available for Distribution, Study Start</t>
        </is>
      </c>
      <c r="O1009" s="3" t="inlineStr">
        <is>
          <t>42847922MDD3003, 67953964MDD3005, 67953964MDD3007</t>
        </is>
      </c>
    </row>
    <row r="1010">
      <c r="A1010" s="2" t="str">
        <f>HYPERLINK("https://vtmf.veevavault.com/ui/#doc_info/10311318/5/0", "42847922MDD3003---Protocol (v5.0)")</f>
        <v>42847922MDD3003---Protocol (v5.0)</v>
      </c>
      <c r="B1010" s="3" t="inlineStr">
        <is>
          <t>Central Trial Documents</t>
        </is>
      </c>
      <c r="C1010" s="3" t="inlineStr">
        <is>
          <t>Trial Documents</t>
        </is>
      </c>
      <c r="D1010" s="3" t="inlineStr">
        <is>
          <t>Protocol</t>
        </is>
      </c>
      <c r="E1010" s="3" t="inlineStr">
        <is>
          <t>42847922MDD3003_Protocol_Amend 2</t>
        </is>
      </c>
      <c r="F1010" s="2" t="str">
        <f>HYPERLINK("https://vtmf.veevavault.com/ui/#doc_info/10311318/5/0", "VTMF-6334140")</f>
        <v>VTMF-6334140</v>
      </c>
      <c r="G1010" s="3" t="inlineStr">
        <is>
          <t>RIMDOCS</t>
        </is>
      </c>
      <c r="H1010" s="3" t="inlineStr">
        <is>
          <t>System</t>
        </is>
      </c>
      <c r="I1010" s="3" t="inlineStr">
        <is>
          <t>Integration RIM Docs</t>
        </is>
      </c>
      <c r="J1010" s="4" t="n">
        <v>45547.72226851852</v>
      </c>
      <c r="K1010" s="5" t="n">
        <v>45547.0</v>
      </c>
      <c r="L1010" s="5" t="n">
        <v>45547.0</v>
      </c>
      <c r="M1010" s="3" t="inlineStr">
        <is>
          <t>Approved</t>
        </is>
      </c>
      <c r="N1010" s="3" t="inlineStr">
        <is>
          <t>Available for Distribution, Study Start</t>
        </is>
      </c>
      <c r="O1010" s="3" t="inlineStr">
        <is>
          <t>42847922MDD3003</t>
        </is>
      </c>
    </row>
    <row r="1011">
      <c r="A1011" s="2" t="str">
        <f>HYPERLINK("https://vtmf.veevavault.com/ui/#doc_info/26071714/1/0", "42847922MDD3003---Protocol (v1.0)")</f>
        <v>42847922MDD3003---Protocol (v1.0)</v>
      </c>
      <c r="B1011" s="3" t="inlineStr">
        <is>
          <t>Central Trial Documents</t>
        </is>
      </c>
      <c r="C1011" s="3" t="inlineStr">
        <is>
          <t>Trial Documents</t>
        </is>
      </c>
      <c r="D1011" s="3" t="inlineStr">
        <is>
          <t>Protocol</t>
        </is>
      </c>
      <c r="E1011" s="3" t="inlineStr">
        <is>
          <t>REDACTED_42847922MDD3003_Protocol_10149_1263822</t>
        </is>
      </c>
      <c r="F1011" s="2" t="str">
        <f>HYPERLINK("https://vtmf.veevavault.com/ui/#doc_info/26071714/1/0", "VTMF-20843076")</f>
        <v>VTMF-20843076</v>
      </c>
      <c r="G1011" s="3" t="inlineStr">
        <is>
          <t>RIMDOCS</t>
        </is>
      </c>
      <c r="H1011" s="3" t="inlineStr">
        <is>
          <t>System</t>
        </is>
      </c>
      <c r="I1011" s="3" t="inlineStr">
        <is>
          <t>Integration RIM Docs</t>
        </is>
      </c>
      <c r="J1011" s="4" t="n">
        <v>45387.538402777776</v>
      </c>
      <c r="K1011" s="5" t="n">
        <v>45387.0</v>
      </c>
      <c r="L1011" s="5" t="n">
        <v>45387.0</v>
      </c>
      <c r="M1011" s="3" t="inlineStr">
        <is>
          <t>Approved</t>
        </is>
      </c>
      <c r="N1011" s="3" t="inlineStr">
        <is>
          <t>Available for Distribution, Study Start</t>
        </is>
      </c>
      <c r="O1011" s="3" t="inlineStr">
        <is>
          <t>42847922MDD3003</t>
        </is>
      </c>
    </row>
    <row r="1012">
      <c r="A1012" s="2" t="str">
        <f>HYPERLINK("https://vtmf.veevavault.com/ui/#doc_info/26432721/1/0", "42847922MDD3003---Protocol (v1.0)")</f>
        <v>42847922MDD3003---Protocol (v1.0)</v>
      </c>
      <c r="B1012" s="3" t="inlineStr">
        <is>
          <t>Central Trial Documents</t>
        </is>
      </c>
      <c r="C1012" s="3" t="inlineStr">
        <is>
          <t>Trial Documents</t>
        </is>
      </c>
      <c r="D1012" s="3" t="inlineStr">
        <is>
          <t>Protocol</t>
        </is>
      </c>
      <c r="E1012" s="3" t="inlineStr">
        <is>
          <t>Tracked - Protocol 42847922MDD3003</t>
        </is>
      </c>
      <c r="F1012" s="2" t="str">
        <f>HYPERLINK("https://vtmf.veevavault.com/ui/#doc_info/26432721/1/0", "VTMF-21157563")</f>
        <v>VTMF-21157563</v>
      </c>
      <c r="G1012" s="3" t="inlineStr">
        <is>
          <t>RIMDOCS</t>
        </is>
      </c>
      <c r="H1012" s="3" t="inlineStr">
        <is>
          <t>System</t>
        </is>
      </c>
      <c r="I1012" s="3" t="inlineStr">
        <is>
          <t>Integration RIM Docs</t>
        </is>
      </c>
      <c r="J1012" s="4" t="n">
        <v>45443.705092592594</v>
      </c>
      <c r="K1012" s="5" t="n">
        <v>45443.0</v>
      </c>
      <c r="L1012" s="5" t="n">
        <v>45443.0</v>
      </c>
      <c r="M1012" s="3" t="inlineStr">
        <is>
          <t>Approved</t>
        </is>
      </c>
      <c r="N1012" s="3" t="inlineStr">
        <is>
          <t>Available for Distribution, Study Start</t>
        </is>
      </c>
      <c r="O1012" s="3" t="inlineStr">
        <is>
          <t>42847922MDD3003</t>
        </is>
      </c>
    </row>
    <row r="1013">
      <c r="A1013" s="2" t="str">
        <f>HYPERLINK("https://vtmf.veevavault.com/ui/#doc_info/26640765/1/0", "42847922MDD3003---Protocol (v1.0)")</f>
        <v>42847922MDD3003---Protocol (v1.0)</v>
      </c>
      <c r="B1013" s="3" t="inlineStr">
        <is>
          <t>Central Trial Documents</t>
        </is>
      </c>
      <c r="C1013" s="3" t="inlineStr">
        <is>
          <t>Trial Documents</t>
        </is>
      </c>
      <c r="D1013" s="3" t="inlineStr">
        <is>
          <t>Protocol</t>
        </is>
      </c>
      <c r="E1013" s="3" t="inlineStr">
        <is>
          <t>REDACTED_42847922MDD3003_Protocol_Amend 1_1342946</t>
        </is>
      </c>
      <c r="F1013" s="2" t="str">
        <f>HYPERLINK("https://vtmf.veevavault.com/ui/#doc_info/26640765/1/0", "VTMF-21341035")</f>
        <v>VTMF-21341035</v>
      </c>
      <c r="G1013" s="3" t="inlineStr">
        <is>
          <t>RIMDOCS</t>
        </is>
      </c>
      <c r="H1013" s="3" t="inlineStr">
        <is>
          <t>System</t>
        </is>
      </c>
      <c r="I1013" s="3" t="inlineStr">
        <is>
          <t>Integration RIM Docs</t>
        </is>
      </c>
      <c r="J1013" s="4" t="n">
        <v>45476.430613425924</v>
      </c>
      <c r="K1013" s="5" t="n">
        <v>45476.0</v>
      </c>
      <c r="L1013" s="5" t="n">
        <v>45476.0</v>
      </c>
      <c r="M1013" s="3" t="inlineStr">
        <is>
          <t>Approved</t>
        </is>
      </c>
      <c r="N1013" s="3" t="inlineStr">
        <is>
          <t>Available for Distribution, Study Start</t>
        </is>
      </c>
      <c r="O1013" s="3" t="inlineStr">
        <is>
          <t>42847922MDD3003</t>
        </is>
      </c>
    </row>
    <row r="1014">
      <c r="A1014" s="2" t="str">
        <f>HYPERLINK("https://vtmf.veevavault.com/ui/#doc_info/27066713/1/0", "42847922MDD3003---Protocol (v1.0)")</f>
        <v>42847922MDD3003---Protocol (v1.0)</v>
      </c>
      <c r="B1014" s="3" t="inlineStr">
        <is>
          <t>Central Trial Documents</t>
        </is>
      </c>
      <c r="C1014" s="3" t="inlineStr">
        <is>
          <t>Trial Documents</t>
        </is>
      </c>
      <c r="D1014" s="3" t="inlineStr">
        <is>
          <t>Protocol</t>
        </is>
      </c>
      <c r="E1014" s="3" t="inlineStr">
        <is>
          <t>Protocol-Amend 1 versus Amend 2_Track Changes-42847922MDD3003-1420722</t>
        </is>
      </c>
      <c r="F1014" s="2" t="str">
        <f>HYPERLINK("https://vtmf.veevavault.com/ui/#doc_info/27066713/1/0", "VTMF-21696082")</f>
        <v>VTMF-21696082</v>
      </c>
      <c r="G1014" s="3" t="inlineStr">
        <is>
          <t>RIMDOCS</t>
        </is>
      </c>
      <c r="H1014" s="3" t="inlineStr">
        <is>
          <t>System</t>
        </is>
      </c>
      <c r="I1014" s="3" t="inlineStr">
        <is>
          <t>Integration RIM Docs</t>
        </is>
      </c>
      <c r="J1014" s="4" t="n">
        <v>45547.76740740741</v>
      </c>
      <c r="K1014" s="5" t="n">
        <v>45547.0</v>
      </c>
      <c r="L1014" s="5" t="n">
        <v>45547.0</v>
      </c>
      <c r="M1014" s="3" t="inlineStr">
        <is>
          <t>Approved</t>
        </is>
      </c>
      <c r="N1014" s="3" t="inlineStr">
        <is>
          <t>Available for Distribution, Study Start</t>
        </is>
      </c>
      <c r="O1014" s="3" t="inlineStr">
        <is>
          <t>42847922MDD3003</t>
        </is>
      </c>
    </row>
    <row r="1015">
      <c r="A1015" s="2" t="str">
        <f>HYPERLINK("https://vtmf.veevavault.com/ui/#doc_info/27155713/2/0", "42847922MDD3003---Protocol (v2.0)")</f>
        <v>42847922MDD3003---Protocol (v2.0)</v>
      </c>
      <c r="B1015" s="3" t="inlineStr">
        <is>
          <t>Central Trial Documents</t>
        </is>
      </c>
      <c r="C1015" s="3" t="inlineStr">
        <is>
          <t>Trial Documents</t>
        </is>
      </c>
      <c r="D1015" s="3" t="inlineStr">
        <is>
          <t>Protocol</t>
        </is>
      </c>
      <c r="E1015" s="3" t="inlineStr">
        <is>
          <t>REDACTED_42847922MDD3003_Protocol_Amend 2_1421807</t>
        </is>
      </c>
      <c r="F1015" s="2" t="str">
        <f>HYPERLINK("https://vtmf.veevavault.com/ui/#doc_info/27155713/2/0", "VTMF-21771677")</f>
        <v>VTMF-21771677</v>
      </c>
      <c r="G1015" s="3" t="inlineStr">
        <is>
          <t>RIMDOCS</t>
        </is>
      </c>
      <c r="H1015" s="3" t="inlineStr">
        <is>
          <t>System</t>
        </is>
      </c>
      <c r="I1015" s="3" t="inlineStr">
        <is>
          <t>Integration RIM Docs</t>
        </is>
      </c>
      <c r="J1015" s="4" t="n">
        <v>45567.76394675926</v>
      </c>
      <c r="K1015" s="5" t="n">
        <v>45567.0</v>
      </c>
      <c r="L1015" s="5" t="n">
        <v>45567.0</v>
      </c>
      <c r="M1015" s="3" t="inlineStr">
        <is>
          <t>Approved</t>
        </is>
      </c>
      <c r="N1015" s="3" t="inlineStr">
        <is>
          <t>Available for Distribution, Study Start</t>
        </is>
      </c>
      <c r="O1015" s="3" t="inlineStr">
        <is>
          <t>42847922MDD3003</t>
        </is>
      </c>
    </row>
    <row r="1016">
      <c r="A1016" s="2" t="str">
        <f>HYPERLINK("https://vtmf.veevavault.com/ui/#doc_info/28242360/2/0", "42847922MDD3003---Protocol (v2.0)")</f>
        <v>42847922MDD3003---Protocol (v2.0)</v>
      </c>
      <c r="B1016" s="3" t="inlineStr">
        <is>
          <t>Central Trial Documents</t>
        </is>
      </c>
      <c r="C1016" s="3" t="inlineStr">
        <is>
          <t>Trial Documents</t>
        </is>
      </c>
      <c r="D1016" s="3" t="inlineStr">
        <is>
          <t>Protocol</t>
        </is>
      </c>
      <c r="E1016" s="3" t="inlineStr">
        <is>
          <t>Protocol-Amend 2-EU-2-42847922MDD3003-1524294</t>
        </is>
      </c>
      <c r="F1016" s="2" t="str">
        <f>HYPERLINK("https://vtmf.veevavault.com/ui/#doc_info/28242360/2/0", "VTMF-22652731")</f>
        <v>VTMF-22652731</v>
      </c>
      <c r="G1016" s="3" t="inlineStr">
        <is>
          <t>RIMDOCS</t>
        </is>
      </c>
      <c r="H1016" s="3" t="inlineStr">
        <is>
          <t>System</t>
        </is>
      </c>
      <c r="I1016" s="3" t="inlineStr">
        <is>
          <t>Integration RIM Docs</t>
        </is>
      </c>
      <c r="J1016" s="4" t="n">
        <v>45733.597291666665</v>
      </c>
      <c r="K1016" s="5" t="n">
        <v>45733.0</v>
      </c>
      <c r="L1016" s="5" t="n">
        <v>45733.0</v>
      </c>
      <c r="M1016" s="3" t="inlineStr">
        <is>
          <t>Approved</t>
        </is>
      </c>
      <c r="N1016" s="3" t="inlineStr">
        <is>
          <t>Available for Distribution, Study Start</t>
        </is>
      </c>
      <c r="O1016" s="3" t="inlineStr">
        <is>
          <t>42847922MDD3003</t>
        </is>
      </c>
    </row>
    <row r="1017">
      <c r="A1017" s="2" t="str">
        <f>HYPERLINK("https://vtmf.veevavault.com/ui/#doc_info/28243436/1/0", "42847922MDD3003---Protocol (v1.0)")</f>
        <v>42847922MDD3003---Protocol (v1.0)</v>
      </c>
      <c r="B1017" s="3" t="inlineStr">
        <is>
          <t>Central Trial Documents</t>
        </is>
      </c>
      <c r="C1017" s="3" t="inlineStr">
        <is>
          <t>Trial Documents</t>
        </is>
      </c>
      <c r="D1017" s="3" t="inlineStr">
        <is>
          <t>Protocol</t>
        </is>
      </c>
      <c r="E1017" s="3" t="inlineStr">
        <is>
          <t>Protocol-Amend 2 vs Amend 2_EU_Track Changes-42847922MDD3003-1534226</t>
        </is>
      </c>
      <c r="F1017" s="2" t="str">
        <f>HYPERLINK("https://vtmf.veevavault.com/ui/#doc_info/28243436/1/0", "VTMF-22653478")</f>
        <v>VTMF-22653478</v>
      </c>
      <c r="G1017" s="3" t="inlineStr">
        <is>
          <t>RIMDOCS</t>
        </is>
      </c>
      <c r="H1017" s="3" t="inlineStr">
        <is>
          <t>System</t>
        </is>
      </c>
      <c r="I1017" s="3" t="inlineStr">
        <is>
          <t>Integration RIM Docs</t>
        </is>
      </c>
      <c r="J1017" s="4" t="n">
        <v>45694.63548611111</v>
      </c>
      <c r="K1017" s="5" t="n">
        <v>45694.0</v>
      </c>
      <c r="L1017" s="5" t="n">
        <v>45694.0</v>
      </c>
      <c r="M1017" s="3" t="inlineStr">
        <is>
          <t>Approved</t>
        </is>
      </c>
      <c r="N1017" s="3" t="inlineStr">
        <is>
          <t>Available for Distribution, Study Start</t>
        </is>
      </c>
      <c r="O1017" s="3" t="inlineStr">
        <is>
          <t>42847922MDD3003</t>
        </is>
      </c>
    </row>
    <row r="1018">
      <c r="A1018" s="2" t="str">
        <f>HYPERLINK("https://vtmf.veevavault.com/ui/#doc_info/28255342/1/0", "42847922MDD3003---Protocol (v1.0)")</f>
        <v>42847922MDD3003---Protocol (v1.0)</v>
      </c>
      <c r="B1018" s="3" t="inlineStr">
        <is>
          <t>Central Trial Documents</t>
        </is>
      </c>
      <c r="C1018" s="3" t="inlineStr">
        <is>
          <t>Trial Documents</t>
        </is>
      </c>
      <c r="D1018" s="3" t="inlineStr">
        <is>
          <t>Protocol</t>
        </is>
      </c>
      <c r="E1018" s="3" t="inlineStr">
        <is>
          <t>REDACTED_Protocol-Amend 2-EU-1-42847922MDD3003-1524294_1534391</t>
        </is>
      </c>
      <c r="F1018" s="2" t="str">
        <f>HYPERLINK("https://vtmf.veevavault.com/ui/#doc_info/28255342/1/0", "VTMF-22663846")</f>
        <v>VTMF-22663846</v>
      </c>
      <c r="G1018" s="3" t="inlineStr">
        <is>
          <t>RIMDOCS</t>
        </is>
      </c>
      <c r="H1018" s="3" t="inlineStr">
        <is>
          <t>System</t>
        </is>
      </c>
      <c r="I1018" s="3" t="inlineStr">
        <is>
          <t>Integration RIM Docs</t>
        </is>
      </c>
      <c r="J1018" s="4" t="n">
        <v>45695.889085648145</v>
      </c>
      <c r="K1018" s="5" t="n">
        <v>45695.0</v>
      </c>
      <c r="L1018" s="5" t="n">
        <v>45695.0</v>
      </c>
      <c r="M1018" s="3" t="inlineStr">
        <is>
          <t>Approved</t>
        </is>
      </c>
      <c r="N1018" s="3" t="inlineStr">
        <is>
          <t>Available for Distribution, Study Start</t>
        </is>
      </c>
      <c r="O1018" s="3" t="inlineStr">
        <is>
          <t>42847922MDD3003</t>
        </is>
      </c>
    </row>
    <row r="1019">
      <c r="A1019" s="2" t="str">
        <f>HYPERLINK("https://vtmf.veevavault.com/ui/#doc_info/28683713/1/0", "42847922MDD3003---Protocol (v1.0)")</f>
        <v>42847922MDD3003---Protocol (v1.0)</v>
      </c>
      <c r="B1019" s="3" t="inlineStr">
        <is>
          <t>Central Trial Documents</t>
        </is>
      </c>
      <c r="C1019" s="3" t="inlineStr">
        <is>
          <t>Trial Documents</t>
        </is>
      </c>
      <c r="D1019" s="3" t="inlineStr">
        <is>
          <t>Protocol</t>
        </is>
      </c>
      <c r="E1019" s="3" t="inlineStr">
        <is>
          <t>Protocol-Amend 2-EU-2_Track Changes-42847922MDD3003-1567654</t>
        </is>
      </c>
      <c r="F1019" s="2" t="str">
        <f>HYPERLINK("https://vtmf.veevavault.com/ui/#doc_info/28683713/1/0", "VTMF-23040444")</f>
        <v>VTMF-23040444</v>
      </c>
      <c r="G1019" s="3" t="inlineStr">
        <is>
          <t>RIMDOCS</t>
        </is>
      </c>
      <c r="H1019" s="3" t="inlineStr">
        <is>
          <t>Jasmine James</t>
        </is>
      </c>
      <c r="I1019" s="3" t="inlineStr">
        <is>
          <t>Integration RIM Docs</t>
        </is>
      </c>
      <c r="J1019" s="4" t="n">
        <v>45733.642430555556</v>
      </c>
      <c r="K1019" s="5" t="n">
        <v>45733.0</v>
      </c>
      <c r="L1019" s="5" t="n">
        <v>45733.0</v>
      </c>
      <c r="M1019" s="3" t="inlineStr">
        <is>
          <t>Approved</t>
        </is>
      </c>
      <c r="N1019" s="3" t="inlineStr">
        <is>
          <t>Available for Distribution, Study Start</t>
        </is>
      </c>
      <c r="O1019" s="3" t="inlineStr">
        <is>
          <t>42847922MDD3003</t>
        </is>
      </c>
    </row>
    <row r="1020">
      <c r="A1020" s="2" t="str">
        <f>HYPERLINK("https://vtmf.veevavault.com/ui/#doc_info/28748609/1/0", "42847922MDD3003---Protocol (v1.0)")</f>
        <v>42847922MDD3003---Protocol (v1.0)</v>
      </c>
      <c r="B1020" s="3" t="inlineStr">
        <is>
          <t>Central Trial Documents</t>
        </is>
      </c>
      <c r="C1020" s="3" t="inlineStr">
        <is>
          <t>Trial Documents</t>
        </is>
      </c>
      <c r="D1020" s="3" t="inlineStr">
        <is>
          <t>Protocol</t>
        </is>
      </c>
      <c r="E1020" s="3" t="inlineStr">
        <is>
          <t>REDACTED_Protocol-Amend 2-EU-2-42847922MDD3003-1524294_1567829</t>
        </is>
      </c>
      <c r="F1020" s="2" t="str">
        <f>HYPERLINK("https://vtmf.veevavault.com/ui/#doc_info/28748609/1/0", "VTMF-23096703")</f>
        <v>VTMF-23096703</v>
      </c>
      <c r="G1020" s="3" t="inlineStr">
        <is>
          <t>RIMDOCS</t>
        </is>
      </c>
      <c r="H1020" s="3" t="inlineStr">
        <is>
          <t>Jasmine James</t>
        </is>
      </c>
      <c r="I1020" s="3" t="inlineStr">
        <is>
          <t>Integration RIM Docs</t>
        </is>
      </c>
      <c r="J1020" s="4" t="n">
        <v>45742.71880787037</v>
      </c>
      <c r="K1020" s="5" t="n">
        <v>45742.0</v>
      </c>
      <c r="L1020" s="5" t="n">
        <v>45742.0</v>
      </c>
      <c r="M1020" s="3" t="inlineStr">
        <is>
          <t>Approved</t>
        </is>
      </c>
      <c r="N1020" s="3" t="inlineStr">
        <is>
          <t>Available for Distribution, Study Start</t>
        </is>
      </c>
      <c r="O1020" s="3" t="inlineStr">
        <is>
          <t>42847922MDD3003</t>
        </is>
      </c>
    </row>
    <row r="1021">
      <c r="A1021" s="2" t="str">
        <f>HYPERLINK("https://vtmf.veevavault.com/ui/#doc_info/29146196/2/0", "42847922MDD3003---Protocol (v2.0)")</f>
        <v>42847922MDD3003---Protocol (v2.0)</v>
      </c>
      <c r="B1021" s="3" t="inlineStr">
        <is>
          <t>Central Trial Documents</t>
        </is>
      </c>
      <c r="C1021" s="3" t="inlineStr">
        <is>
          <t>Trial Documents</t>
        </is>
      </c>
      <c r="D1021" s="3" t="inlineStr">
        <is>
          <t>Protocol</t>
        </is>
      </c>
      <c r="E1021" s="3" t="inlineStr">
        <is>
          <t>42847922MDD3003_Protocol Clarification Communication_TV-eFRM-10938_v4.0_final</t>
        </is>
      </c>
      <c r="F1021" s="2" t="str">
        <f>HYPERLINK("https://vtmf.veevavault.com/ui/#doc_info/29146196/2/0", "VTMF-23423327")</f>
        <v>VTMF-23423327</v>
      </c>
      <c r="G1021" s="3" t="inlineStr">
        <is>
          <t/>
        </is>
      </c>
      <c r="H1021" s="3" t="inlineStr">
        <is>
          <t>Gina Stefanelli</t>
        </is>
      </c>
      <c r="I1021" s="3" t="inlineStr">
        <is>
          <t>Gina Stefanelli</t>
        </is>
      </c>
      <c r="J1021" s="4" t="n">
        <v>45811.785891203705</v>
      </c>
      <c r="K1021" s="5" t="n">
        <v>45811.0</v>
      </c>
      <c r="L1021" s="5" t="n">
        <v>45777.0</v>
      </c>
      <c r="M1021" s="3" t="inlineStr">
        <is>
          <t>Approved</t>
        </is>
      </c>
      <c r="N1021" s="3" t="inlineStr">
        <is>
          <t>Available for Distribution, Study Start</t>
        </is>
      </c>
      <c r="O1021" s="3" t="inlineStr">
        <is>
          <t>42847922MDD3003</t>
        </is>
      </c>
    </row>
    <row r="1022">
      <c r="A1022" s="2" t="str">
        <f>HYPERLINK("https://vtmf.veevavault.com/ui/#doc_info/29343039/1/0", "42847922MDD3003---Protocol (v1.0)")</f>
        <v>42847922MDD3003---Protocol (v1.0)</v>
      </c>
      <c r="B1022" s="3" t="inlineStr">
        <is>
          <t>Central Trial Documents</t>
        </is>
      </c>
      <c r="C1022" s="3" t="inlineStr">
        <is>
          <t>Trial Documents</t>
        </is>
      </c>
      <c r="D1022" s="3" t="inlineStr">
        <is>
          <t>Protocol</t>
        </is>
      </c>
      <c r="E1022" s="3" t="inlineStr">
        <is>
          <t>42847922MDD3003_Protocol Clarification Communication_Dreem_TV-eFRM-10938_v4.0__June2025_FINAL.</t>
        </is>
      </c>
      <c r="F1022" s="2" t="str">
        <f>HYPERLINK("https://vtmf.veevavault.com/ui/#doc_info/29343039/1/0", "VTMF-23588192")</f>
        <v>VTMF-23588192</v>
      </c>
      <c r="G1022" s="3" t="inlineStr">
        <is>
          <t/>
        </is>
      </c>
      <c r="H1022" s="3" t="inlineStr">
        <is>
          <t>System</t>
        </is>
      </c>
      <c r="I1022" s="3" t="inlineStr">
        <is>
          <t>Gina Stefanelli</t>
        </is>
      </c>
      <c r="J1022" s="4" t="n">
        <v>45820.67357638889</v>
      </c>
      <c r="K1022" s="5" t="n">
        <v>45820.0</v>
      </c>
      <c r="L1022" s="5" t="n">
        <v>45819.0</v>
      </c>
      <c r="M1022" s="3" t="inlineStr">
        <is>
          <t>Approved</t>
        </is>
      </c>
      <c r="N1022" s="3" t="inlineStr">
        <is>
          <t>Available for Distribution, Study Start</t>
        </is>
      </c>
      <c r="O1022" s="3" t="inlineStr">
        <is>
          <t>42847922MDD3003</t>
        </is>
      </c>
    </row>
    <row r="1023">
      <c r="A1023" s="2" t="str">
        <f>HYPERLINK("https://vtmf.veevavault.com/ui/#doc_info/29806263/1/0", "42847922MDD3003---Protocol (v1.0)")</f>
        <v>42847922MDD3003---Protocol (v1.0)</v>
      </c>
      <c r="B1023" s="3" t="inlineStr">
        <is>
          <t>Central Trial Documents</t>
        </is>
      </c>
      <c r="C1023" s="3" t="inlineStr">
        <is>
          <t>Trial Documents</t>
        </is>
      </c>
      <c r="D1023" s="3" t="inlineStr">
        <is>
          <t>Protocol</t>
        </is>
      </c>
      <c r="E1023" s="3" t="inlineStr">
        <is>
          <t>42847922MDD3003_Protocol Clarification Communication_CSD_TV-eFRM-10938_v4.0_final</t>
        </is>
      </c>
      <c r="F1023" s="2" t="str">
        <f>HYPERLINK("https://vtmf.veevavault.com/ui/#doc_info/29806263/1/0", "VTMF-23986991")</f>
        <v>VTMF-23986991</v>
      </c>
      <c r="G1023" s="3" t="inlineStr">
        <is>
          <t/>
        </is>
      </c>
      <c r="H1023" s="3" t="inlineStr">
        <is>
          <t>System</t>
        </is>
      </c>
      <c r="I1023" s="3" t="inlineStr">
        <is>
          <t>Debhora Garcia</t>
        </is>
      </c>
      <c r="J1023" s="4" t="n">
        <v>45890.888449074075</v>
      </c>
      <c r="K1023" s="5" t="n">
        <v>45891.0</v>
      </c>
      <c r="L1023" s="5" t="n">
        <v>45880.0</v>
      </c>
      <c r="M1023" s="3" t="inlineStr">
        <is>
          <t>Approved</t>
        </is>
      </c>
      <c r="N1023" s="3" t="inlineStr">
        <is>
          <t>Available for Distribution, Study Start</t>
        </is>
      </c>
      <c r="O1023" s="3" t="inlineStr">
        <is>
          <t>42847922MDD3003</t>
        </is>
      </c>
    </row>
    <row r="1024">
      <c r="A1024" s="2" t="str">
        <f>HYPERLINK("https://vtmf.veevavault.com/ui/#doc_info/29970197/1/0", "42847922MDD3003---Protocol (v1.0)")</f>
        <v>42847922MDD3003---Protocol (v1.0)</v>
      </c>
      <c r="B1024" s="3" t="inlineStr">
        <is>
          <t>Central Trial Documents</t>
        </is>
      </c>
      <c r="C1024" s="3" t="inlineStr">
        <is>
          <t>Trial Documents</t>
        </is>
      </c>
      <c r="D1024" s="3" t="inlineStr">
        <is>
          <t>Protocol</t>
        </is>
      </c>
      <c r="E1024" s="3" t="inlineStr">
        <is>
          <t>Protocol Clarification Communication_relapse criteria_TV-eFRM-10938_v4.0_clean_September2025</t>
        </is>
      </c>
      <c r="F1024" s="2" t="str">
        <f>HYPERLINK("https://vtmf.veevavault.com/ui/#doc_info/29970197/1/0", "VTMF-24127620")</f>
        <v>VTMF-24127620</v>
      </c>
      <c r="G1024" s="3" t="inlineStr">
        <is>
          <t/>
        </is>
      </c>
      <c r="H1024" s="3" t="inlineStr">
        <is>
          <t>System</t>
        </is>
      </c>
      <c r="I1024" s="3" t="inlineStr">
        <is>
          <t>Gina Stefanelli</t>
        </is>
      </c>
      <c r="J1024" s="4" t="n">
        <v>45917.741435185184</v>
      </c>
      <c r="K1024" s="5" t="n">
        <v>45918.0</v>
      </c>
      <c r="L1024" s="5" t="n">
        <v>45917.0</v>
      </c>
      <c r="M1024" s="3" t="inlineStr">
        <is>
          <t>Approved</t>
        </is>
      </c>
      <c r="N1024" s="3" t="inlineStr">
        <is>
          <t>Available for Distribution, Study Start</t>
        </is>
      </c>
      <c r="O1024" s="3" t="inlineStr">
        <is>
          <t>42847922MDD3003</t>
        </is>
      </c>
    </row>
    <row r="1025">
      <c r="A1025" s="2" t="str">
        <f>HYPERLINK("https://vtmf.veevavault.com/ui/#doc_info/31195588/1/0", "42847922MDD3003---Protocol (v1.0)")</f>
        <v>42847922MDD3003---Protocol (v1.0)</v>
      </c>
      <c r="B1025" s="3" t="inlineStr">
        <is>
          <t>Central Trial Documents</t>
        </is>
      </c>
      <c r="C1025" s="3" t="inlineStr">
        <is>
          <t>Trial Documents</t>
        </is>
      </c>
      <c r="D1025" s="3" t="inlineStr">
        <is>
          <t>Protocol</t>
        </is>
      </c>
      <c r="E1025" s="3" t="inlineStr">
        <is>
          <t>Protocol Clarification Communication_assessment clarity_TV-eFRM-10938_v4.0</t>
        </is>
      </c>
      <c r="F1025" s="2" t="str">
        <f>HYPERLINK("https://vtmf.veevavault.com/ui/#doc_info/31195588/1/0", "VTMF-25154342")</f>
        <v>VTMF-25154342</v>
      </c>
      <c r="G1025" s="3" t="inlineStr">
        <is>
          <t/>
        </is>
      </c>
      <c r="H1025" s="3" t="inlineStr">
        <is>
          <t>System</t>
        </is>
      </c>
      <c r="I1025" s="3" t="inlineStr">
        <is>
          <t>Gina Stefanelli</t>
        </is>
      </c>
      <c r="J1025" s="4" t="n">
        <v>46098.53313657407</v>
      </c>
      <c r="K1025" s="5" t="n">
        <v>46100.0</v>
      </c>
      <c r="L1025" s="5" t="n">
        <v>46097.0</v>
      </c>
      <c r="M1025" s="3" t="inlineStr">
        <is>
          <t>Approved</t>
        </is>
      </c>
      <c r="N1025" s="3" t="inlineStr">
        <is>
          <t>Available for Distribution, Study Start</t>
        </is>
      </c>
      <c r="O1025" s="3" t="inlineStr">
        <is>
          <t>42847922MDD3003</t>
        </is>
      </c>
    </row>
    <row r="1026">
      <c r="A1026" s="2" t="str">
        <f>HYPERLINK("https://vtmf.veevavault.com/ui/#doc_info/31480990/1/0", "42847922MDD3003---Protocol (v1.0)")</f>
        <v>42847922MDD3003---Protocol (v1.0)</v>
      </c>
      <c r="B1026" s="3" t="inlineStr">
        <is>
          <t>Central Trial Documents</t>
        </is>
      </c>
      <c r="C1026" s="3" t="inlineStr">
        <is>
          <t>Trial Documents</t>
        </is>
      </c>
      <c r="D1026" s="3" t="inlineStr">
        <is>
          <t>Protocol</t>
        </is>
      </c>
      <c r="E1026" s="3" t="inlineStr">
        <is>
          <t>Protocol Clarification Communication_background ADT compliance_TV-eFRM-10938_v4.0</t>
        </is>
      </c>
      <c r="F1026" s="2" t="str">
        <f>HYPERLINK("https://vtmf.veevavault.com/ui/#doc_info/31480990/1/0", "VTMF-25403385")</f>
        <v>VTMF-25403385</v>
      </c>
      <c r="G1026" s="3" t="inlineStr">
        <is>
          <t/>
        </is>
      </c>
      <c r="H1026" s="3" t="inlineStr">
        <is>
          <t>System</t>
        </is>
      </c>
      <c r="I1026" s="3" t="inlineStr">
        <is>
          <t>Debhora Garcia</t>
        </is>
      </c>
      <c r="J1026" s="4" t="n">
        <v>46129.8003125</v>
      </c>
      <c r="K1026" s="5" t="n">
        <v>46132.0</v>
      </c>
      <c r="L1026" s="5" t="n">
        <v>46142.0</v>
      </c>
      <c r="M1026" s="3" t="inlineStr">
        <is>
          <t>Approved</t>
        </is>
      </c>
      <c r="N1026" s="3" t="inlineStr">
        <is>
          <t>Available for Distribution, Study Start</t>
        </is>
      </c>
      <c r="O1026" s="3" t="inlineStr">
        <is>
          <t>42847922MDD3003</t>
        </is>
      </c>
    </row>
    <row r="1027">
      <c r="A1027" s="2" t="str">
        <f>HYPERLINK("https://vtmf.veevavault.com/ui/#doc_info/31486932/1/0", "42847922MDD3003---Protocol (v1.0)")</f>
        <v>42847922MDD3003---Protocol (v1.0)</v>
      </c>
      <c r="B1027" s="3" t="inlineStr">
        <is>
          <t>Central Trial Documents</t>
        </is>
      </c>
      <c r="C1027" s="3" t="inlineStr">
        <is>
          <t>Trial Documents</t>
        </is>
      </c>
      <c r="D1027" s="3" t="inlineStr">
        <is>
          <t>Protocol</t>
        </is>
      </c>
      <c r="E1027" s="3" t="inlineStr">
        <is>
          <t>42847922MDD3003_Protocol_Amend 2_translation_zh-Hans</t>
        </is>
      </c>
      <c r="F1027" s="2" t="str">
        <f>HYPERLINK("https://vtmf.veevavault.com/ui/#doc_info/31486932/1/0", "VTMF-25408100")</f>
        <v>VTMF-25408100</v>
      </c>
      <c r="G1027" s="3" t="inlineStr">
        <is>
          <t>RIMDOCS</t>
        </is>
      </c>
      <c r="H1027" s="3" t="inlineStr">
        <is>
          <t>Integration RIM Docs</t>
        </is>
      </c>
      <c r="I1027" s="3" t="inlineStr">
        <is>
          <t>Integration RIM Docs</t>
        </is>
      </c>
      <c r="J1027" s="4" t="n">
        <v>46132.22922453703</v>
      </c>
      <c r="K1027" s="5" t="n">
        <v>46131.0</v>
      </c>
      <c r="L1027" s="5" t="n">
        <v>46131.0</v>
      </c>
      <c r="M1027" s="3" t="inlineStr">
        <is>
          <t>Approved</t>
        </is>
      </c>
      <c r="N1027" s="3" t="inlineStr">
        <is>
          <t>Available for Distribution, Study Start</t>
        </is>
      </c>
      <c r="O1027" s="3" t="inlineStr">
        <is>
          <t>42847922MDD3003</t>
        </is>
      </c>
    </row>
    <row r="1028">
      <c r="A1028" s="2" t="str">
        <f>HYPERLINK("https://vtmf.veevavault.com/ui/#doc_info/25862829/13/0", "42847922MDD3003---Protocol Contact Information-17 Feb 2026 (v13.0)")</f>
        <v>42847922MDD3003---Protocol Contact Information-17 Feb 2026 (v13.0)</v>
      </c>
      <c r="B1028" s="3" t="inlineStr">
        <is>
          <t>Central Trial Documents</t>
        </is>
      </c>
      <c r="C1028" s="3" t="inlineStr">
        <is>
          <t>Trial Documents</t>
        </is>
      </c>
      <c r="D1028" s="3" t="inlineStr">
        <is>
          <t>Protocol Contact Information</t>
        </is>
      </c>
      <c r="E1028" s="3" t="inlineStr">
        <is>
          <t>Protocol Contact Information</t>
        </is>
      </c>
      <c r="F1028" s="2" t="str">
        <f>HYPERLINK("https://vtmf.veevavault.com/ui/#doc_info/25862829/13/0", "VTMF-20658265")</f>
        <v>VTMF-20658265</v>
      </c>
      <c r="G1028" s="3" t="inlineStr">
        <is>
          <t/>
        </is>
      </c>
      <c r="H1028" s="3" t="inlineStr">
        <is>
          <t>System</t>
        </is>
      </c>
      <c r="I1028" s="3" t="inlineStr">
        <is>
          <t>Debhora Garcia</t>
        </is>
      </c>
      <c r="J1028" s="4" t="n">
        <v>46071.88525462963</v>
      </c>
      <c r="K1028" s="5" t="n">
        <v>46071.0</v>
      </c>
      <c r="L1028" s="5" t="n">
        <v>46070.0</v>
      </c>
      <c r="M1028" s="3" t="inlineStr">
        <is>
          <t>Approved</t>
        </is>
      </c>
      <c r="N1028" s="3" t="inlineStr">
        <is>
          <t>Available for Distribution</t>
        </is>
      </c>
      <c r="O1028" s="3" t="inlineStr">
        <is>
          <t>42847922MDD3003</t>
        </is>
      </c>
    </row>
    <row r="1029">
      <c r="A1029" s="2" t="str">
        <f>HYPERLINK("https://vtmf.veevavault.com/ui/#doc_info/29120530/1/0", "42847922MDD3003---Qualification and Compliance-02 Oct 2019 (v1.0)")</f>
        <v>42847922MDD3003---Qualification and Compliance-02 Oct 2019 (v1.0)</v>
      </c>
      <c r="B1029" s="3" t="inlineStr">
        <is>
          <t>Third Parties</t>
        </is>
      </c>
      <c r="C1029" s="3" t="inlineStr">
        <is>
          <t>Third Party Oversight</t>
        </is>
      </c>
      <c r="D1029" s="3" t="inlineStr">
        <is>
          <t>Qualification and Compliance</t>
        </is>
      </c>
      <c r="E1029" s="3" t="inlineStr">
        <is>
          <t>WA Declaration of Conformity_ELI 150c; 02Oct2019</t>
        </is>
      </c>
      <c r="F1029" s="2" t="str">
        <f>HYPERLINK("https://vtmf.veevavault.com/ui/#doc_info/29120530/1/0", "VTMF-23400983")</f>
        <v>VTMF-23400983</v>
      </c>
      <c r="G1029" s="3" t="inlineStr">
        <is>
          <t/>
        </is>
      </c>
      <c r="H1029" s="3" t="inlineStr">
        <is>
          <t>Anthony Suarez (veeva.com)</t>
        </is>
      </c>
      <c r="I1029" s="3" t="inlineStr">
        <is>
          <t>Debhora Garcia</t>
        </is>
      </c>
      <c r="J1029" s="4" t="n">
        <v>45792.09649305556</v>
      </c>
      <c r="K1029" s="5" t="n">
        <v>45792.0</v>
      </c>
      <c r="L1029" s="5" t="n">
        <v>43740.0</v>
      </c>
      <c r="M1029" s="3" t="inlineStr">
        <is>
          <t>Approved</t>
        </is>
      </c>
      <c r="N1029" s="3" t="inlineStr">
        <is>
          <t>Study Start</t>
        </is>
      </c>
      <c r="O1029" s="3" t="inlineStr">
        <is>
          <t>42847922MDD3003</t>
        </is>
      </c>
    </row>
    <row r="1030">
      <c r="A1030" s="2" t="str">
        <f>HYPERLINK("https://vtmf.veevavault.com/ui/#doc_info/26970139/1/0", "42847922MDD3003---Qualification and Compliance-05 Feb 2014 (v1.0)")</f>
        <v>42847922MDD3003---Qualification and Compliance-05 Feb 2014 (v1.0)</v>
      </c>
      <c r="B1030" s="3" t="inlineStr">
        <is>
          <t>Third Parties</t>
        </is>
      </c>
      <c r="C1030" s="3" t="inlineStr">
        <is>
          <t>Third Party Oversight</t>
        </is>
      </c>
      <c r="D1030" s="3" t="inlineStr">
        <is>
          <t>Qualification and Compliance</t>
        </is>
      </c>
      <c r="E1030" s="3" t="inlineStr">
        <is>
          <t>Envigo Eye 2014 Envigo Eye GLP Statement 05 Feb.2014</t>
        </is>
      </c>
      <c r="F1030" s="2" t="str">
        <f>HYPERLINK("https://vtmf.veevavault.com/ui/#doc_info/26970139/1/0", "VTMF-21620999")</f>
        <v>VTMF-21620999</v>
      </c>
      <c r="G1030" s="3" t="inlineStr">
        <is>
          <t/>
        </is>
      </c>
      <c r="H1030" s="3" t="inlineStr">
        <is>
          <t>Anthony Suarez (veeva.com)</t>
        </is>
      </c>
      <c r="I1030" s="3" t="inlineStr">
        <is>
          <t>Gina Stefanelli</t>
        </is>
      </c>
      <c r="J1030" s="4" t="n">
        <v>45532.892546296294</v>
      </c>
      <c r="K1030" s="5" t="n">
        <v>45532.0</v>
      </c>
      <c r="L1030" s="5" t="n">
        <v>41675.0</v>
      </c>
      <c r="M1030" s="3" t="inlineStr">
        <is>
          <t>Approved</t>
        </is>
      </c>
      <c r="N1030" s="3" t="inlineStr">
        <is>
          <t>Study Start</t>
        </is>
      </c>
      <c r="O1030" s="3" t="inlineStr">
        <is>
          <t>42847922MDD3003</t>
        </is>
      </c>
    </row>
    <row r="1031">
      <c r="A1031" s="2" t="str">
        <f>HYPERLINK("https://vtmf.veevavault.com/ui/#doc_info/26340433/1/0", "42847922MDD3003---Qualification and Compliance-06 May 2024 (v1.0)")</f>
        <v>42847922MDD3003---Qualification and Compliance-06 May 2024 (v1.0)</v>
      </c>
      <c r="B1031" s="3" t="inlineStr">
        <is>
          <t>Third Parties</t>
        </is>
      </c>
      <c r="C1031" s="3" t="inlineStr">
        <is>
          <t>Third Party Oversight</t>
        </is>
      </c>
      <c r="D1031" s="3" t="inlineStr">
        <is>
          <t>Qualification and Compliance</t>
        </is>
      </c>
      <c r="E1031" s="3" t="inlineStr">
        <is>
          <t>Cronos Device Label template_06May2024</t>
        </is>
      </c>
      <c r="F1031" s="2" t="str">
        <f>HYPERLINK("https://vtmf.veevavault.com/ui/#doc_info/26340433/1/0", "VTMF-21077190")</f>
        <v>VTMF-21077190</v>
      </c>
      <c r="G1031" s="3" t="inlineStr">
        <is>
          <t/>
        </is>
      </c>
      <c r="H1031" s="3" t="inlineStr">
        <is>
          <t>Kristina Ruzinska</t>
        </is>
      </c>
      <c r="I1031" s="3" t="inlineStr">
        <is>
          <t>Gina Stefanelli</t>
        </is>
      </c>
      <c r="J1031" s="4" t="n">
        <v>45428.81421296296</v>
      </c>
      <c r="K1031" s="5" t="n">
        <v>45428.0</v>
      </c>
      <c r="L1031" s="5" t="n">
        <v>45418.0</v>
      </c>
      <c r="M1031" s="3" t="inlineStr">
        <is>
          <t>Approved</t>
        </is>
      </c>
      <c r="N1031" s="3" t="inlineStr">
        <is>
          <t>Study Start</t>
        </is>
      </c>
      <c r="O1031" s="3" t="inlineStr">
        <is>
          <t>42847922MDD3003</t>
        </is>
      </c>
    </row>
    <row r="1032">
      <c r="A1032" s="2" t="str">
        <f>HYPERLINK("https://vtmf.veevavault.com/ui/#doc_info/26970122/1/0", "42847922MDD3003---Qualification and Compliance-09 Nov 2020 (v1.0)")</f>
        <v>42847922MDD3003---Qualification and Compliance-09 Nov 2020 (v1.0)</v>
      </c>
      <c r="B1032" s="3" t="inlineStr">
        <is>
          <t>Third Parties</t>
        </is>
      </c>
      <c r="C1032" s="3" t="inlineStr">
        <is>
          <t>Third Party Oversight</t>
        </is>
      </c>
      <c r="D1032" s="3" t="inlineStr">
        <is>
          <t>Qualification and Compliance</t>
        </is>
      </c>
      <c r="E1032" s="3" t="inlineStr">
        <is>
          <t>CRL France Statement of Compliance w/ Good Lab Practices 09Nov2020</t>
        </is>
      </c>
      <c r="F1032" s="2" t="str">
        <f>HYPERLINK("https://vtmf.veevavault.com/ui/#doc_info/26970122/1/0", "VTMF-21620965")</f>
        <v>VTMF-21620965</v>
      </c>
      <c r="G1032" s="3" t="inlineStr">
        <is>
          <t/>
        </is>
      </c>
      <c r="H1032" s="3" t="inlineStr">
        <is>
          <t>Anthony Suarez (veeva.com)</t>
        </is>
      </c>
      <c r="I1032" s="3" t="inlineStr">
        <is>
          <t>Gina Stefanelli</t>
        </is>
      </c>
      <c r="J1032" s="4" t="n">
        <v>45532.886828703704</v>
      </c>
      <c r="K1032" s="5" t="n">
        <v>45532.0</v>
      </c>
      <c r="L1032" s="5" t="n">
        <v>44144.0</v>
      </c>
      <c r="M1032" s="3" t="inlineStr">
        <is>
          <t>Approved</t>
        </is>
      </c>
      <c r="N1032" s="3" t="inlineStr">
        <is>
          <t>Study Start</t>
        </is>
      </c>
      <c r="O1032" s="3" t="inlineStr">
        <is>
          <t>42847922MDD3003</t>
        </is>
      </c>
    </row>
    <row r="1033">
      <c r="A1033" s="2" t="str">
        <f>HYPERLINK("https://vtmf.veevavault.com/ui/#doc_info/28343029/1/0", "42847922MDD3003---Qualification and Compliance-14 Jun 2022 (v1.0)")</f>
        <v>42847922MDD3003---Qualification and Compliance-14 Jun 2022 (v1.0)</v>
      </c>
      <c r="B1033" s="3" t="inlineStr">
        <is>
          <t>Third Parties</t>
        </is>
      </c>
      <c r="C1033" s="3" t="inlineStr">
        <is>
          <t>Third Party Oversight</t>
        </is>
      </c>
      <c r="D1033" s="3" t="inlineStr">
        <is>
          <t>Qualification and Compliance</t>
        </is>
      </c>
      <c r="E1033" s="3" t="inlineStr">
        <is>
          <t>Motorola G32_EU Declaration of Conformity; 14June2022</t>
        </is>
      </c>
      <c r="F1033" s="2" t="str">
        <f>HYPERLINK("https://vtmf.veevavault.com/ui/#doc_info/28343029/1/0", "VTMF-22739948")</f>
        <v>VTMF-22739948</v>
      </c>
      <c r="G1033" s="3" t="inlineStr">
        <is>
          <t/>
        </is>
      </c>
      <c r="H1033" s="3" t="inlineStr">
        <is>
          <t>Anthony Suarez (veeva.com)</t>
        </is>
      </c>
      <c r="I1033" s="3" t="inlineStr">
        <is>
          <t>Debhora Garcia</t>
        </is>
      </c>
      <c r="J1033" s="4" t="n">
        <v>45708.97709490741</v>
      </c>
      <c r="K1033" s="5" t="n">
        <v>45709.0</v>
      </c>
      <c r="L1033" s="5" t="n">
        <v>44726.0</v>
      </c>
      <c r="M1033" s="3" t="inlineStr">
        <is>
          <t>Approved</t>
        </is>
      </c>
      <c r="N1033" s="3" t="inlineStr">
        <is>
          <t>Study Start</t>
        </is>
      </c>
      <c r="O1033" s="3" t="inlineStr">
        <is>
          <t>42847922MDD3003</t>
        </is>
      </c>
    </row>
    <row r="1034">
      <c r="A1034" s="2" t="str">
        <f>HYPERLINK("https://vtmf.veevavault.com/ui/#doc_info/26970142/1/0", "42847922MDD3003---Qualification and Compliance-15 Feb 2016 (v1.0)")</f>
        <v>42847922MDD3003---Qualification and Compliance-15 Feb 2016 (v1.0)</v>
      </c>
      <c r="B1034" s="3" t="inlineStr">
        <is>
          <t>Third Parties</t>
        </is>
      </c>
      <c r="C1034" s="3" t="inlineStr">
        <is>
          <t>Third Party Oversight</t>
        </is>
      </c>
      <c r="D1034" s="3" t="inlineStr">
        <is>
          <t>Qualification and Compliance</t>
        </is>
      </c>
      <c r="E1034" s="3" t="inlineStr">
        <is>
          <t>Envigo Eye 2015 GLP Compliance Statement 01-03 Dec 2015 Colour</t>
        </is>
      </c>
      <c r="F1034" s="2" t="str">
        <f>HYPERLINK("https://vtmf.veevavault.com/ui/#doc_info/26970142/1/0", "VTMF-21621007")</f>
        <v>VTMF-21621007</v>
      </c>
      <c r="G1034" s="3" t="inlineStr">
        <is>
          <t/>
        </is>
      </c>
      <c r="H1034" s="3" t="inlineStr">
        <is>
          <t>Anthony Suarez (veeva.com)</t>
        </is>
      </c>
      <c r="I1034" s="3" t="inlineStr">
        <is>
          <t>Gina Stefanelli</t>
        </is>
      </c>
      <c r="J1034" s="4" t="n">
        <v>45532.89377314815</v>
      </c>
      <c r="K1034" s="5" t="n">
        <v>45532.0</v>
      </c>
      <c r="L1034" s="5" t="n">
        <v>42415.0</v>
      </c>
      <c r="M1034" s="3" t="inlineStr">
        <is>
          <t>Approved</t>
        </is>
      </c>
      <c r="N1034" s="3" t="inlineStr">
        <is>
          <t>Study Start</t>
        </is>
      </c>
      <c r="O1034" s="3" t="inlineStr">
        <is>
          <t>42847922MDD3003</t>
        </is>
      </c>
    </row>
    <row r="1035">
      <c r="A1035" s="2" t="str">
        <f>HYPERLINK("https://vtmf.veevavault.com/ui/#doc_info/29126061/1/0", "42847922MDD3003---Qualification and Compliance-15 Mar 2022 (v1.0)")</f>
        <v>42847922MDD3003---Qualification and Compliance-15 Mar 2022 (v1.0)</v>
      </c>
      <c r="B1035" s="3" t="inlineStr">
        <is>
          <t>Third Parties</t>
        </is>
      </c>
      <c r="C1035" s="3" t="inlineStr">
        <is>
          <t>Third Party Oversight</t>
        </is>
      </c>
      <c r="D1035" s="3" t="inlineStr">
        <is>
          <t>Qualification and Compliance</t>
        </is>
      </c>
      <c r="E1035" s="3" t="inlineStr">
        <is>
          <t>EU Declaration of Conformity SP7 15-Mar-22</t>
        </is>
      </c>
      <c r="F1035" s="2" t="str">
        <f>HYPERLINK("https://vtmf.veevavault.com/ui/#doc_info/29126061/1/0", "VTMF-23405546")</f>
        <v>VTMF-23405546</v>
      </c>
      <c r="G1035" s="3" t="inlineStr">
        <is>
          <t/>
        </is>
      </c>
      <c r="H1035" s="3" t="inlineStr">
        <is>
          <t>Anthony Suarez (veeva.com)</t>
        </is>
      </c>
      <c r="I1035" s="3" t="inlineStr">
        <is>
          <t>Gina Stefanelli</t>
        </is>
      </c>
      <c r="J1035" s="4" t="n">
        <v>45792.62422453704</v>
      </c>
      <c r="K1035" s="5" t="n">
        <v>45792.0</v>
      </c>
      <c r="L1035" s="5" t="n">
        <v>44635.0</v>
      </c>
      <c r="M1035" s="3" t="inlineStr">
        <is>
          <t>Approved</t>
        </is>
      </c>
      <c r="N1035" s="3" t="inlineStr">
        <is>
          <t>Study Start</t>
        </is>
      </c>
      <c r="O1035" s="3" t="inlineStr">
        <is>
          <t>42847922MDD3003</t>
        </is>
      </c>
    </row>
    <row r="1036">
      <c r="A1036" s="2" t="str">
        <f>HYPERLINK("https://vtmf.veevavault.com/ui/#doc_info/26970166/1/0", "42847922MDD3003---Qualification and Compliance-18 May 2011 (v1.0)")</f>
        <v>42847922MDD3003---Qualification and Compliance-18 May 2011 (v1.0)</v>
      </c>
      <c r="B1036" s="3" t="inlineStr">
        <is>
          <t>Third Parties</t>
        </is>
      </c>
      <c r="C1036" s="3" t="inlineStr">
        <is>
          <t>Third Party Oversight</t>
        </is>
      </c>
      <c r="D1036" s="3" t="inlineStr">
        <is>
          <t>Qualification and Compliance</t>
        </is>
      </c>
      <c r="E1036" s="3" t="inlineStr">
        <is>
          <t>Janssen GLP Compliance Statement_14-18 Feb 2011.</t>
        </is>
      </c>
      <c r="F1036" s="2" t="str">
        <f>HYPERLINK("https://vtmf.veevavault.com/ui/#doc_info/26970166/1/0", "VTMF-21621041")</f>
        <v>VTMF-21621041</v>
      </c>
      <c r="G1036" s="3" t="inlineStr">
        <is>
          <t/>
        </is>
      </c>
      <c r="H1036" s="3" t="inlineStr">
        <is>
          <t>Anthony Suarez (veeva.com)</t>
        </is>
      </c>
      <c r="I1036" s="3" t="inlineStr">
        <is>
          <t>Gina Stefanelli</t>
        </is>
      </c>
      <c r="J1036" s="4" t="n">
        <v>45532.901296296295</v>
      </c>
      <c r="K1036" s="5" t="n">
        <v>45532.0</v>
      </c>
      <c r="L1036" s="5" t="n">
        <v>40681.0</v>
      </c>
      <c r="M1036" s="3" t="inlineStr">
        <is>
          <t>Approved</t>
        </is>
      </c>
      <c r="N1036" s="3" t="inlineStr">
        <is>
          <t>Study Start</t>
        </is>
      </c>
      <c r="O1036" s="3" t="inlineStr">
        <is>
          <t>42847922MDD3003</t>
        </is>
      </c>
    </row>
    <row r="1037">
      <c r="A1037" s="2" t="str">
        <f>HYPERLINK("https://vtmf.veevavault.com/ui/#doc_info/26970109/1/0", "42847922MDD3003---Qualification and Compliance-19 Dec 2018 (v1.0)")</f>
        <v>42847922MDD3003---Qualification and Compliance-19 Dec 2018 (v1.0)</v>
      </c>
      <c r="B1037" s="3" t="inlineStr">
        <is>
          <t>Third Parties</t>
        </is>
      </c>
      <c r="C1037" s="3" t="inlineStr">
        <is>
          <t>Third Party Oversight</t>
        </is>
      </c>
      <c r="D1037" s="3" t="inlineStr">
        <is>
          <t>Qualification and Compliance</t>
        </is>
      </c>
      <c r="E1037" s="3" t="inlineStr">
        <is>
          <t>CRL France Statement of Compliance w/ Good Lab Practices19 Dec 2018</t>
        </is>
      </c>
      <c r="F1037" s="2" t="str">
        <f>HYPERLINK("https://vtmf.veevavault.com/ui/#doc_info/26970109/1/0", "VTMF-21620948")</f>
        <v>VTMF-21620948</v>
      </c>
      <c r="G1037" s="3" t="inlineStr">
        <is>
          <t/>
        </is>
      </c>
      <c r="H1037" s="3" t="inlineStr">
        <is>
          <t>Anthony Suarez (veeva.com)</t>
        </is>
      </c>
      <c r="I1037" s="3" t="inlineStr">
        <is>
          <t>Gina Stefanelli</t>
        </is>
      </c>
      <c r="J1037" s="4" t="n">
        <v>45532.884363425925</v>
      </c>
      <c r="K1037" s="5" t="n">
        <v>45532.0</v>
      </c>
      <c r="L1037" s="5" t="n">
        <v>43453.0</v>
      </c>
      <c r="M1037" s="3" t="inlineStr">
        <is>
          <t>Approved</t>
        </is>
      </c>
      <c r="N1037" s="3" t="inlineStr">
        <is>
          <t>Study Start</t>
        </is>
      </c>
      <c r="O1037" s="3" t="inlineStr">
        <is>
          <t>42847922MDD3003</t>
        </is>
      </c>
    </row>
    <row r="1038">
      <c r="A1038" s="2" t="str">
        <f>HYPERLINK("https://vtmf.veevavault.com/ui/#doc_info/26970157/1/0", "42847922MDD3003---Qualification and Compliance-19 Jul 2008 (v1.0)")</f>
        <v>42847922MDD3003---Qualification and Compliance-19 Jul 2008 (v1.0)</v>
      </c>
      <c r="B1038" s="3" t="inlineStr">
        <is>
          <t>Third Parties</t>
        </is>
      </c>
      <c r="C1038" s="3" t="inlineStr">
        <is>
          <t>Third Party Oversight</t>
        </is>
      </c>
      <c r="D1038" s="3" t="inlineStr">
        <is>
          <t>Qualification and Compliance</t>
        </is>
      </c>
      <c r="E1038" s="3" t="inlineStr">
        <is>
          <t>Janssen GLP Compliance Statement  19Jul2008</t>
        </is>
      </c>
      <c r="F1038" s="2" t="str">
        <f>HYPERLINK("https://vtmf.veevavault.com/ui/#doc_info/26970157/1/0", "VTMF-21621030")</f>
        <v>VTMF-21621030</v>
      </c>
      <c r="G1038" s="3" t="inlineStr">
        <is>
          <t/>
        </is>
      </c>
      <c r="H1038" s="3" t="inlineStr">
        <is>
          <t>Anthony Suarez (veeva.com)</t>
        </is>
      </c>
      <c r="I1038" s="3" t="inlineStr">
        <is>
          <t>Gina Stefanelli</t>
        </is>
      </c>
      <c r="J1038" s="4" t="n">
        <v>45532.89803240741</v>
      </c>
      <c r="K1038" s="5" t="n">
        <v>45532.0</v>
      </c>
      <c r="L1038" s="5" t="n">
        <v>39648.0</v>
      </c>
      <c r="M1038" s="3" t="inlineStr">
        <is>
          <t>Approved</t>
        </is>
      </c>
      <c r="N1038" s="3" t="inlineStr">
        <is>
          <t>Study Start</t>
        </is>
      </c>
      <c r="O1038" s="3" t="inlineStr">
        <is>
          <t>42847922MDD3003</t>
        </is>
      </c>
    </row>
    <row r="1039">
      <c r="A1039" s="2" t="str">
        <f>HYPERLINK("https://vtmf.veevavault.com/ui/#doc_info/26969854/1/0", "42847922MDD3003---Qualification and Compliance-22 Jan 2018 (v1.0)")</f>
        <v>42847922MDD3003---Qualification and Compliance-22 Jan 2018 (v1.0)</v>
      </c>
      <c r="B1039" s="3" t="inlineStr">
        <is>
          <t>Third Parties</t>
        </is>
      </c>
      <c r="C1039" s="3" t="inlineStr">
        <is>
          <t>Third Party Oversight</t>
        </is>
      </c>
      <c r="D1039" s="3" t="inlineStr">
        <is>
          <t>Qualification and Compliance</t>
        </is>
      </c>
      <c r="E1039" s="3" t="inlineStr">
        <is>
          <t>CRL NL Endorsement of compliance 2017 PDF  22Jan2018</t>
        </is>
      </c>
      <c r="F1039" s="2" t="str">
        <f>HYPERLINK("https://vtmf.veevavault.com/ui/#doc_info/26969854/1/0", "VTMF-21620703")</f>
        <v>VTMF-21620703</v>
      </c>
      <c r="G1039" s="3" t="inlineStr">
        <is>
          <t/>
        </is>
      </c>
      <c r="H1039" s="3" t="inlineStr">
        <is>
          <t>Anthony Suarez (veeva.com)</t>
        </is>
      </c>
      <c r="I1039" s="3" t="inlineStr">
        <is>
          <t>Gina Stefanelli</t>
        </is>
      </c>
      <c r="J1039" s="4" t="n">
        <v>45532.83326388889</v>
      </c>
      <c r="K1039" s="5" t="n">
        <v>45532.0</v>
      </c>
      <c r="L1039" s="5" t="n">
        <v>43122.0</v>
      </c>
      <c r="M1039" s="3" t="inlineStr">
        <is>
          <t>Approved</t>
        </is>
      </c>
      <c r="N1039" s="3" t="inlineStr">
        <is>
          <t>Study Start</t>
        </is>
      </c>
      <c r="O1039" s="3" t="inlineStr">
        <is>
          <t>42847922MDD3003</t>
        </is>
      </c>
    </row>
    <row r="1040">
      <c r="A1040" s="2" t="str">
        <f>HYPERLINK("https://vtmf.veevavault.com/ui/#doc_info/26970048/1/0", "42847922MDD3003---Qualification and Compliance-24 Feb 2020 (v1.0)")</f>
        <v>42847922MDD3003---Qualification and Compliance-24 Feb 2020 (v1.0)</v>
      </c>
      <c r="B1040" s="3" t="inlineStr">
        <is>
          <t>Third Parties</t>
        </is>
      </c>
      <c r="C1040" s="3" t="inlineStr">
        <is>
          <t>Third Party Oversight</t>
        </is>
      </c>
      <c r="D1040" s="3" t="inlineStr">
        <is>
          <t>Qualification and Compliance</t>
        </is>
      </c>
      <c r="E1040" s="3" t="inlineStr">
        <is>
          <t>CRL NL Endorsement of compliance 24Feb2020</t>
        </is>
      </c>
      <c r="F1040" s="2" t="str">
        <f>HYPERLINK("https://vtmf.veevavault.com/ui/#doc_info/26970048/1/0", "VTMF-21620929")</f>
        <v>VTMF-21620929</v>
      </c>
      <c r="G1040" s="3" t="inlineStr">
        <is>
          <t/>
        </is>
      </c>
      <c r="H1040" s="3" t="inlineStr">
        <is>
          <t>Anthony Suarez (veeva.com)</t>
        </is>
      </c>
      <c r="I1040" s="3" t="inlineStr">
        <is>
          <t>Gina Stefanelli</t>
        </is>
      </c>
      <c r="J1040" s="4" t="n">
        <v>45532.87724537037</v>
      </c>
      <c r="K1040" s="5" t="n">
        <v>45532.0</v>
      </c>
      <c r="L1040" s="5" t="n">
        <v>43885.0</v>
      </c>
      <c r="M1040" s="3" t="inlineStr">
        <is>
          <t>Approved</t>
        </is>
      </c>
      <c r="N1040" s="3" t="inlineStr">
        <is>
          <t>Study Start</t>
        </is>
      </c>
      <c r="O1040" s="3" t="inlineStr">
        <is>
          <t>42847922MDD3003</t>
        </is>
      </c>
    </row>
    <row r="1041">
      <c r="A1041" s="2" t="str">
        <f>HYPERLINK("https://vtmf.veevavault.com/ui/#doc_info/31331820/1/0", "42847922MDD3003---Quality Review Documentation-02 Apr 2026 (v1.0)")</f>
        <v>42847922MDD3003---Quality Review Documentation-02 Apr 2026 (v1.0)</v>
      </c>
      <c r="B1041" s="3" t="inlineStr">
        <is>
          <t>Trial Management</t>
        </is>
      </c>
      <c r="C1041" s="3" t="inlineStr">
        <is>
          <t>Trial Oversight</t>
        </is>
      </c>
      <c r="D1041" s="3" t="inlineStr">
        <is>
          <t>Quality Review Documentation</t>
        </is>
      </c>
      <c r="E1041" s="3" t="inlineStr">
        <is>
          <t>Timely Filing report_1Jan26-31Mar26_2026</t>
        </is>
      </c>
      <c r="F1041" s="2" t="str">
        <f>HYPERLINK("https://vtmf.veevavault.com/ui/#doc_info/31331820/1/0", "VTMF-25267997")</f>
        <v>VTMF-25267997</v>
      </c>
      <c r="G1041" s="3" t="inlineStr">
        <is>
          <t/>
        </is>
      </c>
      <c r="H1041" s="3" t="inlineStr">
        <is>
          <t>System</t>
        </is>
      </c>
      <c r="I1041" s="3" t="inlineStr">
        <is>
          <t>Shelby Lawrence</t>
        </is>
      </c>
      <c r="J1041" s="4" t="n">
        <v>46114.77767361111</v>
      </c>
      <c r="K1041" s="5" t="n">
        <v>46114.0</v>
      </c>
      <c r="L1041" s="5" t="n">
        <v>46114.0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42847922MDD3003</t>
        </is>
      </c>
    </row>
    <row r="1042">
      <c r="A1042" s="2" t="str">
        <f>HYPERLINK("https://vtmf.veevavault.com/ui/#doc_info/29485714/1/0", "42847922MDD3003---Quality Review Documentation-02 Jul 2025 (v1.0)")</f>
        <v>42847922MDD3003---Quality Review Documentation-02 Jul 2025 (v1.0)</v>
      </c>
      <c r="B1042" s="3" t="inlineStr">
        <is>
          <t>Trial Management</t>
        </is>
      </c>
      <c r="C1042" s="3" t="inlineStr">
        <is>
          <t>Trial Oversight</t>
        </is>
      </c>
      <c r="D1042" s="3" t="inlineStr">
        <is>
          <t>Quality Review Documentation</t>
        </is>
      </c>
      <c r="E1042" s="3" t="inlineStr">
        <is>
          <t>QRC Form Type of Review Documentation Annual</t>
        </is>
      </c>
      <c r="F1042" s="2" t="str">
        <f>HYPERLINK("https://vtmf.veevavault.com/ui/#doc_info/29485714/1/0", "VTMF-23713612")</f>
        <v>VTMF-23713612</v>
      </c>
      <c r="G1042" s="3" t="inlineStr">
        <is>
          <t/>
        </is>
      </c>
      <c r="H1042" s="3" t="inlineStr">
        <is>
          <t>Anthony Suarez (veeva.com)</t>
        </is>
      </c>
      <c r="I1042" s="3" t="inlineStr">
        <is>
          <t>Andrew Cano</t>
        </is>
      </c>
      <c r="J1042" s="4" t="n">
        <v>45840.739907407406</v>
      </c>
      <c r="K1042" s="5" t="n">
        <v>45840.0</v>
      </c>
      <c r="L1042" s="5" t="n">
        <v>45840.0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42847922MDD3003</t>
        </is>
      </c>
    </row>
    <row r="1043">
      <c r="A1043" s="2" t="str">
        <f>HYPERLINK("https://vtmf.veevavault.com/ui/#doc_info/29258702/1/0", "42847922MDD3003---Quality Review Documentation-03 Jun 2025 (v1.0)")</f>
        <v>42847922MDD3003---Quality Review Documentation-03 Jun 2025 (v1.0)</v>
      </c>
      <c r="B1043" s="3" t="inlineStr">
        <is>
          <t>Trial Management</t>
        </is>
      </c>
      <c r="C1043" s="3" t="inlineStr">
        <is>
          <t>Trial Oversight</t>
        </is>
      </c>
      <c r="D1043" s="3" t="inlineStr">
        <is>
          <t>Quality Review Documentation</t>
        </is>
      </c>
      <c r="E1043" s="3" t="inlineStr">
        <is>
          <t>AQR Evidence Report_Annual_RM-CM</t>
        </is>
      </c>
      <c r="F1043" s="2" t="str">
        <f>HYPERLINK("https://vtmf.veevavault.com/ui/#doc_info/29258702/1/0", "VTMF-23516402")</f>
        <v>VTMF-23516402</v>
      </c>
      <c r="G1043" s="3" t="inlineStr">
        <is>
          <t/>
        </is>
      </c>
      <c r="H1043" s="3" t="inlineStr">
        <is>
          <t>Anthony Suarez (veeva.com)</t>
        </is>
      </c>
      <c r="I1043" s="3" t="inlineStr">
        <is>
          <t>Shelby Lawrence</t>
        </is>
      </c>
      <c r="J1043" s="4" t="n">
        <v>45811.92815972222</v>
      </c>
      <c r="K1043" s="5" t="n">
        <v>45811.0</v>
      </c>
      <c r="L1043" s="5" t="n">
        <v>45811.0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42847922MDD3003</t>
        </is>
      </c>
    </row>
    <row r="1044">
      <c r="A1044" s="2" t="str">
        <f>HYPERLINK("https://vtmf.veevavault.com/ui/#doc_info/29258703/1/0", "42847922MDD3003---Quality Review Documentation-03 Jun 2025 (v1.0)")</f>
        <v>42847922MDD3003---Quality Review Documentation-03 Jun 2025 (v1.0)</v>
      </c>
      <c r="B1044" s="3" t="inlineStr">
        <is>
          <t>Trial Management</t>
        </is>
      </c>
      <c r="C1044" s="3" t="inlineStr">
        <is>
          <t>Trial Oversight</t>
        </is>
      </c>
      <c r="D1044" s="3" t="inlineStr">
        <is>
          <t>Quality Review Documentation</t>
        </is>
      </c>
      <c r="E1044" s="3" t="inlineStr">
        <is>
          <t>QRC Form_Annual_RM-CM</t>
        </is>
      </c>
      <c r="F1044" s="2" t="str">
        <f>HYPERLINK("https://vtmf.veevavault.com/ui/#doc_info/29258703/1/0", "VTMF-23516403")</f>
        <v>VTMF-23516403</v>
      </c>
      <c r="G1044" s="3" t="inlineStr">
        <is>
          <t/>
        </is>
      </c>
      <c r="H1044" s="3" t="inlineStr">
        <is>
          <t>Anthony Suarez (veeva.com)</t>
        </is>
      </c>
      <c r="I1044" s="3" t="inlineStr">
        <is>
          <t>Shelby Lawrence</t>
        </is>
      </c>
      <c r="J1044" s="4" t="n">
        <v>45811.92815972222</v>
      </c>
      <c r="K1044" s="5" t="n">
        <v>45811.0</v>
      </c>
      <c r="L1044" s="5" t="n">
        <v>45811.0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42847922MDD3003</t>
        </is>
      </c>
    </row>
    <row r="1045">
      <c r="A1045" s="2" t="str">
        <f>HYPERLINK("https://vtmf.veevavault.com/ui/#doc_info/31587247/1/0", "42847922MDD3003---Quality Review Documentation-05 May 2026 (v1.0)")</f>
        <v>42847922MDD3003---Quality Review Documentation-05 May 2026 (v1.0)</v>
      </c>
      <c r="B1045" s="3" t="inlineStr">
        <is>
          <t>Trial Management</t>
        </is>
      </c>
      <c r="C1045" s="3" t="inlineStr">
        <is>
          <t>Trial Oversight</t>
        </is>
      </c>
      <c r="D1045" s="3" t="inlineStr">
        <is>
          <t>Quality Review Documentation</t>
        </is>
      </c>
      <c r="E1045" s="3" t="inlineStr">
        <is>
          <t>EU CTR_Timely Filing Evidence Report_Jan-15Apr2026</t>
        </is>
      </c>
      <c r="F1045" s="2" t="str">
        <f>HYPERLINK("https://vtmf.veevavault.com/ui/#doc_info/31587247/1/0", "VTMF-25492986")</f>
        <v>VTMF-25492986</v>
      </c>
      <c r="G1045" s="3" t="inlineStr">
        <is>
          <t/>
        </is>
      </c>
      <c r="H1045" s="3" t="inlineStr">
        <is>
          <t>System</t>
        </is>
      </c>
      <c r="I1045" s="3" t="inlineStr">
        <is>
          <t>Justyna Synos</t>
        </is>
      </c>
      <c r="J1045" s="4" t="n">
        <v>46147.47646990741</v>
      </c>
      <c r="K1045" s="5" t="n">
        <v>46147.0</v>
      </c>
      <c r="L1045" s="5" t="n">
        <v>46147.0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42847922MDD3003</t>
        </is>
      </c>
    </row>
    <row r="1046">
      <c r="A1046" s="2" t="str">
        <f>HYPERLINK("https://vtmf.veevavault.com/ui/#doc_info/29307509/1/0", "42847922MDD3003---Quality Review Documentation-06 Jun 2025 (v1.0)")</f>
        <v>42847922MDD3003---Quality Review Documentation-06 Jun 2025 (v1.0)</v>
      </c>
      <c r="B1046" s="3" t="inlineStr">
        <is>
          <t>Trial Management</t>
        </is>
      </c>
      <c r="C1046" s="3" t="inlineStr">
        <is>
          <t>Trial Oversight</t>
        </is>
      </c>
      <c r="D1046" s="3" t="inlineStr">
        <is>
          <t>Quality Review Documentation</t>
        </is>
      </c>
      <c r="E1046" s="3" t="inlineStr">
        <is>
          <t>42847922MDD3003_AQR Quality Review Confirmation Form - PSE</t>
        </is>
      </c>
      <c r="F1046" s="2" t="str">
        <f>HYPERLINK("https://vtmf.veevavault.com/ui/#doc_info/29307509/1/0", "VTMF-23558269")</f>
        <v>VTMF-23558269</v>
      </c>
      <c r="G1046" s="3" t="inlineStr">
        <is>
          <t/>
        </is>
      </c>
      <c r="H1046" s="3" t="inlineStr">
        <is>
          <t>System</t>
        </is>
      </c>
      <c r="I1046" s="3" t="inlineStr">
        <is>
          <t>Katelyn Long</t>
        </is>
      </c>
      <c r="J1046" s="4" t="n">
        <v>45814.69875</v>
      </c>
      <c r="K1046" s="5" t="n">
        <v>45814.0</v>
      </c>
      <c r="L1046" s="5" t="n">
        <v>45814.0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42847922MDD3003</t>
        </is>
      </c>
    </row>
    <row r="1047">
      <c r="A1047" s="2" t="str">
        <f>HYPERLINK("https://vtmf.veevavault.com/ui/#doc_info/29307510/1/0", "42847922MDD3003---Quality Review Documentation-06 Jun 2025 (v1.0)")</f>
        <v>42847922MDD3003---Quality Review Documentation-06 Jun 2025 (v1.0)</v>
      </c>
      <c r="B1047" s="3" t="inlineStr">
        <is>
          <t>Trial Management</t>
        </is>
      </c>
      <c r="C1047" s="3" t="inlineStr">
        <is>
          <t>Trial Oversight</t>
        </is>
      </c>
      <c r="D1047" s="3" t="inlineStr">
        <is>
          <t>Quality Review Documentation</t>
        </is>
      </c>
      <c r="E1047" s="3" t="inlineStr">
        <is>
          <t>42847922MDD3003_AQR Quality Review Evidence Report - PSE</t>
        </is>
      </c>
      <c r="F1047" s="2" t="str">
        <f>HYPERLINK("https://vtmf.veevavault.com/ui/#doc_info/29307510/1/0", "VTMF-23558270")</f>
        <v>VTMF-23558270</v>
      </c>
      <c r="G1047" s="3" t="inlineStr">
        <is>
          <t/>
        </is>
      </c>
      <c r="H1047" s="3" t="inlineStr">
        <is>
          <t>System</t>
        </is>
      </c>
      <c r="I1047" s="3" t="inlineStr">
        <is>
          <t>Katelyn Long</t>
        </is>
      </c>
      <c r="J1047" s="4" t="n">
        <v>45814.69875</v>
      </c>
      <c r="K1047" s="5" t="n">
        <v>45814.0</v>
      </c>
      <c r="L1047" s="5" t="n">
        <v>45814.0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42847922MDD3003</t>
        </is>
      </c>
    </row>
    <row r="1048">
      <c r="A1048" s="2" t="str">
        <f>HYPERLINK("https://vtmf.veevavault.com/ui/#doc_info/29724585/1/0", "42847922MDD3003---Quality Review Documentation-07 Aug 2025 (v1.0)")</f>
        <v>42847922MDD3003---Quality Review Documentation-07 Aug 2025 (v1.0)</v>
      </c>
      <c r="B1048" s="3" t="inlineStr">
        <is>
          <t>Trial Management</t>
        </is>
      </c>
      <c r="C1048" s="3" t="inlineStr">
        <is>
          <t>Trial Oversight</t>
        </is>
      </c>
      <c r="D1048" s="3" t="inlineStr">
        <is>
          <t>Quality Review Documentation</t>
        </is>
      </c>
      <c r="E1048" s="3" t="inlineStr">
        <is>
          <t>AQR Evidence_other_TA_07Aug2025</t>
        </is>
      </c>
      <c r="F1048" s="2" t="str">
        <f>HYPERLINK("https://vtmf.veevavault.com/ui/#doc_info/29724585/1/0", "VTMF-23916766")</f>
        <v>VTMF-23916766</v>
      </c>
      <c r="G1048" s="3" t="inlineStr">
        <is>
          <t/>
        </is>
      </c>
      <c r="H1048" s="3" t="inlineStr">
        <is>
          <t>Joseph Trombello</t>
        </is>
      </c>
      <c r="I1048" s="3" t="inlineStr">
        <is>
          <t>Joseph Trombello</t>
        </is>
      </c>
      <c r="J1048" s="4" t="n">
        <v>45876.9497337963</v>
      </c>
      <c r="K1048" s="5" t="n">
        <v>45876.0</v>
      </c>
      <c r="L1048" s="5" t="n">
        <v>45876.0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42847922MDD3003</t>
        </is>
      </c>
    </row>
    <row r="1049">
      <c r="A1049" s="2" t="str">
        <f>HYPERLINK("https://vtmf.veevavault.com/ui/#doc_info/29724646/1/0", "42847922MDD3003---Quality Review Documentation-07 Aug 2025 (v1.0)")</f>
        <v>42847922MDD3003---Quality Review Documentation-07 Aug 2025 (v1.0)</v>
      </c>
      <c r="B1049" s="3" t="inlineStr">
        <is>
          <t>Trial Management</t>
        </is>
      </c>
      <c r="C1049" s="3" t="inlineStr">
        <is>
          <t>Trial Oversight</t>
        </is>
      </c>
      <c r="D1049" s="3" t="inlineStr">
        <is>
          <t>Quality Review Documentation</t>
        </is>
      </c>
      <c r="E1049" s="3" t="inlineStr">
        <is>
          <t>QRC Form_Type of Review Documentation Other_TA_07-Aug-2025</t>
        </is>
      </c>
      <c r="F1049" s="2" t="str">
        <f>HYPERLINK("https://vtmf.veevavault.com/ui/#doc_info/29724646/1/0", "VTMF-23916782")</f>
        <v>VTMF-23916782</v>
      </c>
      <c r="G1049" s="3" t="inlineStr">
        <is>
          <t/>
        </is>
      </c>
      <c r="H1049" s="3" t="inlineStr">
        <is>
          <t>System</t>
        </is>
      </c>
      <c r="I1049" s="3" t="inlineStr">
        <is>
          <t>Joseph Trombello</t>
        </is>
      </c>
      <c r="J1049" s="4" t="n">
        <v>45876.953668981485</v>
      </c>
      <c r="K1049" s="5" t="n">
        <v>45876.0</v>
      </c>
      <c r="L1049" s="5" t="n">
        <v>45876.0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42847922MDD3003</t>
        </is>
      </c>
    </row>
    <row r="1050">
      <c r="A1050" s="2" t="str">
        <f>HYPERLINK("https://vtmf.veevavault.com/ui/#doc_info/29504784/1/0", "42847922MDD3003---Quality Review Documentation-07 Jul 2025 (v1.0)")</f>
        <v>42847922MDD3003---Quality Review Documentation-07 Jul 2025 (v1.0)</v>
      </c>
      <c r="B1050" s="3" t="inlineStr">
        <is>
          <t>Trial Management</t>
        </is>
      </c>
      <c r="C1050" s="3" t="inlineStr">
        <is>
          <t>Trial Oversight</t>
        </is>
      </c>
      <c r="D1050" s="3" t="inlineStr">
        <is>
          <t>Quality Review Documentation</t>
        </is>
      </c>
      <c r="E1050" s="3" t="inlineStr">
        <is>
          <t>AQR form_GRA</t>
        </is>
      </c>
      <c r="F1050" s="2" t="str">
        <f>HYPERLINK("https://vtmf.veevavault.com/ui/#doc_info/29504784/1/0", "VTMF-23729847")</f>
        <v>VTMF-23729847</v>
      </c>
      <c r="G1050" s="3" t="inlineStr">
        <is>
          <t/>
        </is>
      </c>
      <c r="H1050" s="3" t="inlineStr">
        <is>
          <t>Kunika Wakamatsu</t>
        </is>
      </c>
      <c r="I1050" s="3" t="inlineStr">
        <is>
          <t>Kunika Wakamatsu</t>
        </is>
      </c>
      <c r="J1050" s="4" t="n">
        <v>45845.45123842593</v>
      </c>
      <c r="K1050" s="5" t="n">
        <v>45845.0</v>
      </c>
      <c r="L1050" s="5" t="n">
        <v>45845.0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42847922MDD3003</t>
        </is>
      </c>
    </row>
    <row r="1051">
      <c r="A1051" s="2" t="str">
        <f>HYPERLINK("https://vtmf.veevavault.com/ui/#doc_info/29508055/1/0", "42847922MDD3003---Quality Review Documentation-07 Jul 2025 (v1.0)")</f>
        <v>42847922MDD3003---Quality Review Documentation-07 Jul 2025 (v1.0)</v>
      </c>
      <c r="B1051" s="3" t="inlineStr">
        <is>
          <t>Trial Management</t>
        </is>
      </c>
      <c r="C1051" s="3" t="inlineStr">
        <is>
          <t>Trial Oversight</t>
        </is>
      </c>
      <c r="D1051" s="3" t="inlineStr">
        <is>
          <t>Quality Review Documentation</t>
        </is>
      </c>
      <c r="E1051" s="3" t="inlineStr">
        <is>
          <t>AQR 2025 Evidence, Programming</t>
        </is>
      </c>
      <c r="F1051" s="2" t="str">
        <f>HYPERLINK("https://vtmf.veevavault.com/ui/#doc_info/29508055/1/0", "VTMF-23732572")</f>
        <v>VTMF-23732572</v>
      </c>
      <c r="G1051" s="3" t="inlineStr">
        <is>
          <t/>
        </is>
      </c>
      <c r="H1051" s="3" t="inlineStr">
        <is>
          <t>Anthony Suarez (veeva.com)</t>
        </is>
      </c>
      <c r="I1051" s="3" t="inlineStr">
        <is>
          <t>Andrew Cano</t>
        </is>
      </c>
      <c r="J1051" s="4" t="n">
        <v>45845.738171296296</v>
      </c>
      <c r="K1051" s="5" t="n">
        <v>45845.0</v>
      </c>
      <c r="L1051" s="5" t="n">
        <v>45845.0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42847922MDD3003</t>
        </is>
      </c>
    </row>
    <row r="1052">
      <c r="A1052" s="2" t="str">
        <f>HYPERLINK("https://vtmf.veevavault.com/ui/#doc_info/30949622/1/0", "42847922MDD3003---Quality Review Documentation-09 Feb 2026 (v1.0)")</f>
        <v>42847922MDD3003---Quality Review Documentation-09 Feb 2026 (v1.0)</v>
      </c>
      <c r="B1052" s="3" t="inlineStr">
        <is>
          <t>Trial Management</t>
        </is>
      </c>
      <c r="C1052" s="3" t="inlineStr">
        <is>
          <t>Trial Oversight</t>
        </is>
      </c>
      <c r="D1052" s="3" t="inlineStr">
        <is>
          <t>Quality Review Documentation</t>
        </is>
      </c>
      <c r="E1052" s="3" t="inlineStr">
        <is>
          <t>QR Evidence Report_Annual_2026</t>
        </is>
      </c>
      <c r="F1052" s="2" t="str">
        <f>HYPERLINK("https://vtmf.veevavault.com/ui/#doc_info/30949622/1/0", "VTMF-24945772")</f>
        <v>VTMF-24945772</v>
      </c>
      <c r="G1052" s="3" t="inlineStr">
        <is>
          <t/>
        </is>
      </c>
      <c r="H1052" s="3" t="inlineStr">
        <is>
          <t>System</t>
        </is>
      </c>
      <c r="I1052" s="3" t="inlineStr">
        <is>
          <t>Malgorzata Ziemianska</t>
        </is>
      </c>
      <c r="J1052" s="4" t="n">
        <v>46062.55571759259</v>
      </c>
      <c r="K1052" s="5" t="n">
        <v>46062.0</v>
      </c>
      <c r="L1052" s="5" t="n">
        <v>46062.0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42847922MDD3003</t>
        </is>
      </c>
    </row>
    <row r="1053">
      <c r="A1053" s="2" t="str">
        <f>HYPERLINK("https://vtmf.veevavault.com/ui/#doc_info/30949628/1/0", "42847922MDD3003---Quality Review Documentation-09 Feb 2026 (v1.0)")</f>
        <v>42847922MDD3003---Quality Review Documentation-09 Feb 2026 (v1.0)</v>
      </c>
      <c r="B1053" s="3" t="inlineStr">
        <is>
          <t>Trial Management</t>
        </is>
      </c>
      <c r="C1053" s="3" t="inlineStr">
        <is>
          <t>Trial Oversight</t>
        </is>
      </c>
      <c r="D1053" s="3" t="inlineStr">
        <is>
          <t>Quality Review Documentation</t>
        </is>
      </c>
      <c r="E1053" s="3" t="inlineStr">
        <is>
          <t>QRC Form_Annual_2026</t>
        </is>
      </c>
      <c r="F1053" s="2" t="str">
        <f>HYPERLINK("https://vtmf.veevavault.com/ui/#doc_info/30949628/1/0", "VTMF-24945790")</f>
        <v>VTMF-24945790</v>
      </c>
      <c r="G1053" s="3" t="inlineStr">
        <is>
          <t/>
        </is>
      </c>
      <c r="H1053" s="3" t="inlineStr">
        <is>
          <t>System</t>
        </is>
      </c>
      <c r="I1053" s="3" t="inlineStr">
        <is>
          <t>Malgorzata Ziemianska</t>
        </is>
      </c>
      <c r="J1053" s="4" t="n">
        <v>46062.55789351852</v>
      </c>
      <c r="K1053" s="5" t="n">
        <v>46062.0</v>
      </c>
      <c r="L1053" s="5" t="n">
        <v>46062.0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42847922MDD3003</t>
        </is>
      </c>
    </row>
    <row r="1054">
      <c r="A1054" s="2" t="str">
        <f>HYPERLINK("https://vtmf.veevavault.com/ui/#doc_info/29560670/1/0", "42847922MDD3003---Quality Review Documentation-09 Jul 2025 (v1.0)")</f>
        <v>42847922MDD3003---Quality Review Documentation-09 Jul 2025 (v1.0)</v>
      </c>
      <c r="B1054" s="3" t="inlineStr">
        <is>
          <t>Trial Management</t>
        </is>
      </c>
      <c r="C1054" s="3" t="inlineStr">
        <is>
          <t>Trial Oversight</t>
        </is>
      </c>
      <c r="D1054" s="3" t="inlineStr">
        <is>
          <t>Quality Review Documentation</t>
        </is>
      </c>
      <c r="E1054" s="3" t="inlineStr">
        <is>
          <t>QRC Form_ Curation Activity Review</t>
        </is>
      </c>
      <c r="F1054" s="2" t="str">
        <f>HYPERLINK("https://vtmf.veevavault.com/ui/#doc_info/29560670/1/0", "VTMF-23776467")</f>
        <v>VTMF-23776467</v>
      </c>
      <c r="G1054" s="3" t="inlineStr">
        <is>
          <t/>
        </is>
      </c>
      <c r="H1054" s="3" t="inlineStr">
        <is>
          <t>System</t>
        </is>
      </c>
      <c r="I1054" s="3" t="inlineStr">
        <is>
          <t>Gina Stefanelli</t>
        </is>
      </c>
      <c r="J1054" s="4" t="n">
        <v>45853.71059027778</v>
      </c>
      <c r="K1054" s="5" t="n">
        <v>45853.0</v>
      </c>
      <c r="L1054" s="5" t="n">
        <v>45847.0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42847922MDD3003</t>
        </is>
      </c>
    </row>
    <row r="1055">
      <c r="A1055" s="2" t="str">
        <f>HYPERLINK("https://vtmf.veevavault.com/ui/#doc_info/29533244/1/0", "42847922MDD3003---Quality Review Documentation-10 Jul 2025 (v1.0)")</f>
        <v>42847922MDD3003---Quality Review Documentation-10 Jul 2025 (v1.0)</v>
      </c>
      <c r="B1055" s="3" t="inlineStr">
        <is>
          <t>Trial Management</t>
        </is>
      </c>
      <c r="C1055" s="3" t="inlineStr">
        <is>
          <t>Trial Oversight</t>
        </is>
      </c>
      <c r="D1055" s="3" t="inlineStr">
        <is>
          <t>Quality Review Documentation</t>
        </is>
      </c>
      <c r="E1055" s="3" t="inlineStr">
        <is>
          <t>QR Form_Annual</t>
        </is>
      </c>
      <c r="F1055" s="2" t="str">
        <f>HYPERLINK("https://vtmf.veevavault.com/ui/#doc_info/29533244/1/0", "VTMF-23753527")</f>
        <v>VTMF-23753527</v>
      </c>
      <c r="G1055" s="3" t="inlineStr">
        <is>
          <t/>
        </is>
      </c>
      <c r="H1055" s="3" t="inlineStr">
        <is>
          <t>Anthony Suarez (veeva.com)</t>
        </is>
      </c>
      <c r="I1055" s="3" t="inlineStr">
        <is>
          <t>Anna Andreeva</t>
        </is>
      </c>
      <c r="J1055" s="4" t="n">
        <v>45848.63429398148</v>
      </c>
      <c r="K1055" s="5" t="n">
        <v>45848.0</v>
      </c>
      <c r="L1055" s="5" t="n">
        <v>45848.0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42847922MDD3003</t>
        </is>
      </c>
    </row>
    <row r="1056">
      <c r="A1056" s="2" t="str">
        <f>HYPERLINK("https://vtmf.veevavault.com/ui/#doc_info/29533260/1/0", "42847922MDD3003---Quality Review Documentation-10 Jul 2025 (v1.0)")</f>
        <v>42847922MDD3003---Quality Review Documentation-10 Jul 2025 (v1.0)</v>
      </c>
      <c r="B1056" s="3" t="inlineStr">
        <is>
          <t>Trial Management</t>
        </is>
      </c>
      <c r="C1056" s="3" t="inlineStr">
        <is>
          <t>Trial Oversight</t>
        </is>
      </c>
      <c r="D1056" s="3" t="inlineStr">
        <is>
          <t>Quality Review Documentation</t>
        </is>
      </c>
      <c r="E1056" s="3" t="inlineStr">
        <is>
          <t>GCO QR Evidence Report_Annual</t>
        </is>
      </c>
      <c r="F1056" s="2" t="str">
        <f>HYPERLINK("https://vtmf.veevavault.com/ui/#doc_info/29533260/1/0", "VTMF-23753555")</f>
        <v>VTMF-23753555</v>
      </c>
      <c r="G1056" s="3" t="inlineStr">
        <is>
          <t/>
        </is>
      </c>
      <c r="H1056" s="3" t="inlineStr">
        <is>
          <t>Anthony Suarez (veeva.com)</t>
        </is>
      </c>
      <c r="I1056" s="3" t="inlineStr">
        <is>
          <t>Anna Andreeva</t>
        </is>
      </c>
      <c r="J1056" s="4" t="n">
        <v>45848.6375</v>
      </c>
      <c r="K1056" s="5" t="n">
        <v>45848.0</v>
      </c>
      <c r="L1056" s="5" t="n">
        <v>45848.0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42847922MDD3003</t>
        </is>
      </c>
    </row>
    <row r="1057">
      <c r="A1057" s="2" t="str">
        <f>HYPERLINK("https://vtmf.veevavault.com/ui/#doc_info/29518624/2/0", "42847922MDD3003---Quality Review Documentation-14 Jul 2025 (v2.0)")</f>
        <v>42847922MDD3003---Quality Review Documentation-14 Jul 2025 (v2.0)</v>
      </c>
      <c r="B1057" s="3" t="inlineStr">
        <is>
          <t>Trial Management</t>
        </is>
      </c>
      <c r="C1057" s="3" t="inlineStr">
        <is>
          <t>Trial Oversight</t>
        </is>
      </c>
      <c r="D1057" s="3" t="inlineStr">
        <is>
          <t>Quality Review Documentation</t>
        </is>
      </c>
      <c r="E1057" s="3" t="inlineStr">
        <is>
          <t>QRC Form_Annual_TA</t>
        </is>
      </c>
      <c r="F1057" s="2" t="str">
        <f>HYPERLINK("https://vtmf.veevavault.com/ui/#doc_info/29518624/2/0", "VTMF-23742035")</f>
        <v>VTMF-23742035</v>
      </c>
      <c r="G1057" s="3" t="inlineStr">
        <is>
          <t/>
        </is>
      </c>
      <c r="H1057" s="3" t="inlineStr">
        <is>
          <t>Anthony Suarez (veeva.com)</t>
        </is>
      </c>
      <c r="I1057" s="3" t="inlineStr">
        <is>
          <t>Joseph Trombello</t>
        </is>
      </c>
      <c r="J1057" s="4" t="n">
        <v>45852.959756944445</v>
      </c>
      <c r="K1057" s="5" t="n">
        <v>45852.0</v>
      </c>
      <c r="L1057" s="5" t="n">
        <v>45852.0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42847922MDD3003</t>
        </is>
      </c>
    </row>
    <row r="1058">
      <c r="A1058" s="2" t="str">
        <f>HYPERLINK("https://vtmf.veevavault.com/ui/#doc_info/29555073/1/0", "42847922MDD3003---Quality Review Documentation-14 Jul 2025 (v1.0)")</f>
        <v>42847922MDD3003---Quality Review Documentation-14 Jul 2025 (v1.0)</v>
      </c>
      <c r="B1058" s="3" t="inlineStr">
        <is>
          <t>Trial Management</t>
        </is>
      </c>
      <c r="C1058" s="3" t="inlineStr">
        <is>
          <t>Trial Oversight</t>
        </is>
      </c>
      <c r="D1058" s="3" t="inlineStr">
        <is>
          <t>Quality Review Documentation</t>
        </is>
      </c>
      <c r="E1058" s="3" t="inlineStr">
        <is>
          <t>AQR TA Evidence</t>
        </is>
      </c>
      <c r="F1058" s="2" t="str">
        <f>HYPERLINK("https://vtmf.veevavault.com/ui/#doc_info/29555073/1/0", "VTMF-23771510")</f>
        <v>VTMF-23771510</v>
      </c>
      <c r="G1058" s="3" t="inlineStr">
        <is>
          <t/>
        </is>
      </c>
      <c r="H1058" s="3" t="inlineStr">
        <is>
          <t>Anthony Suarez (veeva.com)</t>
        </is>
      </c>
      <c r="I1058" s="3" t="inlineStr">
        <is>
          <t>Joseph Trombello</t>
        </is>
      </c>
      <c r="J1058" s="4" t="n">
        <v>45852.97484953704</v>
      </c>
      <c r="K1058" s="5" t="n">
        <v>45852.0</v>
      </c>
      <c r="L1058" s="5" t="n">
        <v>45852.0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42847922MDD3003</t>
        </is>
      </c>
    </row>
    <row r="1059">
      <c r="A1059" s="2" t="str">
        <f>HYPERLINK("https://vtmf.veevavault.com/ui/#doc_info/29536137/1/0", "42847922MDD3003---Quality Review Documentation-15 Jul 2025 (v1.0)")</f>
        <v>42847922MDD3003---Quality Review Documentation-15 Jul 2025 (v1.0)</v>
      </c>
      <c r="B1059" s="3" t="inlineStr">
        <is>
          <t>Trial Management</t>
        </is>
      </c>
      <c r="C1059" s="3" t="inlineStr">
        <is>
          <t>Trial Oversight</t>
        </is>
      </c>
      <c r="D1059" s="3" t="inlineStr">
        <is>
          <t>Quality Review Documentation</t>
        </is>
      </c>
      <c r="E1059" s="3" t="inlineStr">
        <is>
          <t>QRC Form_Annual Review Documentation</t>
        </is>
      </c>
      <c r="F1059" s="2" t="str">
        <f>HYPERLINK("https://vtmf.veevavault.com/ui/#doc_info/29536137/1/0", "VTMF-23756033")</f>
        <v>VTMF-23756033</v>
      </c>
      <c r="G1059" s="3" t="inlineStr">
        <is>
          <t/>
        </is>
      </c>
      <c r="H1059" s="3" t="inlineStr">
        <is>
          <t>Anthony Suarez (veeva.com)</t>
        </is>
      </c>
      <c r="I1059" s="3" t="inlineStr">
        <is>
          <t>Amrita Trueblood</t>
        </is>
      </c>
      <c r="J1059" s="4" t="n">
        <v>45853.94106481481</v>
      </c>
      <c r="K1059" s="5" t="n">
        <v>45853.0</v>
      </c>
      <c r="L1059" s="5" t="n">
        <v>45853.0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42847922MDD3003</t>
        </is>
      </c>
    </row>
    <row r="1060">
      <c r="A1060" s="2" t="str">
        <f>HYPERLINK("https://vtmf.veevavault.com/ui/#doc_info/29559558/1/0", "42847922MDD3003---Quality Review Documentation-15 Jul 2025 (v1.0)")</f>
        <v>42847922MDD3003---Quality Review Documentation-15 Jul 2025 (v1.0)</v>
      </c>
      <c r="B1060" s="3" t="inlineStr">
        <is>
          <t>Trial Management</t>
        </is>
      </c>
      <c r="C1060" s="3" t="inlineStr">
        <is>
          <t>Trial Oversight</t>
        </is>
      </c>
      <c r="D1060" s="3" t="inlineStr">
        <is>
          <t>Quality Review Documentation</t>
        </is>
      </c>
      <c r="E1060" s="3" t="inlineStr">
        <is>
          <t>42847922MDD3003_CCS_Quality Review Evidence_Study Level_15Jul2025</t>
        </is>
      </c>
      <c r="F1060" s="2" t="str">
        <f>HYPERLINK("https://vtmf.veevavault.com/ui/#doc_info/29559558/1/0", "VTMF-23775531")</f>
        <v>VTMF-23775531</v>
      </c>
      <c r="G1060" s="3" t="inlineStr">
        <is>
          <t/>
        </is>
      </c>
      <c r="H1060" s="3" t="inlineStr">
        <is>
          <t>Anthony Suarez (veeva.com)</t>
        </is>
      </c>
      <c r="I1060" s="3" t="inlineStr">
        <is>
          <t>Dana Cappiccille</t>
        </is>
      </c>
      <c r="J1060" s="4" t="n">
        <v>45853.61423611111</v>
      </c>
      <c r="K1060" s="5" t="n">
        <v>45853.0</v>
      </c>
      <c r="L1060" s="5" t="n">
        <v>45853.0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42847922MDD3003</t>
        </is>
      </c>
    </row>
    <row r="1061">
      <c r="A1061" s="2" t="str">
        <f>HYPERLINK("https://vtmf.veevavault.com/ui/#doc_info/29559559/1/0", "42847922MDD3003---Quality Review Documentation-15 Jul 2025 (v1.0)")</f>
        <v>42847922MDD3003---Quality Review Documentation-15 Jul 2025 (v1.0)</v>
      </c>
      <c r="B1061" s="3" t="inlineStr">
        <is>
          <t>Trial Management</t>
        </is>
      </c>
      <c r="C1061" s="3" t="inlineStr">
        <is>
          <t>Trial Oversight</t>
        </is>
      </c>
      <c r="D1061" s="3" t="inlineStr">
        <is>
          <t>Quality Review Documentation</t>
        </is>
      </c>
      <c r="E1061" s="3" t="inlineStr">
        <is>
          <t>TV-eFRM-02260_v9.0 -  CCS  - AQR</t>
        </is>
      </c>
      <c r="F1061" s="2" t="str">
        <f>HYPERLINK("https://vtmf.veevavault.com/ui/#doc_info/29559559/1/0", "VTMF-23775532")</f>
        <v>VTMF-23775532</v>
      </c>
      <c r="G1061" s="3" t="inlineStr">
        <is>
          <t/>
        </is>
      </c>
      <c r="H1061" s="3" t="inlineStr">
        <is>
          <t>Anthony Suarez (veeva.com)</t>
        </is>
      </c>
      <c r="I1061" s="3" t="inlineStr">
        <is>
          <t>Dana Cappiccille</t>
        </is>
      </c>
      <c r="J1061" s="4" t="n">
        <v>45853.61423611111</v>
      </c>
      <c r="K1061" s="5" t="n">
        <v>45853.0</v>
      </c>
      <c r="L1061" s="5" t="n">
        <v>45853.0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42847922MDD3003</t>
        </is>
      </c>
    </row>
    <row r="1062">
      <c r="A1062" s="2" t="str">
        <f>HYPERLINK("https://vtmf.veevavault.com/ui/#doc_info/29560233/1/0", "42847922MDD3003---Quality Review Documentation-15 Jul 2025 (v1.0)")</f>
        <v>42847922MDD3003---Quality Review Documentation-15 Jul 2025 (v1.0)</v>
      </c>
      <c r="B1062" s="3" t="inlineStr">
        <is>
          <t>Trial Management</t>
        </is>
      </c>
      <c r="C1062" s="3" t="inlineStr">
        <is>
          <t>Trial Oversight</t>
        </is>
      </c>
      <c r="D1062" s="3" t="inlineStr">
        <is>
          <t>Quality Review Documentation</t>
        </is>
      </c>
      <c r="E1062" s="3" t="inlineStr">
        <is>
          <t>Digital Health Operations Annual Quality Review: eCOA, pCOA, ECG</t>
        </is>
      </c>
      <c r="F1062" s="2" t="str">
        <f>HYPERLINK("https://vtmf.veevavault.com/ui/#doc_info/29560233/1/0", "VTMF-23776022")</f>
        <v>VTMF-23776022</v>
      </c>
      <c r="G1062" s="3" t="inlineStr">
        <is>
          <t/>
        </is>
      </c>
      <c r="H1062" s="3" t="inlineStr">
        <is>
          <t>Anthony Suarez (veeva.com)</t>
        </is>
      </c>
      <c r="I1062" s="3" t="inlineStr">
        <is>
          <t>Charles Hayes</t>
        </is>
      </c>
      <c r="J1062" s="4" t="n">
        <v>45853.66606481482</v>
      </c>
      <c r="K1062" s="5" t="n">
        <v>45853.0</v>
      </c>
      <c r="L1062" s="5" t="n">
        <v>45853.0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42847922MDD3003</t>
        </is>
      </c>
    </row>
    <row r="1063">
      <c r="A1063" s="2" t="str">
        <f>HYPERLINK("https://vtmf.veevavault.com/ui/#doc_info/29560268/1/0", "42847922MDD3003---Quality Review Documentation-15 Jul 2025 (v1.0)")</f>
        <v>42847922MDD3003---Quality Review Documentation-15 Jul 2025 (v1.0)</v>
      </c>
      <c r="B1063" s="3" t="inlineStr">
        <is>
          <t>Trial Management</t>
        </is>
      </c>
      <c r="C1063" s="3" t="inlineStr">
        <is>
          <t>Trial Oversight</t>
        </is>
      </c>
      <c r="D1063" s="3" t="inlineStr">
        <is>
          <t>Quality Review Documentation</t>
        </is>
      </c>
      <c r="E1063" s="3" t="inlineStr">
        <is>
          <t>CSC Annual Quality Review 2025</t>
        </is>
      </c>
      <c r="F1063" s="2" t="str">
        <f>HYPERLINK("https://vtmf.veevavault.com/ui/#doc_info/29560268/1/0", "VTMF-23776107")</f>
        <v>VTMF-23776107</v>
      </c>
      <c r="G1063" s="3" t="inlineStr">
        <is>
          <t/>
        </is>
      </c>
      <c r="H1063" s="3" t="inlineStr">
        <is>
          <t>Anthony Suarez (veeva.com)</t>
        </is>
      </c>
      <c r="I1063" s="3" t="inlineStr">
        <is>
          <t>Filip De Smedt</t>
        </is>
      </c>
      <c r="J1063" s="4" t="n">
        <v>45853.67633101852</v>
      </c>
      <c r="K1063" s="5" t="n">
        <v>45853.0</v>
      </c>
      <c r="L1063" s="5" t="n">
        <v>45853.0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42847922MDD3003</t>
        </is>
      </c>
    </row>
    <row r="1064">
      <c r="A1064" s="2" t="str">
        <f>HYPERLINK("https://vtmf.veevavault.com/ui/#doc_info/29560522/1/0", "42847922MDD3003---Quality Review Documentation-15 Jul 2025 (v1.0)")</f>
        <v>42847922MDD3003---Quality Review Documentation-15 Jul 2025 (v1.0)</v>
      </c>
      <c r="B1064" s="3" t="inlineStr">
        <is>
          <t>Trial Management</t>
        </is>
      </c>
      <c r="C1064" s="3" t="inlineStr">
        <is>
          <t>Trial Oversight</t>
        </is>
      </c>
      <c r="D1064" s="3" t="inlineStr">
        <is>
          <t>Quality Review Documentation</t>
        </is>
      </c>
      <c r="E1064" s="3" t="inlineStr">
        <is>
          <t>CSC AQR Additional Evidence_2025</t>
        </is>
      </c>
      <c r="F1064" s="2" t="str">
        <f>HYPERLINK("https://vtmf.veevavault.com/ui/#doc_info/29560522/1/0", "VTMF-23776217")</f>
        <v>VTMF-23776217</v>
      </c>
      <c r="G1064" s="3" t="inlineStr">
        <is>
          <t/>
        </is>
      </c>
      <c r="H1064" s="3" t="inlineStr">
        <is>
          <t>Anthony Suarez (veeva.com)</t>
        </is>
      </c>
      <c r="I1064" s="3" t="inlineStr">
        <is>
          <t>Filip De Smedt</t>
        </is>
      </c>
      <c r="J1064" s="4" t="n">
        <v>45853.68555555555</v>
      </c>
      <c r="K1064" s="5" t="n">
        <v>45853.0</v>
      </c>
      <c r="L1064" s="5" t="n">
        <v>45853.0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42847922MDD3003</t>
        </is>
      </c>
    </row>
    <row r="1065">
      <c r="A1065" s="2" t="str">
        <f>HYPERLINK("https://vtmf.veevavault.com/ui/#doc_info/29560701/1/0", "42847922MDD3003---Quality Review Documentation-15 Jul 2025 (v1.0)")</f>
        <v>42847922MDD3003---Quality Review Documentation-15 Jul 2025 (v1.0)</v>
      </c>
      <c r="B1065" s="3" t="inlineStr">
        <is>
          <t>Trial Management</t>
        </is>
      </c>
      <c r="C1065" s="3" t="inlineStr">
        <is>
          <t>Trial Oversight</t>
        </is>
      </c>
      <c r="D1065" s="3" t="inlineStr">
        <is>
          <t>Quality Review Documentation</t>
        </is>
      </c>
      <c r="E1065" s="3" t="inlineStr">
        <is>
          <t>GCO Quality Review Evidence_Annual; 15Jul2025</t>
        </is>
      </c>
      <c r="F1065" s="2" t="str">
        <f>HYPERLINK("https://vtmf.veevavault.com/ui/#doc_info/29560701/1/0", "VTMF-23776420")</f>
        <v>VTMF-23776420</v>
      </c>
      <c r="G1065" s="3" t="inlineStr">
        <is>
          <t/>
        </is>
      </c>
      <c r="H1065" s="3" t="inlineStr">
        <is>
          <t>Anthony Suarez (veeva.com)</t>
        </is>
      </c>
      <c r="I1065" s="3" t="inlineStr">
        <is>
          <t>Debhora Garcia</t>
        </is>
      </c>
      <c r="J1065" s="4" t="n">
        <v>45853.70547453704</v>
      </c>
      <c r="K1065" s="5" t="n">
        <v>45853.0</v>
      </c>
      <c r="L1065" s="5" t="n">
        <v>45853.0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42847922MDD3003</t>
        </is>
      </c>
    </row>
    <row r="1066">
      <c r="A1066" s="2" t="str">
        <f>HYPERLINK("https://vtmf.veevavault.com/ui/#doc_info/29561624/1/0", "42847922MDD3003---Quality Review Documentation-15 Jul 2025 (v1.0)")</f>
        <v>42847922MDD3003---Quality Review Documentation-15 Jul 2025 (v1.0)</v>
      </c>
      <c r="B1066" s="3" t="inlineStr">
        <is>
          <t>Trial Management</t>
        </is>
      </c>
      <c r="C1066" s="3" t="inlineStr">
        <is>
          <t>Trial Oversight</t>
        </is>
      </c>
      <c r="D1066" s="3" t="inlineStr">
        <is>
          <t>Quality Review Documentation</t>
        </is>
      </c>
      <c r="E1066" s="3" t="inlineStr">
        <is>
          <t>QRC Form_Annual</t>
        </is>
      </c>
      <c r="F1066" s="2" t="str">
        <f>HYPERLINK("https://vtmf.veevavault.com/ui/#doc_info/29561624/1/0", "VTMF-23777271")</f>
        <v>VTMF-23777271</v>
      </c>
      <c r="G1066" s="3" t="inlineStr">
        <is>
          <t/>
        </is>
      </c>
      <c r="H1066" s="3" t="inlineStr">
        <is>
          <t>System</t>
        </is>
      </c>
      <c r="I1066" s="3" t="inlineStr">
        <is>
          <t>Gina Stefanelli</t>
        </is>
      </c>
      <c r="J1066" s="4" t="n">
        <v>45853.821284722224</v>
      </c>
      <c r="K1066" s="5" t="n">
        <v>45853.0</v>
      </c>
      <c r="L1066" s="5" t="n">
        <v>45853.0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42847922MDD3003</t>
        </is>
      </c>
    </row>
    <row r="1067">
      <c r="A1067" s="2" t="str">
        <f>HYPERLINK("https://vtmf.veevavault.com/ui/#doc_info/29562387/1/0", "42847922MDD3003---Quality Review Documentation-15 Jul 2025 (v1.0)")</f>
        <v>42847922MDD3003---Quality Review Documentation-15 Jul 2025 (v1.0)</v>
      </c>
      <c r="B1067" s="3" t="inlineStr">
        <is>
          <t>Trial Management</t>
        </is>
      </c>
      <c r="C1067" s="3" t="inlineStr">
        <is>
          <t>Trial Oversight</t>
        </is>
      </c>
      <c r="D1067" s="3" t="inlineStr">
        <is>
          <t>Quality Review Documentation</t>
        </is>
      </c>
      <c r="E1067" s="3" t="inlineStr">
        <is>
          <t>Digital Health Operations Annual Quality Review Evidence</t>
        </is>
      </c>
      <c r="F1067" s="2" t="str">
        <f>HYPERLINK("https://vtmf.veevavault.com/ui/#doc_info/29562387/1/0", "VTMF-23778056")</f>
        <v>VTMF-23778056</v>
      </c>
      <c r="G1067" s="3" t="inlineStr">
        <is>
          <t/>
        </is>
      </c>
      <c r="H1067" s="3" t="inlineStr">
        <is>
          <t>Anthony Suarez (veeva.com)</t>
        </is>
      </c>
      <c r="I1067" s="3" t="inlineStr">
        <is>
          <t>Charles Hayes</t>
        </is>
      </c>
      <c r="J1067" s="4" t="n">
        <v>45853.93884259259</v>
      </c>
      <c r="K1067" s="5" t="n">
        <v>45853.0</v>
      </c>
      <c r="L1067" s="5" t="n">
        <v>45853.0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42847922MDD3003</t>
        </is>
      </c>
    </row>
    <row r="1068">
      <c r="A1068" s="2" t="str">
        <f>HYPERLINK("https://vtmf.veevavault.com/ui/#doc_info/29562517/1/0", "42847922MDD3003---Quality Review Documentation-15 Jul 2025 (v1.0)")</f>
        <v>42847922MDD3003---Quality Review Documentation-15 Jul 2025 (v1.0)</v>
      </c>
      <c r="B1068" s="3" t="inlineStr">
        <is>
          <t>Trial Management</t>
        </is>
      </c>
      <c r="C1068" s="3" t="inlineStr">
        <is>
          <t>Trial Oversight</t>
        </is>
      </c>
      <c r="D1068" s="3" t="inlineStr">
        <is>
          <t>Quality Review Documentation</t>
        </is>
      </c>
      <c r="E1068" s="3" t="inlineStr">
        <is>
          <t>Quality Review Evidence_DM_15Jul25</t>
        </is>
      </c>
      <c r="F1068" s="2" t="str">
        <f>HYPERLINK("https://vtmf.veevavault.com/ui/#doc_info/29562517/1/0", "VTMF-23778092")</f>
        <v>VTMF-23778092</v>
      </c>
      <c r="G1068" s="3" t="inlineStr">
        <is>
          <t/>
        </is>
      </c>
      <c r="H1068" s="3" t="inlineStr">
        <is>
          <t>Amrita Trueblood</t>
        </is>
      </c>
      <c r="I1068" s="3" t="inlineStr">
        <is>
          <t>Amrita Trueblood</t>
        </is>
      </c>
      <c r="J1068" s="4" t="n">
        <v>45853.94428240741</v>
      </c>
      <c r="K1068" s="5" t="n">
        <v>45853.0</v>
      </c>
      <c r="L1068" s="5" t="n">
        <v>45853.0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42847922MDD3003</t>
        </is>
      </c>
    </row>
    <row r="1069">
      <c r="A1069" s="2" t="str">
        <f>HYPERLINK("https://vtmf.veevavault.com/ui/#doc_info/31894060/1/0", "42847922MDD3003---Quality Review Documentation-17 Jun 2026 (v1.0)")</f>
        <v>42847922MDD3003---Quality Review Documentation-17 Jun 2026 (v1.0)</v>
      </c>
      <c r="B1069" s="3" t="inlineStr">
        <is>
          <t>Trial Management</t>
        </is>
      </c>
      <c r="C1069" s="3" t="inlineStr">
        <is>
          <t>Trial Oversight</t>
        </is>
      </c>
      <c r="D1069" s="3" t="inlineStr">
        <is>
          <t>Quality Review Documentation</t>
        </is>
      </c>
      <c r="E1069" s="3" t="inlineStr">
        <is>
          <t>EU CTR_Timely Filing Evidence Report_Interval 2</t>
        </is>
      </c>
      <c r="F1069" s="2" t="str">
        <f>HYPERLINK("https://vtmf.veevavault.com/ui/#doc_info/31894060/1/0", "VTMF-25749459")</f>
        <v>VTMF-25749459</v>
      </c>
      <c r="G1069" s="3" t="inlineStr">
        <is>
          <t/>
        </is>
      </c>
      <c r="H1069" s="3" t="inlineStr">
        <is>
          <t>System</t>
        </is>
      </c>
      <c r="I1069" s="3" t="inlineStr">
        <is>
          <t>Justyna Synos</t>
        </is>
      </c>
      <c r="J1069" s="4" t="n">
        <v>46190.46005787037</v>
      </c>
      <c r="K1069" s="5" t="n">
        <v>46190.0</v>
      </c>
      <c r="L1069" s="5" t="n">
        <v>46190.0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42756493BLC1003, 42847922MDD3003, 64007957MMY3006, 64407564MMY3009, NOPRODALZ0005</t>
        </is>
      </c>
    </row>
    <row r="1070">
      <c r="A1070" s="2" t="str">
        <f>HYPERLINK("https://vtmf.veevavault.com/ui/#doc_info/29382283/1/0", "42847922MDD3003---Quality Review Documentation-18 Jun 2025 (v1.0)")</f>
        <v>42847922MDD3003---Quality Review Documentation-18 Jun 2025 (v1.0)</v>
      </c>
      <c r="B1070" s="3" t="inlineStr">
        <is>
          <t>Trial Management</t>
        </is>
      </c>
      <c r="C1070" s="3" t="inlineStr">
        <is>
          <t>Trial Oversight</t>
        </is>
      </c>
      <c r="D1070" s="3" t="inlineStr">
        <is>
          <t>Quality Review Documentation</t>
        </is>
      </c>
      <c r="E1070" s="3" t="inlineStr">
        <is>
          <t>Quality Review Documentation 2025 AQR</t>
        </is>
      </c>
      <c r="F1070" s="2" t="str">
        <f>HYPERLINK("https://vtmf.veevavault.com/ui/#doc_info/29382283/1/0", "VTMF-23622710")</f>
        <v>VTMF-23622710</v>
      </c>
      <c r="G1070" s="3" t="inlineStr">
        <is>
          <t/>
        </is>
      </c>
      <c r="H1070" s="3" t="inlineStr">
        <is>
          <t>Anthony Suarez (veeva.com)</t>
        </is>
      </c>
      <c r="I1070" s="3" t="inlineStr">
        <is>
          <t>RYAN KELLY</t>
        </is>
      </c>
      <c r="J1070" s="4" t="n">
        <v>45826.84008101852</v>
      </c>
      <c r="K1070" s="5" t="n">
        <v>45826.0</v>
      </c>
      <c r="L1070" s="5" t="n">
        <v>45826.0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42847922MDD3003</t>
        </is>
      </c>
    </row>
    <row r="1071">
      <c r="A1071" s="2" t="str">
        <f>HYPERLINK("https://vtmf.veevavault.com/ui/#doc_info/29382288/1/0", "42847922MDD3003---Quality Review Documentation-18 Jun 2025 (v1.0)")</f>
        <v>42847922MDD3003---Quality Review Documentation-18 Jun 2025 (v1.0)</v>
      </c>
      <c r="B1071" s="3" t="inlineStr">
        <is>
          <t>Trial Management</t>
        </is>
      </c>
      <c r="C1071" s="3" t="inlineStr">
        <is>
          <t>Trial Oversight</t>
        </is>
      </c>
      <c r="D1071" s="3" t="inlineStr">
        <is>
          <t>Quality Review Documentation</t>
        </is>
      </c>
      <c r="E1071" s="3" t="inlineStr">
        <is>
          <t>Quality Review Evidence AQR 2025</t>
        </is>
      </c>
      <c r="F1071" s="2" t="str">
        <f>HYPERLINK("https://vtmf.veevavault.com/ui/#doc_info/29382288/1/0", "VTMF-23622717")</f>
        <v>VTMF-23622717</v>
      </c>
      <c r="G1071" s="3" t="inlineStr">
        <is>
          <t/>
        </is>
      </c>
      <c r="H1071" s="3" t="inlineStr">
        <is>
          <t>Anthony Suarez (veeva.com)</t>
        </is>
      </c>
      <c r="I1071" s="3" t="inlineStr">
        <is>
          <t>RYAN KELLY</t>
        </is>
      </c>
      <c r="J1071" s="4" t="n">
        <v>45826.84111111111</v>
      </c>
      <c r="K1071" s="5" t="n">
        <v>45826.0</v>
      </c>
      <c r="L1071" s="5" t="n">
        <v>45826.0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42847922MDD3003</t>
        </is>
      </c>
    </row>
    <row r="1072">
      <c r="A1072" s="2" t="str">
        <f>HYPERLINK("https://vtmf.veevavault.com/ui/#doc_info/29412588/1/0", "42847922MDD3003---Quality Review Documentation-20 Jun 2025 (v1.0)")</f>
        <v>42847922MDD3003---Quality Review Documentation-20 Jun 2025 (v1.0)</v>
      </c>
      <c r="B1072" s="3" t="inlineStr">
        <is>
          <t>Trial Management</t>
        </is>
      </c>
      <c r="C1072" s="3" t="inlineStr">
        <is>
          <t>Trial Oversight</t>
        </is>
      </c>
      <c r="D1072" s="3" t="inlineStr">
        <is>
          <t>Quality Review Documentation</t>
        </is>
      </c>
      <c r="E1072" s="3" t="inlineStr">
        <is>
          <t>QRCF_July 2025 AQR</t>
        </is>
      </c>
      <c r="F1072" s="2" t="str">
        <f>HYPERLINK("https://vtmf.veevavault.com/ui/#doc_info/29412588/1/0", "VTMF-23650145")</f>
        <v>VTMF-23650145</v>
      </c>
      <c r="G1072" s="3" t="inlineStr">
        <is>
          <t/>
        </is>
      </c>
      <c r="H1072" s="3" t="inlineStr">
        <is>
          <t>Anthony Suarez (veeva.com)</t>
        </is>
      </c>
      <c r="I1072" s="3" t="inlineStr">
        <is>
          <t>Gina Stefanelli</t>
        </is>
      </c>
      <c r="J1072" s="4" t="n">
        <v>45828.65961805556</v>
      </c>
      <c r="K1072" s="5" t="n">
        <v>45828.0</v>
      </c>
      <c r="L1072" s="5" t="n">
        <v>45828.0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42847922MDD3003</t>
        </is>
      </c>
    </row>
    <row r="1073">
      <c r="A1073" s="2" t="str">
        <f>HYPERLINK("https://vtmf.veevavault.com/ui/#doc_info/29412601/1/0", "42847922MDD3003---Quality Review Documentation-20 Jun 2025 (v1.0)")</f>
        <v>42847922MDD3003---Quality Review Documentation-20 Jun 2025 (v1.0)</v>
      </c>
      <c r="B1073" s="3" t="inlineStr">
        <is>
          <t>Trial Management</t>
        </is>
      </c>
      <c r="C1073" s="3" t="inlineStr">
        <is>
          <t>Trial Oversight</t>
        </is>
      </c>
      <c r="D1073" s="3" t="inlineStr">
        <is>
          <t>Quality Review Documentation</t>
        </is>
      </c>
      <c r="E1073" s="3" t="inlineStr">
        <is>
          <t>GCO Quality Review Evidence V2.0_Study Level_July2025 AQR</t>
        </is>
      </c>
      <c r="F1073" s="2" t="str">
        <f>HYPERLINK("https://vtmf.veevavault.com/ui/#doc_info/29412601/1/0", "VTMF-23650166")</f>
        <v>VTMF-23650166</v>
      </c>
      <c r="G1073" s="3" t="inlineStr">
        <is>
          <t/>
        </is>
      </c>
      <c r="H1073" s="3" t="inlineStr">
        <is>
          <t>Anthony Suarez (veeva.com)</t>
        </is>
      </c>
      <c r="I1073" s="3" t="inlineStr">
        <is>
          <t>Gina Stefanelli</t>
        </is>
      </c>
      <c r="J1073" s="4" t="n">
        <v>45828.661631944444</v>
      </c>
      <c r="K1073" s="5" t="n">
        <v>45828.0</v>
      </c>
      <c r="L1073" s="5" t="n">
        <v>45828.0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42847922MDD3003</t>
        </is>
      </c>
    </row>
    <row r="1074">
      <c r="A1074" s="2" t="str">
        <f>HYPERLINK("https://vtmf.veevavault.com/ui/#doc_info/31778653/1/0", "42847922MDD3003---Reconciliation Document-29 May 2026 (v1.0)")</f>
        <v>42847922MDD3003---Reconciliation Document-29 May 2026 (v1.0)</v>
      </c>
      <c r="B1074" s="3" t="inlineStr">
        <is>
          <t>Data Management</t>
        </is>
      </c>
      <c r="C1074" s="3" t="inlineStr">
        <is>
          <t>Database</t>
        </is>
      </c>
      <c r="D1074" s="3" t="inlineStr">
        <is>
          <t>Reconciliation Document</t>
        </is>
      </c>
      <c r="E1074" s="3" t="inlineStr">
        <is>
          <t>Reconciliation tracker_Beacon_Pal_ID_07May2026_DBL_Part_1</t>
        </is>
      </c>
      <c r="F1074" s="2" t="str">
        <f>HYPERLINK("https://vtmf.veevavault.com/ui/#doc_info/31778653/1/0", "VTMF-25650776")</f>
        <v>VTMF-25650776</v>
      </c>
      <c r="G1074" s="3" t="inlineStr">
        <is>
          <t/>
        </is>
      </c>
      <c r="H1074" s="3" t="inlineStr">
        <is>
          <t>System</t>
        </is>
      </c>
      <c r="I1074" s="3" t="inlineStr">
        <is>
          <t>Ian Featherstone</t>
        </is>
      </c>
      <c r="J1074" s="4" t="n">
        <v>46171.67475694444</v>
      </c>
      <c r="K1074" s="5" t="n">
        <v>46171.0</v>
      </c>
      <c r="L1074" s="5" t="n">
        <v>46171.0</v>
      </c>
      <c r="M1074" s="3" t="inlineStr">
        <is>
          <t>Approved</t>
        </is>
      </c>
      <c r="N1074" s="3" t="inlineStr">
        <is>
          <t>Study Close</t>
        </is>
      </c>
      <c r="O1074" s="3" t="inlineStr">
        <is>
          <t>42847922MDD3003</t>
        </is>
      </c>
    </row>
    <row r="1075">
      <c r="A1075" s="2" t="str">
        <f>HYPERLINK("https://vtmf.veevavault.com/ui/#doc_info/31778668/1/0", "42847922MDD3003---Reconciliation Document-29 May 2026 (v1.0)")</f>
        <v>42847922MDD3003---Reconciliation Document-29 May 2026 (v1.0)</v>
      </c>
      <c r="B1075" s="3" t="inlineStr">
        <is>
          <t>Data Management</t>
        </is>
      </c>
      <c r="C1075" s="3" t="inlineStr">
        <is>
          <t>Database</t>
        </is>
      </c>
      <c r="D1075" s="3" t="inlineStr">
        <is>
          <t>Reconciliation Document</t>
        </is>
      </c>
      <c r="E1075" s="3" t="inlineStr">
        <is>
          <t>Reconciliation tracker_ECG_25May2026_DBL_Part_1</t>
        </is>
      </c>
      <c r="F1075" s="2" t="str">
        <f>HYPERLINK("https://vtmf.veevavault.com/ui/#doc_info/31778668/1/0", "VTMF-25650802")</f>
        <v>VTMF-25650802</v>
      </c>
      <c r="G1075" s="3" t="inlineStr">
        <is>
          <t/>
        </is>
      </c>
      <c r="H1075" s="3" t="inlineStr">
        <is>
          <t>System</t>
        </is>
      </c>
      <c r="I1075" s="3" t="inlineStr">
        <is>
          <t>Ian Featherstone</t>
        </is>
      </c>
      <c r="J1075" s="4" t="n">
        <v>46171.67706018518</v>
      </c>
      <c r="K1075" s="5" t="n">
        <v>46171.0</v>
      </c>
      <c r="L1075" s="5" t="n">
        <v>46171.0</v>
      </c>
      <c r="M1075" s="3" t="inlineStr">
        <is>
          <t>Approved</t>
        </is>
      </c>
      <c r="N1075" s="3" t="inlineStr">
        <is>
          <t>Study Close</t>
        </is>
      </c>
      <c r="O1075" s="3" t="inlineStr">
        <is>
          <t>42847922MDD3003</t>
        </is>
      </c>
    </row>
    <row r="1076">
      <c r="A1076" s="2" t="str">
        <f>HYPERLINK("https://vtmf.veevavault.com/ui/#doc_info/31778681/1/0", "42847922MDD3003---Reconciliation Document-29 May 2026 (v1.0)")</f>
        <v>42847922MDD3003---Reconciliation Document-29 May 2026 (v1.0)</v>
      </c>
      <c r="B1076" s="3" t="inlineStr">
        <is>
          <t>Data Management</t>
        </is>
      </c>
      <c r="C1076" s="3" t="inlineStr">
        <is>
          <t>Database</t>
        </is>
      </c>
      <c r="D1076" s="3" t="inlineStr">
        <is>
          <t>Reconciliation Document</t>
        </is>
      </c>
      <c r="E1076" s="3" t="inlineStr">
        <is>
          <t>Reconciliation tracker_ST_Conttrac_14May2026_DBL_Part_1</t>
        </is>
      </c>
      <c r="F1076" s="2" t="str">
        <f>HYPERLINK("https://vtmf.veevavault.com/ui/#doc_info/31778681/1/0", "VTMF-25650828")</f>
        <v>VTMF-25650828</v>
      </c>
      <c r="G1076" s="3" t="inlineStr">
        <is>
          <t/>
        </is>
      </c>
      <c r="H1076" s="3" t="inlineStr">
        <is>
          <t>System</t>
        </is>
      </c>
      <c r="I1076" s="3" t="inlineStr">
        <is>
          <t>Ian Featherstone</t>
        </is>
      </c>
      <c r="J1076" s="4" t="n">
        <v>46171.679085648146</v>
      </c>
      <c r="K1076" s="5" t="n">
        <v>46171.0</v>
      </c>
      <c r="L1076" s="5" t="n">
        <v>46171.0</v>
      </c>
      <c r="M1076" s="3" t="inlineStr">
        <is>
          <t>Approved</t>
        </is>
      </c>
      <c r="N1076" s="3" t="inlineStr">
        <is>
          <t>Study Close</t>
        </is>
      </c>
      <c r="O1076" s="3" t="inlineStr">
        <is>
          <t>42847922MDD3003</t>
        </is>
      </c>
    </row>
    <row r="1077">
      <c r="A1077" s="2" t="str">
        <f>HYPERLINK("https://vtmf.veevavault.com/ui/#doc_info/31778691/1/0", "42847922MDD3003---Reconciliation Document-29 May 2026 (v1.0)")</f>
        <v>42847922MDD3003---Reconciliation Document-29 May 2026 (v1.0)</v>
      </c>
      <c r="B1077" s="3" t="inlineStr">
        <is>
          <t>Data Management</t>
        </is>
      </c>
      <c r="C1077" s="3" t="inlineStr">
        <is>
          <t>Database</t>
        </is>
      </c>
      <c r="D1077" s="3" t="inlineStr">
        <is>
          <t>Reconciliation Document</t>
        </is>
      </c>
      <c r="E1077" s="3" t="inlineStr">
        <is>
          <t>Reconciliation tracker_ZR_05May2026_DBL_Part_1</t>
        </is>
      </c>
      <c r="F1077" s="2" t="str">
        <f>HYPERLINK("https://vtmf.veevavault.com/ui/#doc_info/31778691/1/0", "VTMF-25650847")</f>
        <v>VTMF-25650847</v>
      </c>
      <c r="G1077" s="3" t="inlineStr">
        <is>
          <t/>
        </is>
      </c>
      <c r="H1077" s="3" t="inlineStr">
        <is>
          <t>System</t>
        </is>
      </c>
      <c r="I1077" s="3" t="inlineStr">
        <is>
          <t>Ian Featherstone</t>
        </is>
      </c>
      <c r="J1077" s="4" t="n">
        <v>46171.680601851855</v>
      </c>
      <c r="K1077" s="5" t="n">
        <v>46171.0</v>
      </c>
      <c r="L1077" s="5" t="n">
        <v>46171.0</v>
      </c>
      <c r="M1077" s="3" t="inlineStr">
        <is>
          <t>Approved</t>
        </is>
      </c>
      <c r="N1077" s="3" t="inlineStr">
        <is>
          <t>Study Close</t>
        </is>
      </c>
      <c r="O1077" s="3" t="inlineStr">
        <is>
          <t>42847922MDD3003</t>
        </is>
      </c>
    </row>
    <row r="1078">
      <c r="A1078" s="2" t="str">
        <f>HYPERLINK("https://vtmf.veevavault.com/ui/#doc_info/31778700/1/0", "42847922MDD3003---Reconciliation Document-29 May 2026 (v1.0)")</f>
        <v>42847922MDD3003---Reconciliation Document-29 May 2026 (v1.0)</v>
      </c>
      <c r="B1078" s="3" t="inlineStr">
        <is>
          <t>Data Management</t>
        </is>
      </c>
      <c r="C1078" s="3" t="inlineStr">
        <is>
          <t>Database</t>
        </is>
      </c>
      <c r="D1078" s="3" t="inlineStr">
        <is>
          <t>Reconciliation Document</t>
        </is>
      </c>
      <c r="E1078" s="3" t="inlineStr">
        <is>
          <t>Reconciliation tracker_LB_29May2026_DBL_Part_1</t>
        </is>
      </c>
      <c r="F1078" s="2" t="str">
        <f>HYPERLINK("https://vtmf.veevavault.com/ui/#doc_info/31778700/1/0", "VTMF-25650857")</f>
        <v>VTMF-25650857</v>
      </c>
      <c r="G1078" s="3" t="inlineStr">
        <is>
          <t/>
        </is>
      </c>
      <c r="H1078" s="3" t="inlineStr">
        <is>
          <t>System</t>
        </is>
      </c>
      <c r="I1078" s="3" t="inlineStr">
        <is>
          <t>Ian Featherstone</t>
        </is>
      </c>
      <c r="J1078" s="4" t="n">
        <v>46171.682071759256</v>
      </c>
      <c r="K1078" s="5" t="n">
        <v>46171.0</v>
      </c>
      <c r="L1078" s="5" t="n">
        <v>46171.0</v>
      </c>
      <c r="M1078" s="3" t="inlineStr">
        <is>
          <t>Approved</t>
        </is>
      </c>
      <c r="N1078" s="3" t="inlineStr">
        <is>
          <t>Study Close</t>
        </is>
      </c>
      <c r="O1078" s="3" t="inlineStr">
        <is>
          <t>42847922MDD3003</t>
        </is>
      </c>
    </row>
    <row r="1079">
      <c r="A1079" s="2" t="str">
        <f>HYPERLINK("https://vtmf.veevavault.com/ui/#doc_info/31778902/1/0", "42847922MDD3003---Reconciliation Document-29 May 2026 (v1.0)")</f>
        <v>42847922MDD3003---Reconciliation Document-29 May 2026 (v1.0)</v>
      </c>
      <c r="B1079" s="3" t="inlineStr">
        <is>
          <t>Data Management</t>
        </is>
      </c>
      <c r="C1079" s="3" t="inlineStr">
        <is>
          <t>Database</t>
        </is>
      </c>
      <c r="D1079" s="3" t="inlineStr">
        <is>
          <t>Reconciliation Document</t>
        </is>
      </c>
      <c r="E1079" s="3" t="inlineStr">
        <is>
          <t>Reconciliation tracker_MB_21May2026_DBL_Part_1</t>
        </is>
      </c>
      <c r="F1079" s="2" t="str">
        <f>HYPERLINK("https://vtmf.veevavault.com/ui/#doc_info/31778902/1/0", "VTMF-25650868")</f>
        <v>VTMF-25650868</v>
      </c>
      <c r="G1079" s="3" t="inlineStr">
        <is>
          <t/>
        </is>
      </c>
      <c r="H1079" s="3" t="inlineStr">
        <is>
          <t>System</t>
        </is>
      </c>
      <c r="I1079" s="3" t="inlineStr">
        <is>
          <t>Ian Featherstone</t>
        </is>
      </c>
      <c r="J1079" s="4" t="n">
        <v>46171.68314814815</v>
      </c>
      <c r="K1079" s="5" t="n">
        <v>46171.0</v>
      </c>
      <c r="L1079" s="5" t="n">
        <v>46171.0</v>
      </c>
      <c r="M1079" s="3" t="inlineStr">
        <is>
          <t>Approved</t>
        </is>
      </c>
      <c r="N1079" s="3" t="inlineStr">
        <is>
          <t>Study Close</t>
        </is>
      </c>
      <c r="O1079" s="3" t="inlineStr">
        <is>
          <t>42847922MDD3003</t>
        </is>
      </c>
    </row>
    <row r="1080">
      <c r="A1080" s="2" t="str">
        <f>HYPERLINK("https://vtmf.veevavault.com/ui/#doc_info/31778912/1/0", "42847922MDD3003---Reconciliation Document-29 May 2026 (v1.0)")</f>
        <v>42847922MDD3003---Reconciliation Document-29 May 2026 (v1.0)</v>
      </c>
      <c r="B1080" s="3" t="inlineStr">
        <is>
          <t>Data Management</t>
        </is>
      </c>
      <c r="C1080" s="3" t="inlineStr">
        <is>
          <t>Database</t>
        </is>
      </c>
      <c r="D1080" s="3" t="inlineStr">
        <is>
          <t>Reconciliation Document</t>
        </is>
      </c>
      <c r="E1080" s="3" t="inlineStr">
        <is>
          <t>Reconciliation tracker_ECOA FA_19May2026_DBL_Part_1</t>
        </is>
      </c>
      <c r="F1080" s="2" t="str">
        <f>HYPERLINK("https://vtmf.veevavault.com/ui/#doc_info/31778912/1/0", "VTMF-25650888")</f>
        <v>VTMF-25650888</v>
      </c>
      <c r="G1080" s="3" t="inlineStr">
        <is>
          <t/>
        </is>
      </c>
      <c r="H1080" s="3" t="inlineStr">
        <is>
          <t>System</t>
        </is>
      </c>
      <c r="I1080" s="3" t="inlineStr">
        <is>
          <t>Ian Featherstone</t>
        </is>
      </c>
      <c r="J1080" s="4" t="n">
        <v>46171.6847337963</v>
      </c>
      <c r="K1080" s="5" t="n">
        <v>46171.0</v>
      </c>
      <c r="L1080" s="5" t="n">
        <v>46171.0</v>
      </c>
      <c r="M1080" s="3" t="inlineStr">
        <is>
          <t>Approved</t>
        </is>
      </c>
      <c r="N1080" s="3" t="inlineStr">
        <is>
          <t>Study Close</t>
        </is>
      </c>
      <c r="O1080" s="3" t="inlineStr">
        <is>
          <t>42847922MDD3003</t>
        </is>
      </c>
    </row>
    <row r="1081">
      <c r="A1081" s="2" t="str">
        <f>HYPERLINK("https://vtmf.veevavault.com/ui/#doc_info/25929647/2/0", "42847922MDD3003---Recruitment Plan-04 Nov 2024 (v2.0)")</f>
        <v>42847922MDD3003---Recruitment Plan-04 Nov 2024 (v2.0)</v>
      </c>
      <c r="B1081" s="3" t="inlineStr">
        <is>
          <t>Trial Management</t>
        </is>
      </c>
      <c r="C1081" s="3" t="inlineStr">
        <is>
          <t>Trial Oversight</t>
        </is>
      </c>
      <c r="D1081" s="3" t="inlineStr">
        <is>
          <t>Recruitment Plan</t>
        </is>
      </c>
      <c r="E1081" s="3" t="inlineStr">
        <is>
          <t>MDD_Global Strategic Recruitment and Retention Plan_v2.0_04Nov2024.pptx</t>
        </is>
      </c>
      <c r="F1081" s="2" t="str">
        <f>HYPERLINK("https://vtmf.veevavault.com/ui/#doc_info/25929647/2/0", "VTMF-20717449")</f>
        <v>VTMF-20717449</v>
      </c>
      <c r="G1081" s="3" t="inlineStr">
        <is>
          <t/>
        </is>
      </c>
      <c r="H1081" s="3" t="inlineStr">
        <is>
          <t>Anthony Suarez (veeva.com)</t>
        </is>
      </c>
      <c r="I1081" s="3" t="inlineStr">
        <is>
          <t>Astrid Lenaerts</t>
        </is>
      </c>
      <c r="J1081" s="4" t="n">
        <v>45600.45724537037</v>
      </c>
      <c r="K1081" s="5" t="n">
        <v>45600.0</v>
      </c>
      <c r="L1081" s="5" t="n">
        <v>45600.0</v>
      </c>
      <c r="M1081" s="3" t="inlineStr">
        <is>
          <t>Approved</t>
        </is>
      </c>
      <c r="N1081" s="3" t="inlineStr">
        <is>
          <t>Study Start</t>
        </is>
      </c>
      <c r="O1081" s="3" t="inlineStr">
        <is>
          <t>42847922MDD3003, 67953964MDD3005, 67953964MDD3007, 89495120MDD2001</t>
        </is>
      </c>
    </row>
    <row r="1082">
      <c r="A1082" s="2" t="str">
        <f>HYPERLINK("https://vtmf.veevavault.com/ui/#doc_info/27407984/1/0", "42847922MDD3003---Recruitment Plan-04 Nov 2024 (v1.0)")</f>
        <v>42847922MDD3003---Recruitment Plan-04 Nov 2024 (v1.0)</v>
      </c>
      <c r="B1082" s="3" t="inlineStr">
        <is>
          <t>Trial Management</t>
        </is>
      </c>
      <c r="C1082" s="3" t="inlineStr">
        <is>
          <t>Trial Oversight</t>
        </is>
      </c>
      <c r="D1082" s="3" t="inlineStr">
        <is>
          <t>Recruitment Plan</t>
        </is>
      </c>
      <c r="E1082" s="3" t="inlineStr">
        <is>
          <t>MDD Global R&amp;R Strategy - Refresh training_04Nov2024</t>
        </is>
      </c>
      <c r="F1082" s="2" t="str">
        <f>HYPERLINK("https://vtmf.veevavault.com/ui/#doc_info/27407984/1/0", "VTMF-21985447")</f>
        <v>VTMF-21985447</v>
      </c>
      <c r="G1082" s="3" t="inlineStr">
        <is>
          <t/>
        </is>
      </c>
      <c r="H1082" s="3" t="inlineStr">
        <is>
          <t>Anthony Suarez (veeva.com)</t>
        </is>
      </c>
      <c r="I1082" s="3" t="inlineStr">
        <is>
          <t>Astrid Lenaerts</t>
        </is>
      </c>
      <c r="J1082" s="4" t="n">
        <v>45600.73619212963</v>
      </c>
      <c r="K1082" s="5" t="n">
        <v>45600.0</v>
      </c>
      <c r="L1082" s="5" t="n">
        <v>45600.0</v>
      </c>
      <c r="M1082" s="3" t="inlineStr">
        <is>
          <t>Approved</t>
        </is>
      </c>
      <c r="N1082" s="3" t="inlineStr">
        <is>
          <t>Study Start</t>
        </is>
      </c>
      <c r="O1082" s="3" t="inlineStr">
        <is>
          <t>42847922MDD3003, 67953964MDD3005, 67953964MDD3007, 89495120MDD2001</t>
        </is>
      </c>
    </row>
    <row r="1083">
      <c r="A1083" s="2" t="str">
        <f>HYPERLINK("https://vtmf.veevavault.com/ui/#doc_info/27408203/1/0", "42847922MDD3003---Recruitment Plan-04 Nov 2024 (v1.0)")</f>
        <v>42847922MDD3003---Recruitment Plan-04 Nov 2024 (v1.0)</v>
      </c>
      <c r="B1083" s="3" t="inlineStr">
        <is>
          <t>Trial Management</t>
        </is>
      </c>
      <c r="C1083" s="3" t="inlineStr">
        <is>
          <t>Trial Oversight</t>
        </is>
      </c>
      <c r="D1083" s="3" t="inlineStr">
        <is>
          <t>Recruitment Plan</t>
        </is>
      </c>
      <c r="E1083" s="3" t="inlineStr">
        <is>
          <t>MDD_R&amp;R Planning Refresh_4Nov2024.pptx</t>
        </is>
      </c>
      <c r="F1083" s="2" t="str">
        <f>HYPERLINK("https://vtmf.veevavault.com/ui/#doc_info/27408203/1/0", "VTMF-21985507")</f>
        <v>VTMF-21985507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Astrid Lenaerts</t>
        </is>
      </c>
      <c r="J1083" s="4" t="n">
        <v>45600.74324074074</v>
      </c>
      <c r="K1083" s="5" t="n">
        <v>45600.0</v>
      </c>
      <c r="L1083" s="5" t="n">
        <v>45600.0</v>
      </c>
      <c r="M1083" s="3" t="inlineStr">
        <is>
          <t>Approved</t>
        </is>
      </c>
      <c r="N1083" s="3" t="inlineStr">
        <is>
          <t>Study Start</t>
        </is>
      </c>
      <c r="O1083" s="3" t="inlineStr">
        <is>
          <t>42847922MDD3003, 67953964MDD3005, 67953964MDD3007, 89495120MDD2001</t>
        </is>
      </c>
    </row>
    <row r="1084">
      <c r="A1084" s="2" t="str">
        <f>HYPERLINK("https://vtmf.veevavault.com/ui/#doc_info/27402579/2/0", "42847922MDD3003---Recruitment Plan-14 Nov 2024 (v2.0)")</f>
        <v>42847922MDD3003---Recruitment Plan-14 Nov 2024 (v2.0)</v>
      </c>
      <c r="B1084" s="3" t="inlineStr">
        <is>
          <t>Trial Management</t>
        </is>
      </c>
      <c r="C1084" s="3" t="inlineStr">
        <is>
          <t>Trial Oversight</t>
        </is>
      </c>
      <c r="D1084" s="3" t="inlineStr">
        <is>
          <t>Recruitment Plan</t>
        </is>
      </c>
      <c r="E1084" s="3" t="inlineStr">
        <is>
          <t>Guidance for managing Booster calls &amp; visits_v2.0</t>
        </is>
      </c>
      <c r="F1084" s="2" t="str">
        <f>HYPERLINK("https://vtmf.veevavault.com/ui/#doc_info/27402579/2/0", "VTMF-21980515")</f>
        <v>VTMF-21980515</v>
      </c>
      <c r="G1084" s="3" t="inlineStr">
        <is>
          <t/>
        </is>
      </c>
      <c r="H1084" s="3" t="inlineStr">
        <is>
          <t>Gina Stefanelli</t>
        </is>
      </c>
      <c r="I1084" s="3" t="inlineStr">
        <is>
          <t>Eva Picado</t>
        </is>
      </c>
      <c r="J1084" s="4" t="n">
        <v>45610.71947916667</v>
      </c>
      <c r="K1084" s="5" t="n">
        <v>45610.0</v>
      </c>
      <c r="L1084" s="5" t="n">
        <v>45610.0</v>
      </c>
      <c r="M1084" s="3" t="inlineStr">
        <is>
          <t>Approved</t>
        </is>
      </c>
      <c r="N1084" s="3" t="inlineStr">
        <is>
          <t>Study Start</t>
        </is>
      </c>
      <c r="O1084" s="3" t="inlineStr">
        <is>
          <t>42847922MDD3003</t>
        </is>
      </c>
    </row>
    <row r="1085">
      <c r="A1085" s="2" t="str">
        <f>HYPERLINK("https://vtmf.veevavault.com/ui/#doc_info/25965107/1/0", "42847922MDD3003---Recruitment Plan-20 Mar 2024 (v1.0)")</f>
        <v>42847922MDD3003---Recruitment Plan-20 Mar 2024 (v1.0)</v>
      </c>
      <c r="B1085" s="3" t="inlineStr">
        <is>
          <t>Trial Management</t>
        </is>
      </c>
      <c r="C1085" s="3" t="inlineStr">
        <is>
          <t>Trial Oversight</t>
        </is>
      </c>
      <c r="D1085" s="3" t="inlineStr">
        <is>
          <t>Recruitment Plan</t>
        </is>
      </c>
      <c r="E1085" s="3" t="inlineStr">
        <is>
          <t>Recording of MDD Global Strategic Recruitment and Retention Plan</t>
        </is>
      </c>
      <c r="F1085" s="2" t="str">
        <f>HYPERLINK("https://vtmf.veevavault.com/ui/#doc_info/25965107/1/0", "VTMF-20748777")</f>
        <v>VTMF-20748777</v>
      </c>
      <c r="G1085" s="3" t="inlineStr">
        <is>
          <t/>
        </is>
      </c>
      <c r="H1085" s="3" t="inlineStr">
        <is>
          <t>Anthony Suarez (veeva.com)</t>
        </is>
      </c>
      <c r="I1085" s="3" t="inlineStr">
        <is>
          <t>Astrid Lenaerts</t>
        </is>
      </c>
      <c r="J1085" s="4" t="n">
        <v>45371.79609953704</v>
      </c>
      <c r="K1085" s="5" t="n">
        <v>45371.0</v>
      </c>
      <c r="L1085" s="5" t="n">
        <v>45371.0</v>
      </c>
      <c r="M1085" s="3" t="inlineStr">
        <is>
          <t>Approved</t>
        </is>
      </c>
      <c r="N1085" s="3" t="inlineStr">
        <is>
          <t>Study Start</t>
        </is>
      </c>
      <c r="O1085" s="3" t="inlineStr">
        <is>
          <t>42847922MDD3003, 67953964MDD3005, 67953964MDD3007, 89495120MDD2001</t>
        </is>
      </c>
    </row>
    <row r="1086">
      <c r="A1086" s="2" t="str">
        <f>HYPERLINK("https://vtmf.veevavault.com/ui/#doc_info/25780946/1/0", "42847922MDD3003---Recruitment Plan-23 Feb 2024 (v1.0)")</f>
        <v>42847922MDD3003---Recruitment Plan-23 Feb 2024 (v1.0)</v>
      </c>
      <c r="B1086" s="3" t="inlineStr">
        <is>
          <t>Trial Management</t>
        </is>
      </c>
      <c r="C1086" s="3" t="inlineStr">
        <is>
          <t>Trial Oversight</t>
        </is>
      </c>
      <c r="D1086" s="3" t="inlineStr">
        <is>
          <t>Recruitment Plan</t>
        </is>
      </c>
      <c r="E1086" s="3" t="inlineStr">
        <is>
          <t>Diversity Plan-FD-42847922MDD3003-1263313</t>
        </is>
      </c>
      <c r="F1086" s="2" t="str">
        <f>HYPERLINK("https://vtmf.veevavault.com/ui/#doc_info/25780946/1/0", "VTMF-20585936")</f>
        <v>VTMF-20585936</v>
      </c>
      <c r="G1086" s="3" t="inlineStr">
        <is>
          <t>RIMDOCS</t>
        </is>
      </c>
      <c r="H1086" s="3" t="inlineStr">
        <is>
          <t>System</t>
        </is>
      </c>
      <c r="I1086" s="3" t="inlineStr">
        <is>
          <t>Integration RIM Docs</t>
        </is>
      </c>
      <c r="J1086" s="4" t="n">
        <v>45345.70144675926</v>
      </c>
      <c r="K1086" s="5" t="n">
        <v>45345.0</v>
      </c>
      <c r="L1086" s="5" t="n">
        <v>45345.0</v>
      </c>
      <c r="M1086" s="3" t="inlineStr">
        <is>
          <t>Approved</t>
        </is>
      </c>
      <c r="N1086" s="3" t="inlineStr">
        <is>
          <t>Study Start</t>
        </is>
      </c>
      <c r="O1086" s="3" t="inlineStr">
        <is>
          <t>42847922MDD3003</t>
        </is>
      </c>
    </row>
    <row r="1087">
      <c r="A1087" s="2" t="str">
        <f>HYPERLINK("https://vtmf.veevavault.com/ui/#doc_info/29481762/1/0", "42847922MDD3003---Regulatory Progress Report-02 Jul 2025- (v1.0)")</f>
        <v>42847922MDD3003---Regulatory Progress Report-02 Jul 2025- (v1.0)</v>
      </c>
      <c r="B1087" s="3" t="inlineStr">
        <is>
          <t>Regulatory</t>
        </is>
      </c>
      <c r="C1087" s="3" t="inlineStr">
        <is>
          <t>Trial Status Reporting</t>
        </is>
      </c>
      <c r="D1087" s="3" t="inlineStr">
        <is>
          <t>Regulatory Progress Report</t>
        </is>
      </c>
      <c r="E1087" s="3" t="inlineStr">
        <is>
          <t>ASR-2025-02539_JNJ-42847922_seltorexant_05May2024 until 04May2025</t>
        </is>
      </c>
      <c r="F1087" s="2" t="str">
        <f>HYPERLINK("https://vtmf.veevavault.com/ui/#doc_info/29481762/1/0", "VTMF-23710342")</f>
        <v>VTMF-23710342</v>
      </c>
      <c r="G1087" s="3" t="inlineStr">
        <is>
          <t/>
        </is>
      </c>
      <c r="H1087" s="3" t="inlineStr">
        <is>
          <t>System</t>
        </is>
      </c>
      <c r="I1087" s="3" t="inlineStr">
        <is>
          <t>Anna Milewska</t>
        </is>
      </c>
      <c r="J1087" s="4" t="n">
        <v>45840.41515046296</v>
      </c>
      <c r="K1087" s="5" t="n">
        <v>45840.0</v>
      </c>
      <c r="L1087" s="5" t="n">
        <v>45840.0</v>
      </c>
      <c r="M1087" s="3" t="inlineStr">
        <is>
          <t>Approved</t>
        </is>
      </c>
      <c r="N1087" s="3" t="inlineStr">
        <is>
          <t>Country Close</t>
        </is>
      </c>
      <c r="O1087" s="3" t="inlineStr">
        <is>
          <t>42847922MDD3003</t>
        </is>
      </c>
    </row>
    <row r="1088">
      <c r="A1088" s="2" t="str">
        <f>HYPERLINK("https://vtmf.veevavault.com/ui/#doc_info/26937146/1/0", "42847922MDD3003---Relevant Communications-01 Jul 2024 (v1.0)")</f>
        <v>42847922MDD3003---Relevant Communications-01 Jul 2024 (v1.0)</v>
      </c>
      <c r="B1088" s="3" t="inlineStr">
        <is>
          <t>Third Parties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J&amp;J_42847922MDD3003_Handheld Software Download Memo_v1.12</t>
        </is>
      </c>
      <c r="F1088" s="2" t="str">
        <f>HYPERLINK("https://vtmf.veevavault.com/ui/#doc_info/26937146/1/0", "VTMF-21593323")</f>
        <v>VTMF-21593323</v>
      </c>
      <c r="G1088" s="3" t="inlineStr">
        <is>
          <t/>
        </is>
      </c>
      <c r="H1088" s="3" t="inlineStr">
        <is>
          <t>Anthony Suarez (veeva.com)</t>
        </is>
      </c>
      <c r="I1088" s="3" t="inlineStr">
        <is>
          <t>Debhora Garcia</t>
        </is>
      </c>
      <c r="J1088" s="4" t="n">
        <v>45526.75502314815</v>
      </c>
      <c r="K1088" s="5" t="n">
        <v>45526.0</v>
      </c>
      <c r="L1088" s="5" t="n">
        <v>45474.0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42847922MDD3003</t>
        </is>
      </c>
    </row>
    <row r="1089">
      <c r="A1089" s="2" t="str">
        <f>HYPERLINK("https://vtmf.veevavault.com/ui/#doc_info/26274901/1/0", "42847922MDD3003---Relevant Communications-01 May 2024 (v1.0)")</f>
        <v>42847922MDD3003---Relevant Communications-01 May 2024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42847922MDD3003 Clario Database Live 01May2024</t>
        </is>
      </c>
      <c r="F1089" s="2" t="str">
        <f>HYPERLINK("https://vtmf.veevavault.com/ui/#doc_info/26274901/1/0", "VTMF-21019846")</f>
        <v>VTMF-21019846</v>
      </c>
      <c r="G1089" s="3" t="inlineStr">
        <is>
          <t/>
        </is>
      </c>
      <c r="H1089" s="3" t="inlineStr">
        <is>
          <t>System</t>
        </is>
      </c>
      <c r="I1089" s="3" t="inlineStr">
        <is>
          <t>Jamie Hardy</t>
        </is>
      </c>
      <c r="J1089" s="4" t="n">
        <v>45419.67958333333</v>
      </c>
      <c r="K1089" s="5" t="n">
        <v>45419.0</v>
      </c>
      <c r="L1089" s="5" t="n">
        <v>45413.0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42847922MDD3003</t>
        </is>
      </c>
    </row>
    <row r="1090">
      <c r="A1090" s="2" t="str">
        <f>HYPERLINK("https://vtmf.veevavault.com/ui/#doc_info/31068737/1/0", "42847922MDD3003---Relevant Communications-01 Nov 2024 (v1.0)")</f>
        <v>42847922MDD3003---Relevant Communications-01 Nov 2024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MDD3003: finalization: AE/AESI's related to suicidal thoughts, ideation, behaviors</t>
        </is>
      </c>
      <c r="F1090" s="2" t="str">
        <f>HYPERLINK("https://vtmf.veevavault.com/ui/#doc_info/31068737/1/0", "VTMF-25047266")</f>
        <v>VTMF-25047266</v>
      </c>
      <c r="G1090" s="3" t="inlineStr">
        <is>
          <t/>
        </is>
      </c>
      <c r="H1090" s="3" t="inlineStr">
        <is>
          <t>System</t>
        </is>
      </c>
      <c r="I1090" s="3" t="inlineStr">
        <is>
          <t>Gabriela Dluska</t>
        </is>
      </c>
      <c r="J1090" s="4" t="n">
        <v>46079.43462962963</v>
      </c>
      <c r="K1090" s="5" t="n">
        <v>46079.0</v>
      </c>
      <c r="L1090" s="5" t="n">
        <v>45597.0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42847922MDD3003</t>
        </is>
      </c>
    </row>
    <row r="1091">
      <c r="A1091" s="2" t="str">
        <f>HYPERLINK("https://vtmf.veevavault.com/ui/#doc_info/30087125/1/0", "42847922MDD3003---Relevant Communications-01 Oct 2025 (v1.0)")</f>
        <v>42847922MDD3003---Relevant Communications-01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News Post-OARS-7: Newsletter Edition 5 Now Available!-01 Oct 2025</t>
        </is>
      </c>
      <c r="F1091" s="2" t="str">
        <f>HYPERLINK("https://vtmf.veevavault.com/ui/#doc_info/30087125/1/0", "VTMF-24218406")</f>
        <v>VTMF-24218406</v>
      </c>
      <c r="G1091" s="3" t="inlineStr">
        <is>
          <t/>
        </is>
      </c>
      <c r="H1091" s="3" t="inlineStr">
        <is>
          <t>System</t>
        </is>
      </c>
      <c r="I1091" s="3" t="inlineStr">
        <is>
          <t>DrugDev API Account</t>
        </is>
      </c>
      <c r="J1091" s="4" t="n">
        <v>45932.896365740744</v>
      </c>
      <c r="K1091" s="5" t="n">
        <v>45933.0</v>
      </c>
      <c r="L1091" s="5" t="n">
        <v>45931.0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42847922MDD3003</t>
        </is>
      </c>
    </row>
    <row r="1092">
      <c r="A1092" s="2" t="str">
        <f>HYPERLINK("https://vtmf.veevavault.com/ui/#doc_info/28803725/1/0", "42847922MDD3003---Relevant Communications-02 Apr 2025 (v1.0)")</f>
        <v>42847922MDD3003---Relevant Communications-02 Apr 2025 (v1.0)</v>
      </c>
      <c r="B1092" s="3" t="inlineStr">
        <is>
          <t>Third Parties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Dreem Headband_ FAQ</t>
        </is>
      </c>
      <c r="F1092" s="2" t="str">
        <f>HYPERLINK("https://vtmf.veevavault.com/ui/#doc_info/28803725/1/0", "VTMF-23142577")</f>
        <v>VTMF-23142577</v>
      </c>
      <c r="G1092" s="3" t="inlineStr">
        <is>
          <t/>
        </is>
      </c>
      <c r="H1092" s="3" t="inlineStr">
        <is>
          <t>Anthony Suarez (veeva.com)</t>
        </is>
      </c>
      <c r="I1092" s="3" t="inlineStr">
        <is>
          <t>Debhora Garcia</t>
        </is>
      </c>
      <c r="J1092" s="4" t="n">
        <v>45750.74637731481</v>
      </c>
      <c r="K1092" s="5" t="n">
        <v>45750.0</v>
      </c>
      <c r="L1092" s="5" t="n">
        <v>45749.0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42847922MDD3003</t>
        </is>
      </c>
    </row>
    <row r="1093">
      <c r="A1093" s="2" t="str">
        <f>HYPERLINK("https://vtmf.veevavault.com/ui/#doc_info/30640181/1/0", "42847922MDD3003---Relevant Communications-02 Apr 2025 (v1.0)")</f>
        <v>42847922MDD3003---Relevant Communications-02 Apr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News Post-OARS-7: Patient Journey Part 1-02 Apr 2025</t>
        </is>
      </c>
      <c r="F1093" s="2" t="str">
        <f>HYPERLINK("https://vtmf.veevavault.com/ui/#doc_info/30640181/1/0", "VTMF-24689706")</f>
        <v>VTMF-24689706</v>
      </c>
      <c r="G1093" s="3" t="inlineStr">
        <is>
          <t/>
        </is>
      </c>
      <c r="H1093" s="3" t="inlineStr">
        <is>
          <t>System</t>
        </is>
      </c>
      <c r="I1093" s="3" t="inlineStr">
        <is>
          <t>DrugDev API Account</t>
        </is>
      </c>
      <c r="J1093" s="4" t="n">
        <v>46009.72644675926</v>
      </c>
      <c r="K1093" s="5" t="n">
        <v>46010.0</v>
      </c>
      <c r="L1093" s="5" t="n">
        <v>45749.0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42847922MDD3003</t>
        </is>
      </c>
    </row>
    <row r="1094">
      <c r="A1094" s="2" t="str">
        <f>HYPERLINK("https://vtmf.veevavault.com/ui/#doc_info/30632575/1/0", "42847922MDD3003---Relevant Communications-02 Dec 2024 (v1.0)")</f>
        <v>42847922MDD3003---Relevant Communications-02 Dec 2024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News Post-CIRP - New Functionality-02 Dec 2024</t>
        </is>
      </c>
      <c r="F1094" s="2" t="str">
        <f>HYPERLINK("https://vtmf.veevavault.com/ui/#doc_info/30632575/1/0", "VTMF-24683323")</f>
        <v>VTMF-24683323</v>
      </c>
      <c r="G1094" s="3" t="inlineStr">
        <is>
          <t/>
        </is>
      </c>
      <c r="H1094" s="3" t="inlineStr">
        <is>
          <t>System</t>
        </is>
      </c>
      <c r="I1094" s="3" t="inlineStr">
        <is>
          <t>DrugDev API Account</t>
        </is>
      </c>
      <c r="J1094" s="4" t="n">
        <v>46009.16149305556</v>
      </c>
      <c r="K1094" s="5" t="n">
        <v>46010.0</v>
      </c>
      <c r="L1094" s="5" t="n">
        <v>45628.0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42847922MDD3003</t>
        </is>
      </c>
    </row>
    <row r="1095">
      <c r="A1095" s="2" t="str">
        <f>HYPERLINK("https://vtmf.veevavault.com/ui/#doc_info/29294114/1/0", "42847922MDD3003---Relevant Communications-02 Jun 2025 (v1.0)")</f>
        <v>42847922MDD3003---Relevant Communications-02 Jun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News Post-OARS-7:  Teckro Labkit Guidance Document-02 Jun 2025</t>
        </is>
      </c>
      <c r="F1095" s="2" t="str">
        <f>HYPERLINK("https://vtmf.veevavault.com/ui/#doc_info/29294114/1/0", "VTMF-23545478")</f>
        <v>VTMF-23545478</v>
      </c>
      <c r="G1095" s="3" t="inlineStr">
        <is>
          <t/>
        </is>
      </c>
      <c r="H1095" s="3" t="inlineStr">
        <is>
          <t>System</t>
        </is>
      </c>
      <c r="I1095" s="3" t="inlineStr">
        <is>
          <t>DrugDev API Account</t>
        </is>
      </c>
      <c r="J1095" s="4" t="n">
        <v>45813.89655092593</v>
      </c>
      <c r="K1095" s="5" t="n">
        <v>45814.0</v>
      </c>
      <c r="L1095" s="5" t="n">
        <v>45810.0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42847922MDD3003</t>
        </is>
      </c>
    </row>
    <row r="1096">
      <c r="A1096" s="2" t="str">
        <f>HYPERLINK("https://vtmf.veevavault.com/ui/#doc_info/31101832/1/0", "42847922MDD3003---Relevant Communications-02 Mar 2026 (v1.0)")</f>
        <v>42847922MDD3003---Relevant Communications-02 Mar 2026 (v1.0)</v>
      </c>
      <c r="B1096" s="3" t="inlineStr">
        <is>
          <t>Site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MDD3003_ site s NOTIFICATION_PART1  closure and PART2 opening_02mar26</t>
        </is>
      </c>
      <c r="F1096" s="2" t="str">
        <f>HYPERLINK("https://vtmf.veevavault.com/ui/#doc_info/31101832/1/0", "VTMF-25097767")</f>
        <v>VTMF-25097767</v>
      </c>
      <c r="G1096" s="3" t="inlineStr">
        <is>
          <t/>
        </is>
      </c>
      <c r="H1096" s="3" t="inlineStr">
        <is>
          <t>System</t>
        </is>
      </c>
      <c r="I1096" s="3" t="inlineStr">
        <is>
          <t>System</t>
        </is>
      </c>
      <c r="J1096" s="4" t="n">
        <v>46084.44569444445</v>
      </c>
      <c r="K1096" s="5" t="n">
        <v>46087.0</v>
      </c>
      <c r="L1096" s="5" t="n">
        <v>46083.0</v>
      </c>
      <c r="M1096" s="3" t="inlineStr">
        <is>
          <t>Approved</t>
        </is>
      </c>
      <c r="N1096" s="3" t="inlineStr">
        <is>
          <t>Available for Distribution, Country Close, Site Close, Study Close</t>
        </is>
      </c>
      <c r="O1096" s="3" t="inlineStr">
        <is>
          <t>42847922MDD3003</t>
        </is>
      </c>
    </row>
    <row r="1097">
      <c r="A1097" s="2" t="str">
        <f>HYPERLINK("https://vtmf.veevavault.com/ui/#doc_info/26252962/1/0", "42847922MDD3003---Relevant Communications-02 May 2024 (v1.0)")</f>
        <v>42847922MDD3003---Relevant Communications-02 May 2024 (v1.0)</v>
      </c>
      <c r="B1097" s="3" t="inlineStr">
        <is>
          <t>Third Parties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42847922MDD3003 Clario Calibration Letter</t>
        </is>
      </c>
      <c r="F1097" s="2" t="str">
        <f>HYPERLINK("https://vtmf.veevavault.com/ui/#doc_info/26252962/1/0", "VTMF-21000294")</f>
        <v>VTMF-21000294</v>
      </c>
      <c r="G1097" s="3" t="inlineStr">
        <is>
          <t/>
        </is>
      </c>
      <c r="H1097" s="3" t="inlineStr">
        <is>
          <t>System</t>
        </is>
      </c>
      <c r="I1097" s="3" t="inlineStr">
        <is>
          <t>Jamie Hardy</t>
        </is>
      </c>
      <c r="J1097" s="4" t="n">
        <v>45414.89792824074</v>
      </c>
      <c r="K1097" s="5" t="n">
        <v>45414.0</v>
      </c>
      <c r="L1097" s="5" t="n">
        <v>45414.0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42847922MDD3003</t>
        </is>
      </c>
    </row>
    <row r="1098">
      <c r="A1098" s="2" t="str">
        <f>HYPERLINK("https://vtmf.veevavault.com/ui/#doc_info/26277346/1/0", "42847922MDD3003---Relevant Communications-02 May 2024 (v1.0)")</f>
        <v>42847922MDD3003---Relevant Communications-02 May 2024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MDD300330053007 Study Start-Up Weekly Meeting</t>
        </is>
      </c>
      <c r="F1098" s="2" t="str">
        <f>HYPERLINK("https://vtmf.veevavault.com/ui/#doc_info/26277346/1/0", "VTMF-21021736")</f>
        <v>VTMF-21021736</v>
      </c>
      <c r="G1098" s="3" t="inlineStr">
        <is>
          <t/>
        </is>
      </c>
      <c r="H1098" s="3" t="inlineStr">
        <is>
          <t>Gina Stefanelli</t>
        </is>
      </c>
      <c r="I1098" s="3" t="inlineStr">
        <is>
          <t>Gina Stefanelli</t>
        </is>
      </c>
      <c r="J1098" s="4" t="n">
        <v>45419.890694444446</v>
      </c>
      <c r="K1098" s="5" t="n">
        <v>45419.0</v>
      </c>
      <c r="L1098" s="5" t="n">
        <v>45414.0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42847922MDD3003, 67953964MDD3005, 67953964MDD3007</t>
        </is>
      </c>
    </row>
    <row r="1099">
      <c r="A1099" s="2" t="str">
        <f>HYPERLINK("https://vtmf.veevavault.com/ui/#doc_info/30641043/1/0", "42847922MDD3003---Relevant Communications-02 May 2025 (v1.0)")</f>
        <v>42847922MDD3003---Relevant Communications-02 May 2025 (v1.0)</v>
      </c>
      <c r="B1099" s="3" t="inlineStr">
        <is>
          <t>Trial Management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News Post-OARS-7:  Local Laboratory Testing-02 May 2025</t>
        </is>
      </c>
      <c r="F1099" s="2" t="str">
        <f>HYPERLINK("https://vtmf.veevavault.com/ui/#doc_info/30641043/1/0", "VTMF-24690375")</f>
        <v>VTMF-24690375</v>
      </c>
      <c r="G1099" s="3" t="inlineStr">
        <is>
          <t/>
        </is>
      </c>
      <c r="H1099" s="3" t="inlineStr">
        <is>
          <t>System</t>
        </is>
      </c>
      <c r="I1099" s="3" t="inlineStr">
        <is>
          <t>DrugDev API Account</t>
        </is>
      </c>
      <c r="J1099" s="4" t="n">
        <v>46009.78670138889</v>
      </c>
      <c r="K1099" s="5" t="n">
        <v>46010.0</v>
      </c>
      <c r="L1099" s="5" t="n">
        <v>45779.0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42847922MDD3003</t>
        </is>
      </c>
    </row>
    <row r="1100">
      <c r="A1100" s="2" t="str">
        <f>HYPERLINK("https://vtmf.veevavault.com/ui/#doc_info/30632434/1/0", "42847922MDD3003---Relevant Communications-02 Oct 2024 (v1.0)")</f>
        <v>42847922MDD3003---Relevant Communications-02 Oct 2024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News Post-OARS-7: World Mental Health Day 2024-02 Oct 2024</t>
        </is>
      </c>
      <c r="F1100" s="2" t="str">
        <f>HYPERLINK("https://vtmf.veevavault.com/ui/#doc_info/30632434/1/0", "VTMF-24683182")</f>
        <v>VTMF-24683182</v>
      </c>
      <c r="G1100" s="3" t="inlineStr">
        <is>
          <t/>
        </is>
      </c>
      <c r="H1100" s="3" t="inlineStr">
        <is>
          <t>System</t>
        </is>
      </c>
      <c r="I1100" s="3" t="inlineStr">
        <is>
          <t>DrugDev API Account</t>
        </is>
      </c>
      <c r="J1100" s="4" t="n">
        <v>46009.16149305556</v>
      </c>
      <c r="K1100" s="5" t="n">
        <v>46010.0</v>
      </c>
      <c r="L1100" s="5" t="n">
        <v>45567.0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42847922MDD3003</t>
        </is>
      </c>
    </row>
    <row r="1101">
      <c r="A1101" s="2" t="str">
        <f>HYPERLINK("https://vtmf.veevavault.com/ui/#doc_info/30632439/1/0", "42847922MDD3003---Relevant Communications-02 Oct 2024 (v1.0)")</f>
        <v>42847922MDD3003---Relevant Communications-02 Oct 2024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News Post-OARS-7: Urine Drug Screen (UDS) Clarification-02 Oct 2024</t>
        </is>
      </c>
      <c r="F1101" s="2" t="str">
        <f>HYPERLINK("https://vtmf.veevavault.com/ui/#doc_info/30632439/1/0", "VTMF-24683187")</f>
        <v>VTMF-24683187</v>
      </c>
      <c r="G1101" s="3" t="inlineStr">
        <is>
          <t/>
        </is>
      </c>
      <c r="H1101" s="3" t="inlineStr">
        <is>
          <t>System</t>
        </is>
      </c>
      <c r="I1101" s="3" t="inlineStr">
        <is>
          <t>DrugDev API Account</t>
        </is>
      </c>
      <c r="J1101" s="4" t="n">
        <v>46009.16149305556</v>
      </c>
      <c r="K1101" s="5" t="n">
        <v>46010.0</v>
      </c>
      <c r="L1101" s="5" t="n">
        <v>45567.0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42847922MDD3003</t>
        </is>
      </c>
    </row>
    <row r="1102">
      <c r="A1102" s="2" t="str">
        <f>HYPERLINK("https://vtmf.veevavault.com/ui/#doc_info/30087135/1/0", "42847922MDD3003---Relevant Communications-02 Oct 2025 (v1.0)")</f>
        <v>42847922MDD3003---Relevant Communications-02 Oct 2025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News Post-OARS-7: World Mental Health Day - October 10th, 2025-02 Oct 2025</t>
        </is>
      </c>
      <c r="F1102" s="2" t="str">
        <f>HYPERLINK("https://vtmf.veevavault.com/ui/#doc_info/30087135/1/0", "VTMF-24218416")</f>
        <v>VTMF-24218416</v>
      </c>
      <c r="G1102" s="3" t="inlineStr">
        <is>
          <t/>
        </is>
      </c>
      <c r="H1102" s="3" t="inlineStr">
        <is>
          <t>System</t>
        </is>
      </c>
      <c r="I1102" s="3" t="inlineStr">
        <is>
          <t>DrugDev API Account</t>
        </is>
      </c>
      <c r="J1102" s="4" t="n">
        <v>45932.896365740744</v>
      </c>
      <c r="K1102" s="5" t="n">
        <v>45933.0</v>
      </c>
      <c r="L1102" s="5" t="n">
        <v>45932.0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42847922MDD3003</t>
        </is>
      </c>
    </row>
    <row r="1103">
      <c r="A1103" s="2" t="str">
        <f>HYPERLINK("https://vtmf.veevavault.com/ui/#doc_info/26103957/1/0", "42847922MDD3003---Relevant Communications-03 Apr 2024 (v1.0)")</f>
        <v>42847922MDD3003---Relevant Communications-03 Apr 2024 (v1.0)</v>
      </c>
      <c r="B1103" s="3" t="inlineStr">
        <is>
          <t>Third Parties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Clario Attachment Password Memo_Janssen_42847922MDD3003_3APR2024</t>
        </is>
      </c>
      <c r="F1103" s="2" t="str">
        <f>HYPERLINK("https://vtmf.veevavault.com/ui/#doc_info/26103957/1/0", "VTMF-20871666")</f>
        <v>VTMF-20871666</v>
      </c>
      <c r="G1103" s="3" t="inlineStr">
        <is>
          <t/>
        </is>
      </c>
      <c r="H1103" s="3" t="inlineStr">
        <is>
          <t>System</t>
        </is>
      </c>
      <c r="I1103" s="3" t="inlineStr">
        <is>
          <t>Jamie Hardy</t>
        </is>
      </c>
      <c r="J1103" s="4" t="n">
        <v>45392.61864583333</v>
      </c>
      <c r="K1103" s="5" t="n">
        <v>45392.0</v>
      </c>
      <c r="L1103" s="5" t="n">
        <v>45385.0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42847922MDD3003</t>
        </is>
      </c>
    </row>
    <row r="1104">
      <c r="A1104" s="2" t="str">
        <f>HYPERLINK("https://vtmf.veevavault.com/ui/#doc_info/26288261/1/0", "42847922MDD3003---Relevant Communications-03 Apr 2024 (v1.0)")</f>
        <v>42847922MDD3003---Relevant Communications-03 Apr 2024 (v1.0)</v>
      </c>
      <c r="B1104" s="3" t="inlineStr">
        <is>
          <t>Third Parties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42847922MDD3003_ECG Clario Password Memo_3APR2024.docx</t>
        </is>
      </c>
      <c r="F1104" s="2" t="str">
        <f>HYPERLINK("https://vtmf.veevavault.com/ui/#doc_info/26288261/1/0", "VTMF-21031689")</f>
        <v>VTMF-21031689</v>
      </c>
      <c r="G1104" s="3" t="inlineStr">
        <is>
          <t/>
        </is>
      </c>
      <c r="H1104" s="3" t="inlineStr">
        <is>
          <t>Anthony Suarez (veeva.com)</t>
        </is>
      </c>
      <c r="I1104" s="3" t="inlineStr">
        <is>
          <t>Jennifer Hockenbury</t>
        </is>
      </c>
      <c r="J1104" s="4" t="n">
        <v>45420.84916666667</v>
      </c>
      <c r="K1104" s="5" t="n">
        <v>45420.0</v>
      </c>
      <c r="L1104" s="5" t="n">
        <v>45385.0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42847922MDD3003</t>
        </is>
      </c>
    </row>
    <row r="1105">
      <c r="A1105" s="2" t="str">
        <f>HYPERLINK("https://vtmf.veevavault.com/ui/#doc_info/30640186/1/0", "42847922MDD3003---Relevant Communications-03 Apr 2025 (v1.0)")</f>
        <v>42847922MDD3003---Relevant Communications-03 Apr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News Post-OARS-7:  Dreem 3S Headband Q&amp;A-03 Apr 2025</t>
        </is>
      </c>
      <c r="F1105" s="2" t="str">
        <f>HYPERLINK("https://vtmf.veevavault.com/ui/#doc_info/30640186/1/0", "VTMF-24689711")</f>
        <v>VTMF-24689711</v>
      </c>
      <c r="G1105" s="3" t="inlineStr">
        <is>
          <t/>
        </is>
      </c>
      <c r="H1105" s="3" t="inlineStr">
        <is>
          <t>System</t>
        </is>
      </c>
      <c r="I1105" s="3" t="inlineStr">
        <is>
          <t>DrugDev API Account</t>
        </is>
      </c>
      <c r="J1105" s="4" t="n">
        <v>46009.72644675926</v>
      </c>
      <c r="K1105" s="5" t="n">
        <v>46010.0</v>
      </c>
      <c r="L1105" s="5" t="n">
        <v>45750.0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42847922MDD3003</t>
        </is>
      </c>
    </row>
    <row r="1106">
      <c r="A1106" s="2" t="str">
        <f>HYPERLINK("https://vtmf.veevavault.com/ui/#doc_info/30971744/1/0", "42847922MDD3003---Relevant Communications-03 Dec 2025 (v1.0)")</f>
        <v>42847922MDD3003---Relevant Communications-03 Dec 2025 (v1.0)</v>
      </c>
      <c r="B1106" s="3" t="inlineStr">
        <is>
          <t>Third Parties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NTF_Training Requirement Complete_Site US1004</t>
        </is>
      </c>
      <c r="F1106" s="2" t="str">
        <f>HYPERLINK("https://vtmf.veevavault.com/ui/#doc_info/30971744/1/0", "VTMF-24964763")</f>
        <v>VTMF-24964763</v>
      </c>
      <c r="G1106" s="3" t="inlineStr">
        <is>
          <t/>
        </is>
      </c>
      <c r="H1106" s="3" t="inlineStr">
        <is>
          <t>System</t>
        </is>
      </c>
      <c r="I1106" s="3" t="inlineStr">
        <is>
          <t>Debhora Garcia</t>
        </is>
      </c>
      <c r="J1106" s="4" t="n">
        <v>46064.98847222222</v>
      </c>
      <c r="K1106" s="5" t="n">
        <v>46065.0</v>
      </c>
      <c r="L1106" s="5" t="n">
        <v>45994.0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42847922MDD3003, 42847922MDD3014</t>
        </is>
      </c>
    </row>
    <row r="1107">
      <c r="A1107" s="2" t="str">
        <f>HYPERLINK("https://vtmf.veevavault.com/ui/#doc_info/30990855/1/0", "42847922MDD3003---Relevant Communications-03 Jul 2025 (v1.0)")</f>
        <v>42847922MDD3003---Relevant Communications-03 Jul 2025 (v1.0)</v>
      </c>
      <c r="B1107" s="3" t="inlineStr">
        <is>
          <t>Third Parties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NTF_Participant ID Correction_Site US10212_03Ju1.docx (1) (part 1) - signed</t>
        </is>
      </c>
      <c r="F1107" s="2" t="str">
        <f>HYPERLINK("https://vtmf.veevavault.com/ui/#doc_info/30990855/1/0", "VTMF-24980840")</f>
        <v>VTMF-24980840</v>
      </c>
      <c r="G1107" s="3" t="inlineStr">
        <is>
          <t/>
        </is>
      </c>
      <c r="H1107" s="3" t="inlineStr">
        <is>
          <t>System</t>
        </is>
      </c>
      <c r="I1107" s="3" t="inlineStr">
        <is>
          <t>Debhora Garcia</t>
        </is>
      </c>
      <c r="J1107" s="4" t="n">
        <v>46066.85197916667</v>
      </c>
      <c r="K1107" s="5" t="n">
        <v>46066.0</v>
      </c>
      <c r="L1107" s="5" t="n">
        <v>45841.0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42847922MDD3003</t>
        </is>
      </c>
    </row>
    <row r="1108">
      <c r="A1108" s="2" t="str">
        <f>HYPERLINK("https://vtmf.veevavault.com/ui/#doc_info/30990860/1/0", "42847922MDD3003---Relevant Communications-03 Jul 2025 (v1.0)")</f>
        <v>42847922MDD3003---Relevant Communications-03 Jul 2025 (v1.0)</v>
      </c>
      <c r="B1108" s="3" t="inlineStr">
        <is>
          <t>Third Parties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NTF_Participant ID Correction_Site US10212_03Ju1.docx (1) - audit</t>
        </is>
      </c>
      <c r="F1108" s="2" t="str">
        <f>HYPERLINK("https://vtmf.veevavault.com/ui/#doc_info/30990860/1/0", "VTMF-24980849")</f>
        <v>VTMF-24980849</v>
      </c>
      <c r="G1108" s="3" t="inlineStr">
        <is>
          <t/>
        </is>
      </c>
      <c r="H1108" s="3" t="inlineStr">
        <is>
          <t>System</t>
        </is>
      </c>
      <c r="I1108" s="3" t="inlineStr">
        <is>
          <t>Debhora Garcia</t>
        </is>
      </c>
      <c r="J1108" s="4" t="n">
        <v>46066.85289351852</v>
      </c>
      <c r="K1108" s="5" t="n">
        <v>46066.0</v>
      </c>
      <c r="L1108" s="5" t="n">
        <v>45841.0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42847922MDD3003</t>
        </is>
      </c>
    </row>
    <row r="1109">
      <c r="A1109" s="2" t="str">
        <f>HYPERLINK("https://vtmf.veevavault.com/ui/#doc_info/29475479/1/0", "42847922MDD3003---Relevant Communications-03 Jun 2025 (v1.0)")</f>
        <v>42847922MDD3003---Relevant Communications-03 Jun 2025 (v1.0)</v>
      </c>
      <c r="B1109" s="3" t="inlineStr">
        <is>
          <t>Third Parties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ECG_MDD Program_ Clario Memorandum_ Updates to EXPERT QC Alert Ranges_03Jun2025</t>
        </is>
      </c>
      <c r="F1109" s="2" t="str">
        <f>HYPERLINK("https://vtmf.veevavault.com/ui/#doc_info/29475479/1/0", "VTMF-23705026")</f>
        <v>VTMF-23705026</v>
      </c>
      <c r="G1109" s="3" t="inlineStr">
        <is>
          <t/>
        </is>
      </c>
      <c r="H1109" s="3" t="inlineStr">
        <is>
          <t>Anthony Suarez (veeva.com)</t>
        </is>
      </c>
      <c r="I1109" s="3" t="inlineStr">
        <is>
          <t>Lee Walesyn</t>
        </is>
      </c>
      <c r="J1109" s="4" t="n">
        <v>45839.64099537037</v>
      </c>
      <c r="K1109" s="5" t="n">
        <v>45839.0</v>
      </c>
      <c r="L1109" s="5" t="n">
        <v>45811.0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42847922MDD3003, 67953964MDD3005, 67953964MDD3007, 89495120MDD2001</t>
        </is>
      </c>
    </row>
    <row r="1110">
      <c r="A1110" s="2" t="str">
        <f>HYPERLINK("https://vtmf.veevavault.com/ui/#doc_info/31802877/1/0", "42847922MDD3003---Relevant Communications-03 Jun 2026 (v1.0)")</f>
        <v>42847922MDD3003---Relevant Communications-03 Jun 2026 (v1.0)</v>
      </c>
      <c r="B1110" s="3" t="inlineStr">
        <is>
          <t>Safety Reporting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20260531988_0_blinded - Notification to Study Level user</t>
        </is>
      </c>
      <c r="F1110" s="2" t="str">
        <f>HYPERLINK("https://vtmf.veevavault.com/ui/#doc_info/31802877/1/0", "VTMF-25671574")</f>
        <v>VTMF-25671574</v>
      </c>
      <c r="G1110" s="3" t="inlineStr">
        <is>
          <t/>
        </is>
      </c>
      <c r="H1110" s="3" t="inlineStr">
        <is>
          <t>eSusar Integration Service Account</t>
        </is>
      </c>
      <c r="I1110" s="3" t="inlineStr">
        <is>
          <t>eSusar Integration Service Account</t>
        </is>
      </c>
      <c r="J1110" s="4" t="n">
        <v>46176.34777777778</v>
      </c>
      <c r="K1110" s="5" t="n">
        <v>46176.0</v>
      </c>
      <c r="L1110" s="5" t="n">
        <v>46176.0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42847922MDD3003</t>
        </is>
      </c>
    </row>
    <row r="1111">
      <c r="A1111" s="2" t="str">
        <f>HYPERLINK("https://vtmf.veevavault.com/ui/#doc_info/28587815/1/0", "42847922MDD3003---Relevant Communications-03 Mar 2025 (v1.0)")</f>
        <v>42847922MDD3003---Relevant Communications-03 Mar 2025 (v1.0)</v>
      </c>
      <c r="B1111" s="3" t="inlineStr">
        <is>
          <t>Trial Management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Email, OARS-7_Action Required CRONOS Training Tracker Review and Follow-Up_Due date 14Mar2025.</t>
        </is>
      </c>
      <c r="F1111" s="2" t="str">
        <f>HYPERLINK("https://vtmf.veevavault.com/ui/#doc_info/28587815/1/0", "VTMF-22959152")</f>
        <v>VTMF-22959152</v>
      </c>
      <c r="G1111" s="3" t="inlineStr">
        <is>
          <t/>
        </is>
      </c>
      <c r="H1111" s="3" t="inlineStr">
        <is>
          <t>Anthony Suarez (veeva.com)</t>
        </is>
      </c>
      <c r="I1111" s="3" t="inlineStr">
        <is>
          <t>Gina Stefanelli</t>
        </is>
      </c>
      <c r="J1111" s="4" t="n">
        <v>45720.07693287037</v>
      </c>
      <c r="K1111" s="5" t="n">
        <v>45719.0</v>
      </c>
      <c r="L1111" s="5" t="n">
        <v>45719.0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42847922MDD3003</t>
        </is>
      </c>
    </row>
    <row r="1112">
      <c r="A1112" s="2" t="str">
        <f>HYPERLINK("https://vtmf.veevavault.com/ui/#doc_info/31131480/1/0", "42847922MDD3003---Relevant Communications-03 Mar 2026 (v1.0)")</f>
        <v>42847922MDD3003---Relevant Communications-03 Mar 2026 (v1.0)</v>
      </c>
      <c r="B1112" s="3" t="inlineStr">
        <is>
          <t>Site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PI_ German Alvarez_Site_ S10-US10172_Subject _ US101720026_ IQVIA Eligibility Review_Approved.</t>
        </is>
      </c>
      <c r="F1112" s="2" t="str">
        <f>HYPERLINK("https://vtmf.veevavault.com/ui/#doc_info/31131480/1/0", "VTMF-25099863")</f>
        <v>VTMF-25099863</v>
      </c>
      <c r="G1112" s="3" t="inlineStr">
        <is>
          <t/>
        </is>
      </c>
      <c r="H1112" s="3" t="inlineStr">
        <is>
          <t>System</t>
        </is>
      </c>
      <c r="I1112" s="3" t="inlineStr">
        <is>
          <t>Gina Stefanelli</t>
        </is>
      </c>
      <c r="J1112" s="4" t="n">
        <v>46087.738703703704</v>
      </c>
      <c r="K1112" s="5" t="n">
        <v>46087.0</v>
      </c>
      <c r="L1112" s="5" t="n">
        <v>46084.0</v>
      </c>
      <c r="M1112" s="3" t="inlineStr">
        <is>
          <t>Approved</t>
        </is>
      </c>
      <c r="N1112" s="3" t="inlineStr">
        <is>
          <t>Available for Distribution, Country Close, Site Close, Study Close</t>
        </is>
      </c>
      <c r="O1112" s="3" t="inlineStr">
        <is>
          <t>42847922MDD3003</t>
        </is>
      </c>
    </row>
    <row r="1113">
      <c r="A1113" s="2" t="str">
        <f>HYPERLINK("https://vtmf.veevavault.com/ui/#doc_info/28815812/1/0", "42847922MDD3003---Relevant Communications-04 Apr 2025 (v1.0)")</f>
        <v>42847922MDD3003---Relevant Communications-04 Apr 2025 (v1.0)</v>
      </c>
      <c r="B1113" s="3" t="inlineStr">
        <is>
          <t>Third Parties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Site Memo_Beacon DREEM Hotspot Configuration</t>
        </is>
      </c>
      <c r="F1113" s="2" t="str">
        <f>HYPERLINK("https://vtmf.veevavault.com/ui/#doc_info/28815812/1/0", "VTMF-23152114")</f>
        <v>VTMF-23152114</v>
      </c>
      <c r="G1113" s="3" t="inlineStr">
        <is>
          <t/>
        </is>
      </c>
      <c r="H1113" s="3" t="inlineStr">
        <is>
          <t>Anthony Suarez (veeva.com)</t>
        </is>
      </c>
      <c r="I1113" s="3" t="inlineStr">
        <is>
          <t>Charles Hayes</t>
        </is>
      </c>
      <c r="J1113" s="4" t="n">
        <v>45751.96063657408</v>
      </c>
      <c r="K1113" s="5" t="n">
        <v>45751.0</v>
      </c>
      <c r="L1113" s="5" t="n">
        <v>45751.0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42847922MDD3003</t>
        </is>
      </c>
    </row>
    <row r="1114">
      <c r="A1114" s="2" t="str">
        <f>HYPERLINK("https://vtmf.veevavault.com/ui/#doc_info/28005200/1/0", "42847922MDD3003---Relevant Communications-04 Dec 2024 (v1.0)")</f>
        <v>42847922MDD3003---Relevant Communications-04 Dec 2024 (v1.0)</v>
      </c>
      <c r="B1114" s="3" t="inlineStr">
        <is>
          <t>Site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Email,  Notification_Critical, PI: Dr. Diana Ghelber_Site: US10001 (United States)_Subject ID: US100010005/F_Visit: UNSCHEDULED / _Alert: ECG-LEFT ANTERIOR HEMIBLOCK/SINUS BRADYCARDIA</t>
        </is>
      </c>
      <c r="F1114" s="2" t="str">
        <f>HYPERLINK("https://vtmf.veevavault.com/ui/#doc_info/28005200/1/0", "VTMF-22457157")</f>
        <v>VTMF-22457157</v>
      </c>
      <c r="G1114" s="3" t="inlineStr">
        <is>
          <t/>
        </is>
      </c>
      <c r="H1114" s="3" t="inlineStr">
        <is>
          <t>Anthony Suarez (veeva.com)</t>
        </is>
      </c>
      <c r="I1114" s="3" t="inlineStr">
        <is>
          <t>Gina Stefanelli</t>
        </is>
      </c>
      <c r="J1114" s="4" t="n">
        <v>45659.81799768518</v>
      </c>
      <c r="K1114" s="5" t="n">
        <v>45659.0</v>
      </c>
      <c r="L1114" s="5" t="n">
        <v>45630.0</v>
      </c>
      <c r="M1114" s="3" t="inlineStr">
        <is>
          <t>Approved</t>
        </is>
      </c>
      <c r="N1114" s="3" t="inlineStr">
        <is>
          <t>Available for Distribution, Country Close, Site Close, Study Close</t>
        </is>
      </c>
      <c r="O1114" s="3" t="inlineStr">
        <is>
          <t>42847922MDD3003</t>
        </is>
      </c>
    </row>
    <row r="1115">
      <c r="A1115" s="2" t="str">
        <f>HYPERLINK("https://vtmf.veevavault.com/ui/#doc_info/28587733/1/0", "42847922MDD3003---Relevant Communications-04 Feb 2025 (v1.0)")</f>
        <v>42847922MDD3003---Relevant Communications-04 Feb 2025 (v1.0)</v>
      </c>
      <c r="B1115" s="3" t="inlineStr">
        <is>
          <t>Site Management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Email, Notification: JANSSEN_42847922MDD3003_PI: Dr. Gaston Noriega M.D._Site: AR10015(Argentina)_Subject ID: AR100150005_Visit: Retest_Alert: cancelled- hematology panel</t>
        </is>
      </c>
      <c r="F1115" s="2" t="str">
        <f>HYPERLINK("https://vtmf.veevavault.com/ui/#doc_info/28587733/1/0", "VTMF-22959191")</f>
        <v>VTMF-22959191</v>
      </c>
      <c r="G1115" s="3" t="inlineStr">
        <is>
          <t/>
        </is>
      </c>
      <c r="H1115" s="3" t="inlineStr">
        <is>
          <t>Anthony Suarez (veeva.com)</t>
        </is>
      </c>
      <c r="I1115" s="3" t="inlineStr">
        <is>
          <t>Gina Stefanelli</t>
        </is>
      </c>
      <c r="J1115" s="4" t="n">
        <v>45720.08744212963</v>
      </c>
      <c r="K1115" s="5" t="n">
        <v>45719.0</v>
      </c>
      <c r="L1115" s="5" t="n">
        <v>45692.0</v>
      </c>
      <c r="M1115" s="3" t="inlineStr">
        <is>
          <t>Approved</t>
        </is>
      </c>
      <c r="N1115" s="3" t="inlineStr">
        <is>
          <t>Available for Distribution, Country Close, Site Close, Study Close</t>
        </is>
      </c>
      <c r="O1115" s="3" t="inlineStr">
        <is>
          <t>42847922MDD3003</t>
        </is>
      </c>
    </row>
    <row r="1116">
      <c r="A1116" s="2" t="str">
        <f>HYPERLINK("https://vtmf.veevavault.com/ui/#doc_info/25854974/1/0", "42847922MDD3003---Relevant Communications-04 Mar 2024 (v1.0)")</f>
        <v>42847922MDD3003---Relevant Communications-04 Mar 2024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Mood Portofolio_Proposed Country List for Seltorexant and Aticaprant Studies</t>
        </is>
      </c>
      <c r="F1116" s="2" t="str">
        <f>HYPERLINK("https://vtmf.veevavault.com/ui/#doc_info/25854974/1/0", "VTMF-20651155")</f>
        <v>VTMF-20651155</v>
      </c>
      <c r="G1116" s="3" t="inlineStr">
        <is>
          <t/>
        </is>
      </c>
      <c r="H1116" s="3" t="inlineStr">
        <is>
          <t>Anthony Suarez (veeva.com)</t>
        </is>
      </c>
      <c r="I1116" s="3" t="inlineStr">
        <is>
          <t>Debhora Garcia</t>
        </is>
      </c>
      <c r="J1116" s="4" t="n">
        <v>45356.78244212963</v>
      </c>
      <c r="K1116" s="5" t="n">
        <v>45356.0</v>
      </c>
      <c r="L1116" s="5" t="n">
        <v>45355.0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42847922MDD3003, 67953964MDD3005, 67953964MDD3007</t>
        </is>
      </c>
    </row>
    <row r="1117">
      <c r="A1117" s="2" t="str">
        <f>HYPERLINK("https://vtmf.veevavault.com/ui/#doc_info/31112499/1/0", "42847922MDD3003---Relevant Communications-04 Mar 2026 (v1.0)")</f>
        <v>42847922MDD3003---Relevant Communications-04 Mar 2026 (v1.0)</v>
      </c>
      <c r="B1117" s="3" t="inlineStr">
        <is>
          <t>Site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MDD3003_ CENTRAL TEAM NOTIFICATION _PD ISSUE to be reviewed in DIRM meeting_04mar26</t>
        </is>
      </c>
      <c r="F1117" s="2" t="str">
        <f>HYPERLINK("https://vtmf.veevavault.com/ui/#doc_info/31112499/1/0", "VTMF-25097766")</f>
        <v>VTMF-25097766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46085.76799768519</v>
      </c>
      <c r="K1117" s="5" t="n">
        <v>46087.0</v>
      </c>
      <c r="L1117" s="5" t="n">
        <v>46085.0</v>
      </c>
      <c r="M1117" s="3" t="inlineStr">
        <is>
          <t>Approved</t>
        </is>
      </c>
      <c r="N1117" s="3" t="inlineStr">
        <is>
          <t>Available for Distribution, Country Close, Site Close, Study Close</t>
        </is>
      </c>
      <c r="O1117" s="3" t="inlineStr">
        <is>
          <t>42847922MDD3003</t>
        </is>
      </c>
    </row>
    <row r="1118">
      <c r="A1118" s="2" t="str">
        <f>HYPERLINK("https://vtmf.veevavault.com/ui/#doc_info/27193939/1/0", "42847922MDD3003---Relevant Communications-04 Sep 2024 (v1.0)")</f>
        <v>42847922MDD3003---Relevant Communications-04 Sep 2024 (v1.0)</v>
      </c>
      <c r="B1118" s="3" t="inlineStr">
        <is>
          <t>Central Trial Documents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Janssen Selorexant MDD3003 MMP V1.0 04 Sep 2024 Final</t>
        </is>
      </c>
      <c r="F1118" s="2" t="str">
        <f>HYPERLINK("https://vtmf.veevavault.com/ui/#doc_info/27193939/1/0", "VTMF-21805286")</f>
        <v>VTMF-21805286</v>
      </c>
      <c r="G1118" s="3" t="inlineStr">
        <is>
          <t/>
        </is>
      </c>
      <c r="H1118" s="3" t="inlineStr">
        <is>
          <t>System</t>
        </is>
      </c>
      <c r="I1118" s="3" t="inlineStr">
        <is>
          <t>Gina Stefanelli</t>
        </is>
      </c>
      <c r="J1118" s="4" t="n">
        <v>45568.9315162037</v>
      </c>
      <c r="K1118" s="5" t="n">
        <v>45568.0</v>
      </c>
      <c r="L1118" s="5" t="n">
        <v>45539.0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42847922MDD3003</t>
        </is>
      </c>
    </row>
    <row r="1119">
      <c r="A1119" s="2" t="str">
        <f>HYPERLINK("https://vtmf.veevavault.com/ui/#doc_info/31120332/1/0", "42847922MDD3003---Relevant Communications-05 Mar 2026 (v1.0)")</f>
        <v>42847922MDD3003---Relevant Communications-05 Mar 2026 (v1.0)</v>
      </c>
      <c r="B1119" s="3" t="inlineStr">
        <is>
          <t>Site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MDD3003_ proof of receipt_ from imperial to jnj office_: Pt BINDER PART2 direct _05mar26</t>
        </is>
      </c>
      <c r="F1119" s="2" t="str">
        <f>HYPERLINK("https://vtmf.veevavault.com/ui/#doc_info/31120332/1/0", "VTMF-25097768")</f>
        <v>VTMF-25097768</v>
      </c>
      <c r="G1119" s="3" t="inlineStr">
        <is>
          <t/>
        </is>
      </c>
      <c r="H1119" s="3" t="inlineStr">
        <is>
          <t>System</t>
        </is>
      </c>
      <c r="I1119" s="3" t="inlineStr">
        <is>
          <t>System</t>
        </is>
      </c>
      <c r="J1119" s="4" t="n">
        <v>46086.57016203704</v>
      </c>
      <c r="K1119" s="5" t="n">
        <v>46087.0</v>
      </c>
      <c r="L1119" s="5" t="n">
        <v>46086.0</v>
      </c>
      <c r="M1119" s="3" t="inlineStr">
        <is>
          <t>Approved</t>
        </is>
      </c>
      <c r="N1119" s="3" t="inlineStr">
        <is>
          <t>Available for Distribution, Country Close, Site Close, Study Close</t>
        </is>
      </c>
      <c r="O1119" s="3" t="inlineStr">
        <is>
          <t>42847922MDD3003</t>
        </is>
      </c>
    </row>
    <row r="1120">
      <c r="A1120" s="2" t="str">
        <f>HYPERLINK("https://vtmf.veevavault.com/ui/#doc_info/30322163/1/0", "42847922MDD3003---Relevant Communications-05 Nov 2025 (v1.0)")</f>
        <v>42847922MDD3003---Relevant Communications-05 Nov 2025 (v1.0)</v>
      </c>
      <c r="B1120" s="3" t="inlineStr">
        <is>
          <t>Trial Management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News Post-OARS-7: Labkit Reordering-05 Nov 2025</t>
        </is>
      </c>
      <c r="F1120" s="2" t="str">
        <f>HYPERLINK("https://vtmf.veevavault.com/ui/#doc_info/30322163/1/0", "VTMF-24418782")</f>
        <v>VTMF-24418782</v>
      </c>
      <c r="G1120" s="3" t="inlineStr">
        <is>
          <t/>
        </is>
      </c>
      <c r="H1120" s="3" t="inlineStr">
        <is>
          <t>System</t>
        </is>
      </c>
      <c r="I1120" s="3" t="inlineStr">
        <is>
          <t>DrugDev API Account</t>
        </is>
      </c>
      <c r="J1120" s="4" t="n">
        <v>45967.85466435185</v>
      </c>
      <c r="K1120" s="5" t="n">
        <v>45968.0</v>
      </c>
      <c r="L1120" s="5" t="n">
        <v>45966.0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42847922MDD3003</t>
        </is>
      </c>
    </row>
    <row r="1121">
      <c r="A1121" s="2" t="str">
        <f>HYPERLINK("https://vtmf.veevavault.com/ui/#doc_info/27216640/1/0", "42847922MDD3003---Relevant Communications-05 Oct 2024 (v1.0)")</f>
        <v>42847922MDD3003---Relevant Communications-05 Oct 2024 (v1.0)</v>
      </c>
      <c r="B1121" s="3" t="inlineStr">
        <is>
          <t>Third Parties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42847922MDD3003_Dreem Device_specifications_05Oct24</t>
        </is>
      </c>
      <c r="F1121" s="2" t="str">
        <f>HYPERLINK("https://vtmf.veevavault.com/ui/#doc_info/27216640/1/0", "VTMF-21825076")</f>
        <v>VTMF-21825076</v>
      </c>
      <c r="G1121" s="3" t="inlineStr">
        <is>
          <t/>
        </is>
      </c>
      <c r="H1121" s="3" t="inlineStr">
        <is>
          <t>System</t>
        </is>
      </c>
      <c r="I1121" s="3" t="inlineStr">
        <is>
          <t>Kristina Ruzinska</t>
        </is>
      </c>
      <c r="J1121" s="4" t="n">
        <v>45573.63596064815</v>
      </c>
      <c r="K1121" s="5" t="n">
        <v>45573.0</v>
      </c>
      <c r="L1121" s="5" t="n">
        <v>45570.0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42847922MDD3003</t>
        </is>
      </c>
    </row>
    <row r="1122">
      <c r="A1122" s="2" t="str">
        <f>HYPERLINK("https://vtmf.veevavault.com/ui/#doc_info/27038429/1/0", "42847922MDD3003---Relevant Communications-05 Sep 2024 (v1.0)")</f>
        <v>42847922MDD3003---Relevant Communications-05 Sep 2024 (v1.0)</v>
      </c>
      <c r="B1122" s="3" t="inlineStr">
        <is>
          <t>Site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42847922MDD3003 MGH CTNI SAFER clarification memo</t>
        </is>
      </c>
      <c r="F1122" s="2" t="str">
        <f>HYPERLINK("https://vtmf.veevavault.com/ui/#doc_info/27038429/1/0", "VTMF-21677585")</f>
        <v>VTMF-21677585</v>
      </c>
      <c r="G1122" s="3" t="inlineStr">
        <is>
          <t/>
        </is>
      </c>
      <c r="H1122" s="3" t="inlineStr">
        <is>
          <t>Anthony Suarez (veeva.com)</t>
        </is>
      </c>
      <c r="I1122" s="3" t="inlineStr">
        <is>
          <t>Debhora Garcia</t>
        </is>
      </c>
      <c r="J1122" s="4" t="n">
        <v>45544.92282407408</v>
      </c>
      <c r="K1122" s="5" t="n">
        <v>45544.0</v>
      </c>
      <c r="L1122" s="5" t="n">
        <v>45540.0</v>
      </c>
      <c r="M1122" s="3" t="inlineStr">
        <is>
          <t>Approved</t>
        </is>
      </c>
      <c r="N1122" s="3" t="inlineStr">
        <is>
          <t>Available for Distribution, Country Close, Site Close, Study Close</t>
        </is>
      </c>
      <c r="O1122" s="3" t="inlineStr">
        <is>
          <t>42847922MDD3003</t>
        </is>
      </c>
    </row>
    <row r="1123">
      <c r="A1123" s="2" t="str">
        <f>HYPERLINK("https://vtmf.veevavault.com/ui/#doc_info/27193946/1/0", "42847922MDD3003---Relevant Communications-05 Sep 2024 (v1.0)")</f>
        <v>42847922MDD3003---Relevant Communications-05 Sep 2024 (v1.0)</v>
      </c>
      <c r="B1123" s="3" t="inlineStr">
        <is>
          <t>Central Trial Documents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42847922MDD3003 IE and SAFER memo 05Sep24</t>
        </is>
      </c>
      <c r="F1123" s="2" t="str">
        <f>HYPERLINK("https://vtmf.veevavault.com/ui/#doc_info/27193946/1/0", "VTMF-21805308")</f>
        <v>VTMF-21805308</v>
      </c>
      <c r="G1123" s="3" t="inlineStr">
        <is>
          <t/>
        </is>
      </c>
      <c r="H1123" s="3" t="inlineStr">
        <is>
          <t>System</t>
        </is>
      </c>
      <c r="I1123" s="3" t="inlineStr">
        <is>
          <t>Gina Stefanelli</t>
        </is>
      </c>
      <c r="J1123" s="4" t="n">
        <v>45568.93403935185</v>
      </c>
      <c r="K1123" s="5" t="n">
        <v>45568.0</v>
      </c>
      <c r="L1123" s="5" t="n">
        <v>45540.0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42847922MDD3003</t>
        </is>
      </c>
    </row>
    <row r="1124">
      <c r="A1124" s="2" t="str">
        <f>HYPERLINK("https://vtmf.veevavault.com/ui/#doc_info/29903863/1/0", "42847922MDD3003---Relevant Communications-05 Sep 2025 (v1.0)")</f>
        <v>42847922MDD3003---Relevant Communications-05 Sep 2025 (v1.0)</v>
      </c>
      <c r="B1124" s="3" t="inlineStr">
        <is>
          <t>Site Management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Enrollment cap increase_S10-AR10012 Dr Lupo_05Sep2025</t>
        </is>
      </c>
      <c r="F1124" s="2" t="str">
        <f>HYPERLINK("https://vtmf.veevavault.com/ui/#doc_info/29903863/1/0", "VTMF-24070998")</f>
        <v>VTMF-24070998</v>
      </c>
      <c r="G1124" s="3" t="inlineStr">
        <is>
          <t/>
        </is>
      </c>
      <c r="H1124" s="3" t="inlineStr">
        <is>
          <t>System</t>
        </is>
      </c>
      <c r="I1124" s="3" t="inlineStr">
        <is>
          <t>Debhora Garcia</t>
        </is>
      </c>
      <c r="J1124" s="4" t="n">
        <v>45905.961863425924</v>
      </c>
      <c r="K1124" s="5" t="n">
        <v>45906.0</v>
      </c>
      <c r="L1124" s="5" t="n">
        <v>45905.0</v>
      </c>
      <c r="M1124" s="3" t="inlineStr">
        <is>
          <t>Approved</t>
        </is>
      </c>
      <c r="N1124" s="3" t="inlineStr">
        <is>
          <t>Available for Distribution, Country Close, Site Close, Study Close</t>
        </is>
      </c>
      <c r="O1124" s="3" t="inlineStr">
        <is>
          <t>42847922MDD3003</t>
        </is>
      </c>
    </row>
    <row r="1125">
      <c r="A1125" s="2" t="str">
        <f>HYPERLINK("https://vtmf.veevavault.com/ui/#doc_info/27884823/1/0", "42847922MDD3003---Relevant Communications-06 Dec 2024 (v1.0)")</f>
        <v>42847922MDD3003---Relevant Communications-06 Dec 2024 (v1.0)</v>
      </c>
      <c r="B1125" s="3" t="inlineStr">
        <is>
          <t>Third Parties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Memo, Labcorp Bulk Supply Requests and Shipments</t>
        </is>
      </c>
      <c r="F1125" s="2" t="str">
        <f>HYPERLINK("https://vtmf.veevavault.com/ui/#doc_info/27884823/1/0", "VTMF-22359730")</f>
        <v>VTMF-22359730</v>
      </c>
      <c r="G1125" s="3" t="inlineStr">
        <is>
          <t/>
        </is>
      </c>
      <c r="H1125" s="3" t="inlineStr">
        <is>
          <t>Anthony Suarez (veeva.com)</t>
        </is>
      </c>
      <c r="I1125" s="3" t="inlineStr">
        <is>
          <t>Arlean Worthy</t>
        </is>
      </c>
      <c r="J1125" s="4" t="n">
        <v>45639.85319444445</v>
      </c>
      <c r="K1125" s="5" t="n">
        <v>45639.0</v>
      </c>
      <c r="L1125" s="5" t="n">
        <v>45632.0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42847922MDD3003</t>
        </is>
      </c>
    </row>
    <row r="1126">
      <c r="A1126" s="2" t="str">
        <f>HYPERLINK("https://vtmf.veevavault.com/ui/#doc_info/30632596/1/0", "42847922MDD3003---Relevant Communications-06 Dec 2024 (v1.0)")</f>
        <v>42847922MDD3003---Relevant Communications-06 Dec 2024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News Post-OARS-7: Protocol Amendment 2 Deviations-05 Dec 2024</t>
        </is>
      </c>
      <c r="F1126" s="2" t="str">
        <f>HYPERLINK("https://vtmf.veevavault.com/ui/#doc_info/30632596/1/0", "VTMF-24683344")</f>
        <v>VTMF-24683344</v>
      </c>
      <c r="G1126" s="3" t="inlineStr">
        <is>
          <t/>
        </is>
      </c>
      <c r="H1126" s="3" t="inlineStr">
        <is>
          <t>System</t>
        </is>
      </c>
      <c r="I1126" s="3" t="inlineStr">
        <is>
          <t>DrugDev API Account</t>
        </is>
      </c>
      <c r="J1126" s="4" t="n">
        <v>46009.16149305556</v>
      </c>
      <c r="K1126" s="5" t="n">
        <v>46010.0</v>
      </c>
      <c r="L1126" s="5" t="n">
        <v>45632.0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42847922MDD3003</t>
        </is>
      </c>
    </row>
    <row r="1127">
      <c r="A1127" s="2" t="str">
        <f>HYPERLINK("https://vtmf.veevavault.com/ui/#doc_info/29343419/1/0", "42847922MDD3003---Relevant Communications-06 Jun 2025 (v1.0)")</f>
        <v>42847922MDD3003---Relevant Communications-06 Jun 2025 (v1.0)</v>
      </c>
      <c r="B1127" s="3" t="inlineStr">
        <is>
          <t>Third Parties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Clario Memo_ECGs received in the wrong Protocol;06Jun2025</t>
        </is>
      </c>
      <c r="F1127" s="2" t="str">
        <f>HYPERLINK("https://vtmf.veevavault.com/ui/#doc_info/29343419/1/0", "VTMF-23588378")</f>
        <v>VTMF-23588378</v>
      </c>
      <c r="G1127" s="3" t="inlineStr">
        <is>
          <t/>
        </is>
      </c>
      <c r="H1127" s="3" t="inlineStr">
        <is>
          <t>Anthony Suarez (veeva.com)</t>
        </is>
      </c>
      <c r="I1127" s="3" t="inlineStr">
        <is>
          <t>Gina Stefanelli</t>
        </is>
      </c>
      <c r="J1127" s="4" t="n">
        <v>45820.68824074074</v>
      </c>
      <c r="K1127" s="5" t="n">
        <v>45820.0</v>
      </c>
      <c r="L1127" s="5" t="n">
        <v>45814.0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42847922MDD3003, 67953964MDD3005, 67953964MDD3007, 89495120MDD2001</t>
        </is>
      </c>
    </row>
    <row r="1128">
      <c r="A1128" s="2" t="str">
        <f>HYPERLINK("https://vtmf.veevavault.com/ui/#doc_info/29345603/1/0", "42847922MDD3003---Relevant Communications-06 Jun 2025 (v1.0)")</f>
        <v>42847922MDD3003---Relevant Communications-06 Jun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News Post-OARS-7: Prescreening Questions-06 Jun 2025</t>
        </is>
      </c>
      <c r="F1128" s="2" t="str">
        <f>HYPERLINK("https://vtmf.veevavault.com/ui/#doc_info/29345603/1/0", "VTMF-23590329")</f>
        <v>VTMF-23590329</v>
      </c>
      <c r="G1128" s="3" t="inlineStr">
        <is>
          <t/>
        </is>
      </c>
      <c r="H1128" s="3" t="inlineStr">
        <is>
          <t>System</t>
        </is>
      </c>
      <c r="I1128" s="3" t="inlineStr">
        <is>
          <t>DrugDev API Account</t>
        </is>
      </c>
      <c r="J1128" s="4" t="n">
        <v>45820.8965625</v>
      </c>
      <c r="K1128" s="5" t="n">
        <v>45821.0</v>
      </c>
      <c r="L1128" s="5" t="n">
        <v>45814.0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42847922MDD3003</t>
        </is>
      </c>
    </row>
    <row r="1129">
      <c r="A1129" s="2" t="str">
        <f>HYPERLINK("https://vtmf.veevavault.com/ui/#doc_info/30640108/1/0", "42847922MDD3003---Relevant Communications-06 Mar 2025 (v1.0)")</f>
        <v>42847922MDD3003---Relevant Communications-06 Mar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News Post-OARS-7: Denver Investigator Meeting Reimbursement-06 Mar 2025</t>
        </is>
      </c>
      <c r="F1129" s="2" t="str">
        <f>HYPERLINK("https://vtmf.veevavault.com/ui/#doc_info/30640108/1/0", "VTMF-24689633")</f>
        <v>VTMF-24689633</v>
      </c>
      <c r="G1129" s="3" t="inlineStr">
        <is>
          <t/>
        </is>
      </c>
      <c r="H1129" s="3" t="inlineStr">
        <is>
          <t>System</t>
        </is>
      </c>
      <c r="I1129" s="3" t="inlineStr">
        <is>
          <t>DrugDev API Account</t>
        </is>
      </c>
      <c r="J1129" s="4" t="n">
        <v>46009.72644675926</v>
      </c>
      <c r="K1129" s="5" t="n">
        <v>46010.0</v>
      </c>
      <c r="L1129" s="5" t="n">
        <v>45722.0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42847922MDD3003</t>
        </is>
      </c>
    </row>
    <row r="1130">
      <c r="A1130" s="2" t="str">
        <f>HYPERLINK("https://vtmf.veevavault.com/ui/#doc_info/30630830/1/0", "42847922MDD3003---Relevant Communications-06 May 2025 (v1.0)")</f>
        <v>42847922MDD3003---Relevant Communications-06 May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News Post-Welcome!-23 Feb 2024</t>
        </is>
      </c>
      <c r="F1130" s="2" t="str">
        <f>HYPERLINK("https://vtmf.veevavault.com/ui/#doc_info/30630830/1/0", "VTMF-24681770")</f>
        <v>VTMF-24681770</v>
      </c>
      <c r="G1130" s="3" t="inlineStr">
        <is>
          <t/>
        </is>
      </c>
      <c r="H1130" s="3" t="inlineStr">
        <is>
          <t>System</t>
        </is>
      </c>
      <c r="I1130" s="3" t="inlineStr">
        <is>
          <t>DrugDev API Account</t>
        </is>
      </c>
      <c r="J1130" s="4" t="n">
        <v>46008.950902777775</v>
      </c>
      <c r="K1130" s="5" t="n">
        <v>46009.0</v>
      </c>
      <c r="L1130" s="5" t="n">
        <v>45783.0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42847922MDD3003</t>
        </is>
      </c>
    </row>
    <row r="1131">
      <c r="A1131" s="2" t="str">
        <f>HYPERLINK("https://vtmf.veevavault.com/ui/#doc_info/27992508/1/0", "42847922MDD3003---Relevant Communications-06 Nov 2024 (v1.0)")</f>
        <v>42847922MDD3003---Relevant Communications-06 Nov 2024 (v1.0)</v>
      </c>
      <c r="B1131" s="3" t="inlineStr">
        <is>
          <t>Site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Email, Melatonin Use Disclosed During Randomization Visit for Subject 101200002 (Knutson)</t>
        </is>
      </c>
      <c r="F1131" s="2" t="str">
        <f>HYPERLINK("https://vtmf.veevavault.com/ui/#doc_info/27992508/1/0", "VTMF-22446003")</f>
        <v>VTMF-22446003</v>
      </c>
      <c r="G1131" s="3" t="inlineStr">
        <is>
          <t/>
        </is>
      </c>
      <c r="H1131" s="3" t="inlineStr">
        <is>
          <t>Anthony Suarez (veeva.com)</t>
        </is>
      </c>
      <c r="I1131" s="3" t="inlineStr">
        <is>
          <t>Gina Stefanelli</t>
        </is>
      </c>
      <c r="J1131" s="4" t="n">
        <v>45656.681550925925</v>
      </c>
      <c r="K1131" s="5" t="n">
        <v>45656.0</v>
      </c>
      <c r="L1131" s="5" t="n">
        <v>45602.0</v>
      </c>
      <c r="M1131" s="3" t="inlineStr">
        <is>
          <t>Approved</t>
        </is>
      </c>
      <c r="N1131" s="3" t="inlineStr">
        <is>
          <t>Available for Distribution, Country Close, Site Close, Study Close</t>
        </is>
      </c>
      <c r="O1131" s="3" t="inlineStr">
        <is>
          <t>42847922MDD3003</t>
        </is>
      </c>
    </row>
    <row r="1132">
      <c r="A1132" s="2" t="str">
        <f>HYPERLINK("https://vtmf.veevavault.com/ui/#doc_info/27193952/1/0", "42847922MDD3003---Relevant Communications-06 Sep 2024 (v1.0)")</f>
        <v>42847922MDD3003---Relevant Communications-06 Sep 2024 (v1.0)</v>
      </c>
      <c r="B1132" s="3" t="inlineStr">
        <is>
          <t>Central Trial Documents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Email, Janssen Selorexant MDD3003_EDC Forms_ Physical examination Neurological Procedures 06Sep24</t>
        </is>
      </c>
      <c r="F1132" s="2" t="str">
        <f>HYPERLINK("https://vtmf.veevavault.com/ui/#doc_info/27193952/1/0", "VTMF-21805321")</f>
        <v>VTMF-21805321</v>
      </c>
      <c r="G1132" s="3" t="inlineStr">
        <is>
          <t/>
        </is>
      </c>
      <c r="H1132" s="3" t="inlineStr">
        <is>
          <t>Anthony Suarez (veeva.com)</t>
        </is>
      </c>
      <c r="I1132" s="3" t="inlineStr">
        <is>
          <t>Gina Stefanelli</t>
        </is>
      </c>
      <c r="J1132" s="4" t="n">
        <v>45568.93625</v>
      </c>
      <c r="K1132" s="5" t="n">
        <v>45568.0</v>
      </c>
      <c r="L1132" s="5" t="n">
        <v>45541.0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42847922MDD3003</t>
        </is>
      </c>
    </row>
    <row r="1133">
      <c r="A1133" s="2" t="str">
        <f>HYPERLINK("https://vtmf.veevavault.com/ui/#doc_info/30960221/1/0", "42847922MDD3003---Relevant Communications-06 Sep 2024 (v1.0)")</f>
        <v>42847922MDD3003---Relevant Communications-06 Sep 2024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MDD3003 MMP V1.0 04 Sep 2024 Final</t>
        </is>
      </c>
      <c r="F1133" s="2" t="str">
        <f>HYPERLINK("https://vtmf.veevavault.com/ui/#doc_info/30960221/1/0", "VTMF-24954872")</f>
        <v>VTMF-24954872</v>
      </c>
      <c r="G1133" s="3" t="inlineStr">
        <is>
          <t/>
        </is>
      </c>
      <c r="H1133" s="3" t="inlineStr">
        <is>
          <t>System</t>
        </is>
      </c>
      <c r="I1133" s="3" t="inlineStr">
        <is>
          <t>Gabriela Dluska</t>
        </is>
      </c>
      <c r="J1133" s="4" t="n">
        <v>46063.671956018516</v>
      </c>
      <c r="K1133" s="5" t="n">
        <v>46063.0</v>
      </c>
      <c r="L1133" s="5" t="n">
        <v>45541.0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42847922MDD3003</t>
        </is>
      </c>
    </row>
    <row r="1134">
      <c r="A1134" s="2" t="str">
        <f>HYPERLINK("https://vtmf.veevavault.com/ui/#doc_info/30640189/1/0", "42847922MDD3003---Relevant Communications-07 Apr 2025 (v1.0)")</f>
        <v>42847922MDD3003---Relevant Communications-07 Apr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News Post-OARS-7: Dreem Device &amp; Hotspot Configuration-06 Apr 2025</t>
        </is>
      </c>
      <c r="F1134" s="2" t="str">
        <f>HYPERLINK("https://vtmf.veevavault.com/ui/#doc_info/30640189/1/0", "VTMF-24689714")</f>
        <v>VTMF-24689714</v>
      </c>
      <c r="G1134" s="3" t="inlineStr">
        <is>
          <t/>
        </is>
      </c>
      <c r="H1134" s="3" t="inlineStr">
        <is>
          <t>System</t>
        </is>
      </c>
      <c r="I1134" s="3" t="inlineStr">
        <is>
          <t>DrugDev API Account</t>
        </is>
      </c>
      <c r="J1134" s="4" t="n">
        <v>46009.72644675926</v>
      </c>
      <c r="K1134" s="5" t="n">
        <v>46010.0</v>
      </c>
      <c r="L1134" s="5" t="n">
        <v>45754.0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42847922MDD3003</t>
        </is>
      </c>
    </row>
    <row r="1135">
      <c r="A1135" s="2" t="str">
        <f>HYPERLINK("https://vtmf.veevavault.com/ui/#doc_info/31656810/1/0", "42847922MDD3003---Relevant Communications-07 Apr 2026 (v1.0)")</f>
        <v>42847922MDD3003---Relevant Communications-07 Apr 2026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GPTP v10.0 Notification to Study Team_07Apr2026</t>
        </is>
      </c>
      <c r="F1135" s="2" t="str">
        <f>HYPERLINK("https://vtmf.veevavault.com/ui/#doc_info/31656810/1/0", "VTMF-25551314")</f>
        <v>VTMF-25551314</v>
      </c>
      <c r="G1135" s="3" t="inlineStr">
        <is>
          <t/>
        </is>
      </c>
      <c r="H1135" s="3" t="inlineStr">
        <is>
          <t>System</t>
        </is>
      </c>
      <c r="I1135" s="3" t="inlineStr">
        <is>
          <t>System</t>
        </is>
      </c>
      <c r="J1135" s="4" t="n">
        <v>46155.89236111111</v>
      </c>
      <c r="K1135" s="5" t="n">
        <v>46155.0</v>
      </c>
      <c r="L1135" s="5" t="n">
        <v>46119.0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42847922MDD3003</t>
        </is>
      </c>
    </row>
    <row r="1136">
      <c r="A1136" s="2" t="str">
        <f>HYPERLINK("https://vtmf.veevavault.com/ui/#doc_info/26851059/1/0", "42847922MDD3003---Relevant Communications-07 Aug 2024 (v1.0)")</f>
        <v>42847922MDD3003---Relevant Communications-07 Aug 2024 (v1.0)</v>
      </c>
      <c r="B1136" s="3" t="inlineStr">
        <is>
          <t>Trial Management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FDF Review Mezhebovsky_US10070 Sub-I Disclosure</t>
        </is>
      </c>
      <c r="F1136" s="2" t="str">
        <f>HYPERLINK("https://vtmf.veevavault.com/ui/#doc_info/26851059/1/0", "VTMF-21521373")</f>
        <v>VTMF-21521373</v>
      </c>
      <c r="G1136" s="3" t="inlineStr">
        <is>
          <t/>
        </is>
      </c>
      <c r="H1136" s="3" t="inlineStr">
        <is>
          <t>Anthony Suarez (veeva.com)</t>
        </is>
      </c>
      <c r="I1136" s="3" t="inlineStr">
        <is>
          <t>Debhora Garcia</t>
        </is>
      </c>
      <c r="J1136" s="4" t="n">
        <v>45512.01118055556</v>
      </c>
      <c r="K1136" s="5" t="n">
        <v>45512.0</v>
      </c>
      <c r="L1136" s="5" t="n">
        <v>45511.0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42847922MDD3003</t>
        </is>
      </c>
    </row>
    <row r="1137">
      <c r="A1137" s="2" t="str">
        <f>HYPERLINK("https://vtmf.veevavault.com/ui/#doc_info/30641258/1/0", "42847922MDD3003---Relevant Communications-07 Aug 2025 (v1.0)")</f>
        <v>42847922MDD3003---Relevant Communications-07 Aug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News Post-OARS 7: Dosing Diary Entry Format Reminder-07 Aug 2025</t>
        </is>
      </c>
      <c r="F1137" s="2" t="str">
        <f>HYPERLINK("https://vtmf.veevavault.com/ui/#doc_info/30641258/1/0", "VTMF-24690590")</f>
        <v>VTMF-24690590</v>
      </c>
      <c r="G1137" s="3" t="inlineStr">
        <is>
          <t/>
        </is>
      </c>
      <c r="H1137" s="3" t="inlineStr">
        <is>
          <t>System</t>
        </is>
      </c>
      <c r="I1137" s="3" t="inlineStr">
        <is>
          <t>DrugDev API Account</t>
        </is>
      </c>
      <c r="J1137" s="4" t="n">
        <v>46009.78670138889</v>
      </c>
      <c r="K1137" s="5" t="n">
        <v>46010.0</v>
      </c>
      <c r="L1137" s="5" t="n">
        <v>45876.0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42847922MDD3003</t>
        </is>
      </c>
    </row>
    <row r="1138">
      <c r="A1138" s="2" t="str">
        <f>HYPERLINK("https://vtmf.veevavault.com/ui/#doc_info/28037973/1/0", "42847922MDD3003---Relevant Communications-07 Jan 2025 (v1.0)")</f>
        <v>42847922MDD3003---Relevant Communications-07 Jan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Useful Information Related to MGH-CTNI SAFER Screen Failure Reasons</t>
        </is>
      </c>
      <c r="F1138" s="2" t="str">
        <f>HYPERLINK("https://vtmf.veevavault.com/ui/#doc_info/28037973/1/0", "VTMF-22484348")</f>
        <v>VTMF-22484348</v>
      </c>
      <c r="G1138" s="3" t="inlineStr">
        <is>
          <t/>
        </is>
      </c>
      <c r="H1138" s="3" t="inlineStr">
        <is>
          <t>Anthony Suarez (veeva.com)</t>
        </is>
      </c>
      <c r="I1138" s="3" t="inlineStr">
        <is>
          <t>Arlean Worthy</t>
        </is>
      </c>
      <c r="J1138" s="4" t="n">
        <v>45665.78084490741</v>
      </c>
      <c r="K1138" s="5" t="n">
        <v>45665.0</v>
      </c>
      <c r="L1138" s="5" t="n">
        <v>45664.0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42847922MDD3003</t>
        </is>
      </c>
    </row>
    <row r="1139">
      <c r="A1139" s="2" t="str">
        <f>HYPERLINK("https://vtmf.veevavault.com/ui/#doc_info/31175158/1/0", "42847922MDD3003---Relevant Communications-07 Mar 2026 (v1.0)")</f>
        <v>42847922MDD3003---Relevant Communications-07 Mar 2026 (v1.0)</v>
      </c>
      <c r="B1139" s="3" t="inlineStr">
        <is>
          <t>Trial Management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News Post-OARS-7: FDA Diversity Action Plan (DAP) Enrollment Goals-07 Mar 2026</t>
        </is>
      </c>
      <c r="F1139" s="2" t="str">
        <f>HYPERLINK("https://vtmf.veevavault.com/ui/#doc_info/31175158/1/0", "VTMF-25136956")</f>
        <v>VTMF-25136956</v>
      </c>
      <c r="G1139" s="3" t="inlineStr">
        <is>
          <t/>
        </is>
      </c>
      <c r="H1139" s="3" t="inlineStr">
        <is>
          <t>System</t>
        </is>
      </c>
      <c r="I1139" s="3" t="inlineStr">
        <is>
          <t>DrugDev API Account</t>
        </is>
      </c>
      <c r="J1139" s="4" t="n">
        <v>46093.896319444444</v>
      </c>
      <c r="K1139" s="5" t="n">
        <v>46094.0</v>
      </c>
      <c r="L1139" s="5" t="n">
        <v>46088.0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42847922MDD3003</t>
        </is>
      </c>
    </row>
    <row r="1140">
      <c r="A1140" s="2" t="str">
        <f>HYPERLINK("https://vtmf.veevavault.com/ui/#doc_info/27992381/1/0", "42847922MDD3003---Relevant Communications-07 Oct 2024 (v1.0)")</f>
        <v>42847922MDD3003---Relevant Communications-07 Oct 2024 (v1.0)</v>
      </c>
      <c r="B1140" s="3" t="inlineStr">
        <is>
          <t>Site Management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Email, MDR Outcome email to be cc to US LTM team</t>
        </is>
      </c>
      <c r="F1140" s="2" t="str">
        <f>HYPERLINK("https://vtmf.veevavault.com/ui/#doc_info/27992381/1/0", "VTMF-22445957")</f>
        <v>VTMF-22445957</v>
      </c>
      <c r="G1140" s="3" t="inlineStr">
        <is>
          <t/>
        </is>
      </c>
      <c r="H1140" s="3" t="inlineStr">
        <is>
          <t>Anthony Suarez (veeva.com)</t>
        </is>
      </c>
      <c r="I1140" s="3" t="inlineStr">
        <is>
          <t>Gina Stefanelli</t>
        </is>
      </c>
      <c r="J1140" s="4" t="n">
        <v>45656.67034722222</v>
      </c>
      <c r="K1140" s="5" t="n">
        <v>45656.0</v>
      </c>
      <c r="L1140" s="5" t="n">
        <v>45572.0</v>
      </c>
      <c r="M1140" s="3" t="inlineStr">
        <is>
          <t>Approved</t>
        </is>
      </c>
      <c r="N1140" s="3" t="inlineStr">
        <is>
          <t>Available for Distribution, Country Close, Site Close, Study Close</t>
        </is>
      </c>
      <c r="O1140" s="3" t="inlineStr">
        <is>
          <t>42847922MDD3003</t>
        </is>
      </c>
    </row>
    <row r="1141">
      <c r="A1141" s="2" t="str">
        <f>HYPERLINK("https://vtmf.veevavault.com/ui/#doc_info/30990835/1/0", "42847922MDD3003---Relevant Communications-07 Oct 2025 (v1.0)")</f>
        <v>42847922MDD3003---Relevant Communications-07 Oct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NTF_Participant ID Correction_Site BR10002_06Oct - 07Oct2025 (part 1)</t>
        </is>
      </c>
      <c r="F1141" s="2" t="str">
        <f>HYPERLINK("https://vtmf.veevavault.com/ui/#doc_info/30990835/1/0", "VTMF-24980817")</f>
        <v>VTMF-24980817</v>
      </c>
      <c r="G1141" s="3" t="inlineStr">
        <is>
          <t/>
        </is>
      </c>
      <c r="H1141" s="3" t="inlineStr">
        <is>
          <t>System</t>
        </is>
      </c>
      <c r="I1141" s="3" t="inlineStr">
        <is>
          <t>Debhora Garcia</t>
        </is>
      </c>
      <c r="J1141" s="4" t="n">
        <v>46066.84855324074</v>
      </c>
      <c r="K1141" s="5" t="n">
        <v>46066.0</v>
      </c>
      <c r="L1141" s="5" t="n">
        <v>45937.0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42847922MDD3003</t>
        </is>
      </c>
    </row>
    <row r="1142">
      <c r="A1142" s="2" t="str">
        <f>HYPERLINK("https://vtmf.veevavault.com/ui/#doc_info/30990842/1/0", "42847922MDD3003---Relevant Communications-07 Oct 2025 (v1.0)")</f>
        <v>42847922MDD3003---Relevant Communications-07 Oct 2025 (v1.0)</v>
      </c>
      <c r="B1142" s="3" t="inlineStr">
        <is>
          <t>Third Parties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NTF_Participant ID Correction_Site BR10002_06Oct - 07Oct2025- audit</t>
        </is>
      </c>
      <c r="F1142" s="2" t="str">
        <f>HYPERLINK("https://vtmf.veevavault.com/ui/#doc_info/30990842/1/0", "VTMF-24980826")</f>
        <v>VTMF-24980826</v>
      </c>
      <c r="G1142" s="3" t="inlineStr">
        <is>
          <t/>
        </is>
      </c>
      <c r="H1142" s="3" t="inlineStr">
        <is>
          <t>System</t>
        </is>
      </c>
      <c r="I1142" s="3" t="inlineStr">
        <is>
          <t>Debhora Garcia</t>
        </is>
      </c>
      <c r="J1142" s="4" t="n">
        <v>46066.849907407406</v>
      </c>
      <c r="K1142" s="5" t="n">
        <v>46066.0</v>
      </c>
      <c r="L1142" s="5" t="n">
        <v>45937.0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42847922MDD3003</t>
        </is>
      </c>
    </row>
    <row r="1143">
      <c r="A1143" s="2" t="str">
        <f>HYPERLINK("https://vtmf.veevavault.com/ui/#doc_info/26105933/1/0", "42847922MDD3003---Relevant Communications-08 Apr 2024 (v1.0)")</f>
        <v>42847922MDD3003---Relevant Communications-08 Apr 2024 (v1.0)</v>
      </c>
      <c r="B1143" s="3" t="inlineStr">
        <is>
          <t>Third Parties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MDD3003/3005/3007 ECG Device Specs and Value; 8Apr2024</t>
        </is>
      </c>
      <c r="F1143" s="2" t="str">
        <f>HYPERLINK("https://vtmf.veevavault.com/ui/#doc_info/26105933/1/0", "VTMF-20873434")</f>
        <v>VTMF-20873434</v>
      </c>
      <c r="G1143" s="3" t="inlineStr">
        <is>
          <t/>
        </is>
      </c>
      <c r="H1143" s="3" t="inlineStr">
        <is>
          <t>System</t>
        </is>
      </c>
      <c r="I1143" s="3" t="inlineStr">
        <is>
          <t>Debhora Garcia</t>
        </is>
      </c>
      <c r="J1143" s="4" t="n">
        <v>45392.82606481481</v>
      </c>
      <c r="K1143" s="5" t="n">
        <v>45392.0</v>
      </c>
      <c r="L1143" s="5" t="n">
        <v>45390.0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42847922MDD3003, 67953964MDD3005, 67953964MDD3007</t>
        </is>
      </c>
    </row>
    <row r="1144">
      <c r="A1144" s="2" t="str">
        <f>HYPERLINK("https://vtmf.veevavault.com/ui/#doc_info/26971498/1/0", "42847922MDD3003---Relevant Communications-08 Aug 2024 (v1.0)")</f>
        <v>42847922MDD3003---Relevant Communications-08 Aug 2024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42847922MDD3003_BYOD Software Update Memo V.2.16.1</t>
        </is>
      </c>
      <c r="F1144" s="2" t="str">
        <f>HYPERLINK("https://vtmf.veevavault.com/ui/#doc_info/26971498/1/0", "VTMF-21622144")</f>
        <v>VTMF-21622144</v>
      </c>
      <c r="G1144" s="3" t="inlineStr">
        <is>
          <t/>
        </is>
      </c>
      <c r="H1144" s="3" t="inlineStr">
        <is>
          <t>Anthony Suarez (veeva.com)</t>
        </is>
      </c>
      <c r="I1144" s="3" t="inlineStr">
        <is>
          <t>Debhora Garcia</t>
        </is>
      </c>
      <c r="J1144" s="4" t="n">
        <v>45533.217986111114</v>
      </c>
      <c r="K1144" s="5" t="n">
        <v>45532.0</v>
      </c>
      <c r="L1144" s="5" t="n">
        <v>45512.0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42847922MDD3003</t>
        </is>
      </c>
    </row>
    <row r="1145">
      <c r="A1145" s="2" t="str">
        <f>HYPERLINK("https://vtmf.veevavault.com/ui/#doc_info/27193435/1/0", "42847922MDD3003---Relevant Communications-08 Aug 2024 (v1.0)")</f>
        <v>42847922MDD3003---Relevant Communications-08 Aug 2024 (v1.0)</v>
      </c>
      <c r="B1145" s="3" t="inlineStr">
        <is>
          <t>Central Trial Documents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Email, Janssen Seltorexant MDD3003 eligibility-related question re con-meds GLP1 RA e.g. Semaglutide Liraglutide Tirzepatide etc taken for Weight LossObesity are prohibited</t>
        </is>
      </c>
      <c r="F1145" s="2" t="str">
        <f>HYPERLINK("https://vtmf.veevavault.com/ui/#doc_info/27193435/1/0", "VTMF-21804756")</f>
        <v>VTMF-21804756</v>
      </c>
      <c r="G1145" s="3" t="inlineStr">
        <is>
          <t/>
        </is>
      </c>
      <c r="H1145" s="3" t="inlineStr">
        <is>
          <t>Anthony Suarez (veeva.com)</t>
        </is>
      </c>
      <c r="I1145" s="3" t="inlineStr">
        <is>
          <t>Gina Stefanelli</t>
        </is>
      </c>
      <c r="J1145" s="4" t="n">
        <v>45568.88327546296</v>
      </c>
      <c r="K1145" s="5" t="n">
        <v>45568.0</v>
      </c>
      <c r="L1145" s="5" t="n">
        <v>45512.0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42847922MDD3003</t>
        </is>
      </c>
    </row>
    <row r="1146">
      <c r="A1146" s="2" t="str">
        <f>HYPERLINK("https://vtmf.veevavault.com/ui/#doc_info/30959097/1/0", "42847922MDD3003---Relevant Communications-08 Aug 2024 (v1.0)")</f>
        <v>42847922MDD3003---Relevant Communications-08 Aug 2024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MDD3003, eligibility-related question re con-meds GLP1 RA e.g. Semaglutide, Liraglutide, Tirzepatide etc taken for Weight Loss/Obesity are prohibited</t>
        </is>
      </c>
      <c r="F1146" s="2" t="str">
        <f>HYPERLINK("https://vtmf.veevavault.com/ui/#doc_info/30959097/1/0", "VTMF-24954076")</f>
        <v>VTMF-24954076</v>
      </c>
      <c r="G1146" s="3" t="inlineStr">
        <is>
          <t/>
        </is>
      </c>
      <c r="H1146" s="3" t="inlineStr">
        <is>
          <t>Gabriela Dluska</t>
        </is>
      </c>
      <c r="I1146" s="3" t="inlineStr">
        <is>
          <t>Gabriela Dluska</t>
        </is>
      </c>
      <c r="J1146" s="4" t="n">
        <v>46063.59819444444</v>
      </c>
      <c r="K1146" s="5" t="n">
        <v>46063.0</v>
      </c>
      <c r="L1146" s="5" t="n">
        <v>45512.0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42847922MDD3003</t>
        </is>
      </c>
    </row>
    <row r="1147">
      <c r="A1147" s="2" t="str">
        <f>HYPERLINK("https://vtmf.veevavault.com/ui/#doc_info/28343314/1/0", "42847922MDD3003---Relevant Communications-08 Jun 2022 (v1.0)")</f>
        <v>42847922MDD3003---Relevant Communications-08 Jun 2022 (v1.0)</v>
      </c>
      <c r="B1147" s="3" t="inlineStr">
        <is>
          <t>Third Parties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EU-Type Examination Certificate_Motorola Mobility LLC; 08Jun2022</t>
        </is>
      </c>
      <c r="F1147" s="2" t="str">
        <f>HYPERLINK("https://vtmf.veevavault.com/ui/#doc_info/28343314/1/0", "VTMF-22740182")</f>
        <v>VTMF-22740182</v>
      </c>
      <c r="G1147" s="3" t="inlineStr">
        <is>
          <t/>
        </is>
      </c>
      <c r="H1147" s="3" t="inlineStr">
        <is>
          <t>Debhora Garcia</t>
        </is>
      </c>
      <c r="I1147" s="3" t="inlineStr">
        <is>
          <t>Debhora Garcia</t>
        </is>
      </c>
      <c r="J1147" s="4" t="n">
        <v>45709.046689814815</v>
      </c>
      <c r="K1147" s="5" t="n">
        <v>45709.0</v>
      </c>
      <c r="L1147" s="5" t="n">
        <v>44720.0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42847922MDD3003</t>
        </is>
      </c>
    </row>
    <row r="1148">
      <c r="A1148" s="2" t="str">
        <f>HYPERLINK("https://vtmf.veevavault.com/ui/#doc_info/27450980/1/0", "42847922MDD3003---Relevant Communications-08 Oct 2024 (v1.0)")</f>
        <v>42847922MDD3003---Relevant Communications-08 Oct 2024 (v1.0)</v>
      </c>
      <c r="B1148" s="3" t="inlineStr">
        <is>
          <t>Trial Management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Email, FDF_Conflict of interest_S10_US10023_PI Lucian Manu</t>
        </is>
      </c>
      <c r="F1148" s="2" t="str">
        <f>HYPERLINK("https://vtmf.veevavault.com/ui/#doc_info/27450980/1/0", "VTMF-22015206")</f>
        <v>VTMF-22015206</v>
      </c>
      <c r="G1148" s="3" t="inlineStr">
        <is>
          <t/>
        </is>
      </c>
      <c r="H1148" s="3" t="inlineStr">
        <is>
          <t>Anthony Suarez (veeva.com)</t>
        </is>
      </c>
      <c r="I1148" s="3" t="inlineStr">
        <is>
          <t>Kristina Ruzinska</t>
        </is>
      </c>
      <c r="J1148" s="4" t="n">
        <v>45604.60917824074</v>
      </c>
      <c r="K1148" s="5" t="n">
        <v>45604.0</v>
      </c>
      <c r="L1148" s="5" t="n">
        <v>45573.0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42847922MDD3003</t>
        </is>
      </c>
    </row>
    <row r="1149">
      <c r="A1149" s="2" t="str">
        <f>HYPERLINK("https://vtmf.veevavault.com/ui/#doc_info/30129213/1/0", "42847922MDD3003---Relevant Communications-08 Oct 2025 (v1.0)")</f>
        <v>42847922MDD3003---Relevant Communications-08 Oct 2025 (v1.0)</v>
      </c>
      <c r="B1149" s="3" t="inlineStr">
        <is>
          <t>Trial Management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News Post-OARS-7: Site Reminders for Local Advertising-08 Oct 2025</t>
        </is>
      </c>
      <c r="F1149" s="2" t="str">
        <f>HYPERLINK("https://vtmf.veevavault.com/ui/#doc_info/30129213/1/0", "VTMF-24254781")</f>
        <v>VTMF-24254781</v>
      </c>
      <c r="G1149" s="3" t="inlineStr">
        <is>
          <t/>
        </is>
      </c>
      <c r="H1149" s="3" t="inlineStr">
        <is>
          <t>System</t>
        </is>
      </c>
      <c r="I1149" s="3" t="inlineStr">
        <is>
          <t>DrugDev API Account</t>
        </is>
      </c>
      <c r="J1149" s="4" t="n">
        <v>45939.89627314815</v>
      </c>
      <c r="K1149" s="5" t="n">
        <v>45940.0</v>
      </c>
      <c r="L1149" s="5" t="n">
        <v>45938.0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42847922MDD3003</t>
        </is>
      </c>
    </row>
    <row r="1150">
      <c r="A1150" s="2" t="str">
        <f>HYPERLINK("https://vtmf.veevavault.com/ui/#doc_info/26922967/1/0", "42847922MDD3003---Relevant Communications-09 Aug 2024 (v1.0)")</f>
        <v>42847922MDD3003---Relevant Communications-09 Aug 2024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Mood Strategy_CRONOS_CLARIO_Contact_Tracker_UPDATE</t>
        </is>
      </c>
      <c r="F1150" s="2" t="str">
        <f>HYPERLINK("https://vtmf.veevavault.com/ui/#doc_info/26922967/1/0", "VTMF-21581355")</f>
        <v>VTMF-21581355</v>
      </c>
      <c r="G1150" s="3" t="inlineStr">
        <is>
          <t/>
        </is>
      </c>
      <c r="H1150" s="3" t="inlineStr">
        <is>
          <t>Anthony Suarez (veeva.com)</t>
        </is>
      </c>
      <c r="I1150" s="3" t="inlineStr">
        <is>
          <t>Gina Stefanelli</t>
        </is>
      </c>
      <c r="J1150" s="4" t="n">
        <v>45524.86577546296</v>
      </c>
      <c r="K1150" s="5" t="n">
        <v>45524.0</v>
      </c>
      <c r="L1150" s="5" t="n">
        <v>45513.0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42847922MDD3003, 67953964MDD3005, 67953964MDD3007</t>
        </is>
      </c>
    </row>
    <row r="1151">
      <c r="A1151" s="2" t="str">
        <f>HYPERLINK("https://vtmf.veevavault.com/ui/#doc_info/27193514/1/0", "42847922MDD3003---Relevant Communications-09 Aug 2024 (v1.0)")</f>
        <v>42847922MDD3003---Relevant Communications-09 Aug 2024 (v1.0)</v>
      </c>
      <c r="B1151" s="3" t="inlineStr">
        <is>
          <t>Central Trial Documents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Email, MDD3003 US100210003 MSS and MDR</t>
        </is>
      </c>
      <c r="F1151" s="2" t="str">
        <f>HYPERLINK("https://vtmf.veevavault.com/ui/#doc_info/27193514/1/0", "VTMF-21804775")</f>
        <v>VTMF-21804775</v>
      </c>
      <c r="G1151" s="3" t="inlineStr">
        <is>
          <t/>
        </is>
      </c>
      <c r="H1151" s="3" t="inlineStr">
        <is>
          <t>Anthony Suarez (veeva.com)</t>
        </is>
      </c>
      <c r="I1151" s="3" t="inlineStr">
        <is>
          <t>Gina Stefanelli</t>
        </is>
      </c>
      <c r="J1151" s="4" t="n">
        <v>45568.8859375</v>
      </c>
      <c r="K1151" s="5" t="n">
        <v>45568.0</v>
      </c>
      <c r="L1151" s="5" t="n">
        <v>45513.0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42847922MDD3003</t>
        </is>
      </c>
    </row>
    <row r="1152">
      <c r="A1152" s="2" t="str">
        <f>HYPERLINK("https://vtmf.veevavault.com/ui/#doc_info/28587819/1/0", "42847922MDD3003---Relevant Communications-09 Jan 2025 (v1.0)")</f>
        <v>42847922MDD3003---Relevant Communications-09 Jan 2025 (v1.0)</v>
      </c>
      <c r="B1152" s="3" t="inlineStr">
        <is>
          <t>Site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Email, URGENT - Clinical Privacy Incident Argentina</t>
        </is>
      </c>
      <c r="F1152" s="2" t="str">
        <f>HYPERLINK("https://vtmf.veevavault.com/ui/#doc_info/28587819/1/0", "VTMF-22959160")</f>
        <v>VTMF-22959160</v>
      </c>
      <c r="G1152" s="3" t="inlineStr">
        <is>
          <t/>
        </is>
      </c>
      <c r="H1152" s="3" t="inlineStr">
        <is>
          <t>Anthony Suarez (veeva.com)</t>
        </is>
      </c>
      <c r="I1152" s="3" t="inlineStr">
        <is>
          <t>Gina Stefanelli</t>
        </is>
      </c>
      <c r="J1152" s="4" t="n">
        <v>45720.080625</v>
      </c>
      <c r="K1152" s="5" t="n">
        <v>45719.0</v>
      </c>
      <c r="L1152" s="5" t="n">
        <v>45666.0</v>
      </c>
      <c r="M1152" s="3" t="inlineStr">
        <is>
          <t>Approved</t>
        </is>
      </c>
      <c r="N1152" s="3" t="inlineStr">
        <is>
          <t>Available for Distribution, Country Close, Site Close, Study Close</t>
        </is>
      </c>
      <c r="O1152" s="3" t="inlineStr">
        <is>
          <t>42847922MDD3003</t>
        </is>
      </c>
    </row>
    <row r="1153">
      <c r="A1153" s="2" t="str">
        <f>HYPERLINK("https://vtmf.veevavault.com/ui/#doc_info/28555935/1/0", "42847922MDD3003---Relevant Communications-09 Jul 2024 (v1.0)")</f>
        <v>42847922MDD3003---Relevant Communications-09 Jul 2024 (v1.0)</v>
      </c>
      <c r="B1153" s="3" t="inlineStr">
        <is>
          <t>Third Parties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Email, Lat America site tiers</t>
        </is>
      </c>
      <c r="F1153" s="2" t="str">
        <f>HYPERLINK("https://vtmf.veevavault.com/ui/#doc_info/28555935/1/0", "VTMF-22931426")</f>
        <v>VTMF-22931426</v>
      </c>
      <c r="G1153" s="3" t="inlineStr">
        <is>
          <t/>
        </is>
      </c>
      <c r="H1153" s="3" t="inlineStr">
        <is>
          <t>Anthony Suarez (veeva.com)</t>
        </is>
      </c>
      <c r="I1153" s="3" t="inlineStr">
        <is>
          <t>Debhora Garcia</t>
        </is>
      </c>
      <c r="J1153" s="4" t="n">
        <v>45714.804293981484</v>
      </c>
      <c r="K1153" s="5" t="n">
        <v>45714.0</v>
      </c>
      <c r="L1153" s="5" t="n">
        <v>45482.0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42847922MDD3003</t>
        </is>
      </c>
    </row>
    <row r="1154">
      <c r="A1154" s="2" t="str">
        <f>HYPERLINK("https://vtmf.veevavault.com/ui/#doc_info/30641162/1/0", "42847922MDD3003---Relevant Communications-09 Jul 2025 (v1.0)")</f>
        <v>42847922MDD3003---Relevant Communications-09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News Post-OARS-7: Summer Message-09 Jul 2025</t>
        </is>
      </c>
      <c r="F1154" s="2" t="str">
        <f>HYPERLINK("https://vtmf.veevavault.com/ui/#doc_info/30641162/1/0", "VTMF-24690494")</f>
        <v>VTMF-24690494</v>
      </c>
      <c r="G1154" s="3" t="inlineStr">
        <is>
          <t/>
        </is>
      </c>
      <c r="H1154" s="3" t="inlineStr">
        <is>
          <t>System</t>
        </is>
      </c>
      <c r="I1154" s="3" t="inlineStr">
        <is>
          <t>DrugDev API Account</t>
        </is>
      </c>
      <c r="J1154" s="4" t="n">
        <v>46009.78670138889</v>
      </c>
      <c r="K1154" s="5" t="n">
        <v>46010.0</v>
      </c>
      <c r="L1154" s="5" t="n">
        <v>45847.0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42847922MDD3003</t>
        </is>
      </c>
    </row>
    <row r="1155">
      <c r="A1155" s="2" t="str">
        <f>HYPERLINK("https://vtmf.veevavault.com/ui/#doc_info/29345614/1/0", "42847922MDD3003---Relevant Communications-09 Jun 2025 (v1.0)")</f>
        <v>42847922MDD3003---Relevant Communications-09 Jun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News Post-OARS-7: Removal of the Collection of the PROMIS-SD at Screening Visit 1 -09 Jun 2025</t>
        </is>
      </c>
      <c r="F1155" s="2" t="str">
        <f>HYPERLINK("https://vtmf.veevavault.com/ui/#doc_info/29345614/1/0", "VTMF-23590340")</f>
        <v>VTMF-23590340</v>
      </c>
      <c r="G1155" s="3" t="inlineStr">
        <is>
          <t/>
        </is>
      </c>
      <c r="H1155" s="3" t="inlineStr">
        <is>
          <t>System</t>
        </is>
      </c>
      <c r="I1155" s="3" t="inlineStr">
        <is>
          <t>DrugDev API Account</t>
        </is>
      </c>
      <c r="J1155" s="4" t="n">
        <v>45820.8965625</v>
      </c>
      <c r="K1155" s="5" t="n">
        <v>45821.0</v>
      </c>
      <c r="L1155" s="5" t="n">
        <v>45817.0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42847922MDD3003</t>
        </is>
      </c>
    </row>
    <row r="1156">
      <c r="A1156" s="2" t="str">
        <f>HYPERLINK("https://vtmf.veevavault.com/ui/#doc_info/26298226/1/0", "42847922MDD3003---Relevant Communications-09 May 2024 (v1.0)")</f>
        <v>42847922MDD3003---Relevant Communications-09 May 2024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OARS-7 Communication to Local Teams Regarding Study Timeline Delay _ 09May2024</t>
        </is>
      </c>
      <c r="F1156" s="2" t="str">
        <f>HYPERLINK("https://vtmf.veevavault.com/ui/#doc_info/26298226/1/0", "VTMF-21040307")</f>
        <v>VTMF-21040307</v>
      </c>
      <c r="G1156" s="3" t="inlineStr">
        <is>
          <t/>
        </is>
      </c>
      <c r="H1156" s="3" t="inlineStr">
        <is>
          <t>System</t>
        </is>
      </c>
      <c r="I1156" s="3" t="inlineStr">
        <is>
          <t>Gina Stefanelli</t>
        </is>
      </c>
      <c r="J1156" s="4" t="n">
        <v>45421.95674768519</v>
      </c>
      <c r="K1156" s="5" t="n">
        <v>45421.0</v>
      </c>
      <c r="L1156" s="5" t="n">
        <v>45421.0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42847922MDD3003</t>
        </is>
      </c>
    </row>
    <row r="1157">
      <c r="A1157" s="2" t="str">
        <f>HYPERLINK("https://vtmf.veevavault.com/ui/#doc_info/26298229/1/0", "42847922MDD3003---Relevant Communications-09 May 2024 (v1.0)")</f>
        <v>42847922MDD3003---Relevant Communications-09 May 2024 (v1.0)</v>
      </c>
      <c r="B1157" s="3" t="inlineStr">
        <is>
          <t>Trial Management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Letter to Investigator re Delayed Study Timelines_09May24</t>
        </is>
      </c>
      <c r="F1157" s="2" t="str">
        <f>HYPERLINK("https://vtmf.veevavault.com/ui/#doc_info/26298229/1/0", "VTMF-21040313")</f>
        <v>VTMF-21040313</v>
      </c>
      <c r="G1157" s="3" t="inlineStr">
        <is>
          <t/>
        </is>
      </c>
      <c r="H1157" s="3" t="inlineStr">
        <is>
          <t>System</t>
        </is>
      </c>
      <c r="I1157" s="3" t="inlineStr">
        <is>
          <t>Gina Stefanelli</t>
        </is>
      </c>
      <c r="J1157" s="4" t="n">
        <v>45421.95922453704</v>
      </c>
      <c r="K1157" s="5" t="n">
        <v>45421.0</v>
      </c>
      <c r="L1157" s="5" t="n">
        <v>45421.0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42847922MDD3003</t>
        </is>
      </c>
    </row>
    <row r="1158">
      <c r="A1158" s="2" t="str">
        <f>HYPERLINK("https://vtmf.veevavault.com/ui/#doc_info/27131579/1/0", "42847922MDD3003---Relevant Communications-09 Sep 2024 (v1.0)")</f>
        <v>42847922MDD3003---Relevant Communications-09 Sep 2024 (v1.0)</v>
      </c>
      <c r="B1158" s="3" t="inlineStr">
        <is>
          <t>Third Parties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J&amp;J_42847922MDD3003_Handheld Software Download Memo_v04.00</t>
        </is>
      </c>
      <c r="F1158" s="2" t="str">
        <f>HYPERLINK("https://vtmf.veevavault.com/ui/#doc_info/27131579/1/0", "VTMF-21751071")</f>
        <v>VTMF-21751071</v>
      </c>
      <c r="G1158" s="3" t="inlineStr">
        <is>
          <t/>
        </is>
      </c>
      <c r="H1158" s="3" t="inlineStr">
        <is>
          <t>Anthony Suarez (veeva.com)</t>
        </is>
      </c>
      <c r="I1158" s="3" t="inlineStr">
        <is>
          <t>Arlean Worthy</t>
        </is>
      </c>
      <c r="J1158" s="4" t="n">
        <v>45559.60265046296</v>
      </c>
      <c r="K1158" s="5" t="n">
        <v>45559.0</v>
      </c>
      <c r="L1158" s="5" t="n">
        <v>45544.0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42847922MDD3003</t>
        </is>
      </c>
    </row>
    <row r="1159">
      <c r="A1159" s="2" t="str">
        <f>HYPERLINK("https://vtmf.veevavault.com/ui/#doc_info/28862831/1/0", "42847922MDD3003---Relevant Communications-10 Apr 2025 (v1.0)")</f>
        <v>42847922MDD3003---Relevant Communications-10 Apr 2025 (v1.0)</v>
      </c>
      <c r="B1159" s="3" t="inlineStr">
        <is>
          <t>Third Parties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Revisions to SAFER 1 introduction from MGH-CTNI SAFER raters to participants</t>
        </is>
      </c>
      <c r="F1159" s="2" t="str">
        <f>HYPERLINK("https://vtmf.veevavault.com/ui/#doc_info/28862831/1/0", "VTMF-23192009")</f>
        <v>VTMF-23192009</v>
      </c>
      <c r="G1159" s="3" t="inlineStr">
        <is>
          <t/>
        </is>
      </c>
      <c r="H1159" s="3" t="inlineStr">
        <is>
          <t>Anthony Suarez (veeva.com)</t>
        </is>
      </c>
      <c r="I1159" s="3" t="inlineStr">
        <is>
          <t>Debhora Garcia</t>
        </is>
      </c>
      <c r="J1159" s="4" t="n">
        <v>45758.762604166666</v>
      </c>
      <c r="K1159" s="5" t="n">
        <v>45758.0</v>
      </c>
      <c r="L1159" s="5" t="n">
        <v>45757.0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42847922MDD3003</t>
        </is>
      </c>
    </row>
    <row r="1160">
      <c r="A1160" s="2" t="str">
        <f>HYPERLINK("https://vtmf.veevavault.com/ui/#doc_info/30981254/1/0", "42847922MDD3003---Relevant Communications-10 Feb 2026 (v1.0)")</f>
        <v>42847922MDD3003---Relevant Communications-10 Feb 2026 (v1.0)</v>
      </c>
      <c r="B1160" s="3" t="inlineStr">
        <is>
          <t>Trial Management</t>
        </is>
      </c>
      <c r="C1160" s="3" t="inlineStr">
        <is>
          <t>General</t>
        </is>
      </c>
      <c r="D1160" s="3" t="inlineStr">
        <is>
          <t>Relevant Communications</t>
        </is>
      </c>
      <c r="E1160" s="3" t="inlineStr">
        <is>
          <t>News Post-OARS-7:  Labkits Reminder-05 Feb 2026</t>
        </is>
      </c>
      <c r="F1160" s="2" t="str">
        <f>HYPERLINK("https://vtmf.veevavault.com/ui/#doc_info/30981254/1/0", "VTMF-24972884")</f>
        <v>VTMF-24972884</v>
      </c>
      <c r="G1160" s="3" t="inlineStr">
        <is>
          <t/>
        </is>
      </c>
      <c r="H1160" s="3" t="inlineStr">
        <is>
          <t>System</t>
        </is>
      </c>
      <c r="I1160" s="3" t="inlineStr">
        <is>
          <t>DrugDev API Account</t>
        </is>
      </c>
      <c r="J1160" s="4" t="n">
        <v>46065.89630787037</v>
      </c>
      <c r="K1160" s="5" t="n">
        <v>46066.0</v>
      </c>
      <c r="L1160" s="5" t="n">
        <v>46063.0</v>
      </c>
      <c r="M1160" s="3" t="inlineStr">
        <is>
          <t>Approved</t>
        </is>
      </c>
      <c r="N1160" s="3" t="inlineStr">
        <is>
          <t>Country Close, Site Close, Study Close</t>
        </is>
      </c>
      <c r="O1160" s="3" t="inlineStr">
        <is>
          <t>42847922MDD3003</t>
        </is>
      </c>
    </row>
    <row r="1161">
      <c r="A1161" s="2" t="str">
        <f>HYPERLINK("https://vtmf.veevavault.com/ui/#doc_info/30981255/1/0", "42847922MDD3003---Relevant Communications-10 Feb 2026 (v1.0)")</f>
        <v>42847922MDD3003---Relevant Communications-10 Feb 2026 (v1.0)</v>
      </c>
      <c r="B1161" s="3" t="inlineStr">
        <is>
          <t>Trial Management</t>
        </is>
      </c>
      <c r="C1161" s="3" t="inlineStr">
        <is>
          <t>General</t>
        </is>
      </c>
      <c r="D1161" s="3" t="inlineStr">
        <is>
          <t>Relevant Communications</t>
        </is>
      </c>
      <c r="E1161" s="3" t="inlineStr">
        <is>
          <t>News Post-OARS-7: Important - Central Raters Teleconference Calls: Best Practices &amp; Troubleshooting-10 Feb 2026</t>
        </is>
      </c>
      <c r="F1161" s="2" t="str">
        <f>HYPERLINK("https://vtmf.veevavault.com/ui/#doc_info/30981255/1/0", "VTMF-24972885")</f>
        <v>VTMF-24972885</v>
      </c>
      <c r="G1161" s="3" t="inlineStr">
        <is>
          <t/>
        </is>
      </c>
      <c r="H1161" s="3" t="inlineStr">
        <is>
          <t>System</t>
        </is>
      </c>
      <c r="I1161" s="3" t="inlineStr">
        <is>
          <t>DrugDev API Account</t>
        </is>
      </c>
      <c r="J1161" s="4" t="n">
        <v>46065.89630787037</v>
      </c>
      <c r="K1161" s="5" t="n">
        <v>46066.0</v>
      </c>
      <c r="L1161" s="5" t="n">
        <v>46063.0</v>
      </c>
      <c r="M1161" s="3" t="inlineStr">
        <is>
          <t>Approved</t>
        </is>
      </c>
      <c r="N1161" s="3" t="inlineStr">
        <is>
          <t>Country Close, Site Close, Study Close</t>
        </is>
      </c>
      <c r="O1161" s="3" t="inlineStr">
        <is>
          <t>42847922MDD3003</t>
        </is>
      </c>
    </row>
    <row r="1162">
      <c r="A1162" s="2" t="str">
        <f>HYPERLINK("https://vtmf.veevavault.com/ui/#doc_info/30639974/1/0", "42847922MDD3003---Relevant Communications-10 Jan 2025 (v1.0)")</f>
        <v>42847922MDD3003---Relevant Communications-10 Jan 2025 (v1.0)</v>
      </c>
      <c r="B1162" s="3" t="inlineStr">
        <is>
          <t>Trial Management</t>
        </is>
      </c>
      <c r="C1162" s="3" t="inlineStr">
        <is>
          <t>General</t>
        </is>
      </c>
      <c r="D1162" s="3" t="inlineStr">
        <is>
          <t>Relevant Communications</t>
        </is>
      </c>
      <c r="E1162" s="3" t="inlineStr">
        <is>
          <t>News Post-OARS-7: Useful Information Related to MGH-CTNI Screen Failure Reasons-10 Jan 2025</t>
        </is>
      </c>
      <c r="F1162" s="2" t="str">
        <f>HYPERLINK("https://vtmf.veevavault.com/ui/#doc_info/30639974/1/0", "VTMF-24689499")</f>
        <v>VTMF-24689499</v>
      </c>
      <c r="G1162" s="3" t="inlineStr">
        <is>
          <t/>
        </is>
      </c>
      <c r="H1162" s="3" t="inlineStr">
        <is>
          <t>System</t>
        </is>
      </c>
      <c r="I1162" s="3" t="inlineStr">
        <is>
          <t>DrugDev API Account</t>
        </is>
      </c>
      <c r="J1162" s="4" t="n">
        <v>46009.72644675926</v>
      </c>
      <c r="K1162" s="5" t="n">
        <v>46010.0</v>
      </c>
      <c r="L1162" s="5" t="n">
        <v>45667.0</v>
      </c>
      <c r="M1162" s="3" t="inlineStr">
        <is>
          <t>Approved</t>
        </is>
      </c>
      <c r="N1162" s="3" t="inlineStr">
        <is>
          <t>Country Close, Site Close, Study Close</t>
        </is>
      </c>
      <c r="O1162" s="3" t="inlineStr">
        <is>
          <t>42847922MDD3003</t>
        </is>
      </c>
    </row>
    <row r="1163">
      <c r="A1163" s="2" t="str">
        <f>HYPERLINK("https://vtmf.veevavault.com/ui/#doc_info/29325951/1/0", "42847922MDD3003---Relevant Communications-10 Jun 2025 (v1.0)")</f>
        <v>42847922MDD3003---Relevant Communications-10 Jun 2025 (v1.0)</v>
      </c>
      <c r="B1163" s="3" t="inlineStr">
        <is>
          <t>Third Parties</t>
        </is>
      </c>
      <c r="C1163" s="3" t="inlineStr">
        <is>
          <t>General</t>
        </is>
      </c>
      <c r="D1163" s="3" t="inlineStr">
        <is>
          <t>Relevant Communications</t>
        </is>
      </c>
      <c r="E1163" s="3" t="inlineStr">
        <is>
          <t>42847922MDD3003_Clario ECG Communication re data in wrong study's database  due to study or location code 10June2025.pdf</t>
        </is>
      </c>
      <c r="F1163" s="2" t="str">
        <f>HYPERLINK("https://vtmf.veevavault.com/ui/#doc_info/29325951/1/0", "VTMF-23573893")</f>
        <v>VTMF-23573893</v>
      </c>
      <c r="G1163" s="3" t="inlineStr">
        <is>
          <t/>
        </is>
      </c>
      <c r="H1163" s="3" t="inlineStr">
        <is>
          <t>Anthony Suarez (veeva.com)</t>
        </is>
      </c>
      <c r="I1163" s="3" t="inlineStr">
        <is>
          <t>Arlean Worthy</t>
        </is>
      </c>
      <c r="J1163" s="4" t="n">
        <v>45818.68614583334</v>
      </c>
      <c r="K1163" s="5" t="n">
        <v>45818.0</v>
      </c>
      <c r="L1163" s="5" t="n">
        <v>45818.0</v>
      </c>
      <c r="M1163" s="3" t="inlineStr">
        <is>
          <t>Approved</t>
        </is>
      </c>
      <c r="N1163" s="3" t="inlineStr">
        <is>
          <t>Country Close, Site Close, Study Close</t>
        </is>
      </c>
      <c r="O1163" s="3" t="inlineStr">
        <is>
          <t>42847922MDD3003</t>
        </is>
      </c>
    </row>
    <row r="1164">
      <c r="A1164" s="2" t="str">
        <f>HYPERLINK("https://vtmf.veevavault.com/ui/#doc_info/30641131/1/0", "42847922MDD3003---Relevant Communications-10 Jun 2025 (v1.0)")</f>
        <v>42847922MDD3003---Relevant Communications-10 Jun 2025 (v1.0)</v>
      </c>
      <c r="B1164" s="3" t="inlineStr">
        <is>
          <t>Trial Management</t>
        </is>
      </c>
      <c r="C1164" s="3" t="inlineStr">
        <is>
          <t>General</t>
        </is>
      </c>
      <c r="D1164" s="3" t="inlineStr">
        <is>
          <t>Relevant Communications</t>
        </is>
      </c>
      <c r="E1164" s="3" t="inlineStr">
        <is>
          <t>News Post-OARS-7:  Clario ECG Data in Incorrect Study Database-10 Jun 2025</t>
        </is>
      </c>
      <c r="F1164" s="2" t="str">
        <f>HYPERLINK("https://vtmf.veevavault.com/ui/#doc_info/30641131/1/0", "VTMF-24690463")</f>
        <v>VTMF-24690463</v>
      </c>
      <c r="G1164" s="3" t="inlineStr">
        <is>
          <t/>
        </is>
      </c>
      <c r="H1164" s="3" t="inlineStr">
        <is>
          <t>System</t>
        </is>
      </c>
      <c r="I1164" s="3" t="inlineStr">
        <is>
          <t>DrugDev API Account</t>
        </is>
      </c>
      <c r="J1164" s="4" t="n">
        <v>46009.78670138889</v>
      </c>
      <c r="K1164" s="5" t="n">
        <v>46010.0</v>
      </c>
      <c r="L1164" s="5" t="n">
        <v>45818.0</v>
      </c>
      <c r="M1164" s="3" t="inlineStr">
        <is>
          <t>Approved</t>
        </is>
      </c>
      <c r="N1164" s="3" t="inlineStr">
        <is>
          <t>Country Close, Site Close, Study Close</t>
        </is>
      </c>
      <c r="O1164" s="3" t="inlineStr">
        <is>
          <t>42847922MDD3003</t>
        </is>
      </c>
    </row>
    <row r="1165">
      <c r="A1165" s="2" t="str">
        <f>HYPERLINK("https://vtmf.veevavault.com/ui/#doc_info/26314719/1/0", "42847922MDD3003---Relevant Communications-10 May 2024 (v1.0)")</f>
        <v>42847922MDD3003---Relevant Communications-10 May 2024 (v1.0)</v>
      </c>
      <c r="B1165" s="3" t="inlineStr">
        <is>
          <t>Trial Management</t>
        </is>
      </c>
      <c r="C1165" s="3" t="inlineStr">
        <is>
          <t>General</t>
        </is>
      </c>
      <c r="D1165" s="3" t="inlineStr">
        <is>
          <t>Relevant Communications</t>
        </is>
      </c>
      <c r="E1165" s="3" t="inlineStr">
        <is>
          <t>OARS-7_ Protocol 42847922MDD3003 Communication to Suppliers re Delayed Study Timelines_10May24.</t>
        </is>
      </c>
      <c r="F1165" s="2" t="str">
        <f>HYPERLINK("https://vtmf.veevavault.com/ui/#doc_info/26314719/1/0", "VTMF-21054411")</f>
        <v>VTMF-21054411</v>
      </c>
      <c r="G1165" s="3" t="inlineStr">
        <is>
          <t/>
        </is>
      </c>
      <c r="H1165" s="3" t="inlineStr">
        <is>
          <t>System</t>
        </is>
      </c>
      <c r="I1165" s="3" t="inlineStr">
        <is>
          <t>Gina Stefanelli</t>
        </is>
      </c>
      <c r="J1165" s="4" t="n">
        <v>45425.726006944446</v>
      </c>
      <c r="K1165" s="5" t="n">
        <v>45425.0</v>
      </c>
      <c r="L1165" s="5" t="n">
        <v>45422.0</v>
      </c>
      <c r="M1165" s="3" t="inlineStr">
        <is>
          <t>Approved</t>
        </is>
      </c>
      <c r="N1165" s="3" t="inlineStr">
        <is>
          <t>Country Close, Site Close, Study Close</t>
        </is>
      </c>
      <c r="O1165" s="3" t="inlineStr">
        <is>
          <t>42847922MDD3003</t>
        </is>
      </c>
    </row>
    <row r="1166">
      <c r="A1166" s="2" t="str">
        <f>HYPERLINK("https://vtmf.veevavault.com/ui/#doc_info/27194761/1/0", "42847922MDD3003---Relevant Communications-10 Sep 2024 (v1.0)")</f>
        <v>42847922MDD3003---Relevant Communications-10 Sep 2024 (v1.0)</v>
      </c>
      <c r="B1166" s="3" t="inlineStr">
        <is>
          <t>Regulatory</t>
        </is>
      </c>
      <c r="C1166" s="3" t="inlineStr">
        <is>
          <t>General</t>
        </is>
      </c>
      <c r="D1166" s="3" t="inlineStr">
        <is>
          <t>Relevant Communications</t>
        </is>
      </c>
      <c r="E1166" s="3" t="inlineStr">
        <is>
          <t>Letter, 20240911-IND 125833 Waiver of 1572 Signature Requirement Request Granted</t>
        </is>
      </c>
      <c r="F1166" s="2" t="str">
        <f>HYPERLINK("https://vtmf.veevavault.com/ui/#doc_info/27194761/1/0", "VTMF-21806005")</f>
        <v>VTMF-21806005</v>
      </c>
      <c r="G1166" s="3" t="inlineStr">
        <is>
          <t/>
        </is>
      </c>
      <c r="H1166" s="3" t="inlineStr">
        <is>
          <t>Anthony Suarez (veeva.com)</t>
        </is>
      </c>
      <c r="I1166" s="3" t="inlineStr">
        <is>
          <t>Arlean Worthy</t>
        </is>
      </c>
      <c r="J1166" s="4" t="n">
        <v>45569.153958333336</v>
      </c>
      <c r="K1166" s="5" t="n">
        <v>45568.0</v>
      </c>
      <c r="L1166" s="5" t="n">
        <v>45545.0</v>
      </c>
      <c r="M1166" s="3" t="inlineStr">
        <is>
          <t>Approved</t>
        </is>
      </c>
      <c r="N1166" s="3" t="inlineStr">
        <is>
          <t>Country Close, Site Close, Study Close</t>
        </is>
      </c>
      <c r="O1166" s="3" t="inlineStr">
        <is>
          <t>42847922MDD3003</t>
        </is>
      </c>
    </row>
    <row r="1167">
      <c r="A1167" s="2" t="str">
        <f>HYPERLINK("https://vtmf.veevavault.com/ui/#doc_info/28916890/1/0", "42847922MDD3003---Relevant Communications-11 Apr 2025 (v1.0)")</f>
        <v>42847922MDD3003---Relevant Communications-11 Apr 2025 (v1.0)</v>
      </c>
      <c r="B1167" s="3" t="inlineStr">
        <is>
          <t>Trial Management</t>
        </is>
      </c>
      <c r="C1167" s="3" t="inlineStr">
        <is>
          <t>General</t>
        </is>
      </c>
      <c r="D1167" s="3" t="inlineStr">
        <is>
          <t>Relevant Communications</t>
        </is>
      </c>
      <c r="E1167" s="3" t="inlineStr">
        <is>
          <t>News Post, OARS-7:  Revisions to SAFER 1 Introduction-11 Apr 2025</t>
        </is>
      </c>
      <c r="F1167" s="2" t="str">
        <f>HYPERLINK("https://vtmf.veevavault.com/ui/#doc_info/28916890/1/0", "VTMF-23236034")</f>
        <v>VTMF-23236034</v>
      </c>
      <c r="G1167" s="3" t="inlineStr">
        <is>
          <t/>
        </is>
      </c>
      <c r="H1167" s="3" t="inlineStr">
        <is>
          <t>Anthony Suarez (veeva.com)</t>
        </is>
      </c>
      <c r="I1167" s="3" t="inlineStr">
        <is>
          <t>DrugDev API Account</t>
        </is>
      </c>
      <c r="J1167" s="4" t="n">
        <v>45764.89650462963</v>
      </c>
      <c r="K1167" s="5" t="n">
        <v>45765.0</v>
      </c>
      <c r="L1167" s="5" t="n">
        <v>45758.0</v>
      </c>
      <c r="M1167" s="3" t="inlineStr">
        <is>
          <t>Approved</t>
        </is>
      </c>
      <c r="N1167" s="3" t="inlineStr">
        <is>
          <t>Country Close, Site Close, Study Close</t>
        </is>
      </c>
      <c r="O1167" s="3" t="inlineStr">
        <is>
          <t>42847922MDD3003</t>
        </is>
      </c>
    </row>
    <row r="1168">
      <c r="A1168" s="2" t="str">
        <f>HYPERLINK("https://vtmf.veevavault.com/ui/#doc_info/26971500/1/0", "42847922MDD3003---Relevant Communications-11 Aug 2024 (v1.0)")</f>
        <v>42847922MDD3003---Relevant Communications-11 Aug 2024 (v1.0)</v>
      </c>
      <c r="B1168" s="3" t="inlineStr">
        <is>
          <t>Third Parties</t>
        </is>
      </c>
      <c r="C1168" s="3" t="inlineStr">
        <is>
          <t>General</t>
        </is>
      </c>
      <c r="D1168" s="3" t="inlineStr">
        <is>
          <t>Relevant Communications</t>
        </is>
      </c>
      <c r="E1168" s="3" t="inlineStr">
        <is>
          <t>J&amp;J 42847922MDD3003 - Google Chrome webview update_Memo for Study Teams and Sites</t>
        </is>
      </c>
      <c r="F1168" s="2" t="str">
        <f>HYPERLINK("https://vtmf.veevavault.com/ui/#doc_info/26971500/1/0", "VTMF-21622147")</f>
        <v>VTMF-21622147</v>
      </c>
      <c r="G1168" s="3" t="inlineStr">
        <is>
          <t/>
        </is>
      </c>
      <c r="H1168" s="3" t="inlineStr">
        <is>
          <t>Anthony Suarez (veeva.com)</t>
        </is>
      </c>
      <c r="I1168" s="3" t="inlineStr">
        <is>
          <t>Debhora Garcia</t>
        </is>
      </c>
      <c r="J1168" s="4" t="n">
        <v>45533.220497685186</v>
      </c>
      <c r="K1168" s="5" t="n">
        <v>45532.0</v>
      </c>
      <c r="L1168" s="5" t="n">
        <v>45515.0</v>
      </c>
      <c r="M1168" s="3" t="inlineStr">
        <is>
          <t>Approved</t>
        </is>
      </c>
      <c r="N1168" s="3" t="inlineStr">
        <is>
          <t>Country Close, Site Close, Study Close</t>
        </is>
      </c>
      <c r="O1168" s="3" t="inlineStr">
        <is>
          <t>42847922MDD3003</t>
        </is>
      </c>
    </row>
    <row r="1169">
      <c r="A1169" s="2" t="str">
        <f>HYPERLINK("https://vtmf.veevavault.com/ui/#doc_info/28555926/1/0", "42847922MDD3003---Relevant Communications-11 Jul 2024 (v1.0)")</f>
        <v>42847922MDD3003---Relevant Communications-11 Jul 2024 (v1.0)</v>
      </c>
      <c r="B1169" s="3" t="inlineStr">
        <is>
          <t>Third Parties</t>
        </is>
      </c>
      <c r="C1169" s="3" t="inlineStr">
        <is>
          <t>General</t>
        </is>
      </c>
      <c r="D1169" s="3" t="inlineStr">
        <is>
          <t>Relevant Communications</t>
        </is>
      </c>
      <c r="E1169" s="3" t="inlineStr">
        <is>
          <t>Email, Lat America site tiers</t>
        </is>
      </c>
      <c r="F1169" s="2" t="str">
        <f>HYPERLINK("https://vtmf.veevavault.com/ui/#doc_info/28555926/1/0", "VTMF-22931406")</f>
        <v>VTMF-22931406</v>
      </c>
      <c r="G1169" s="3" t="inlineStr">
        <is>
          <t/>
        </is>
      </c>
      <c r="H1169" s="3" t="inlineStr">
        <is>
          <t>Anthony Suarez (veeva.com)</t>
        </is>
      </c>
      <c r="I1169" s="3" t="inlineStr">
        <is>
          <t>Debhora Garcia</t>
        </is>
      </c>
      <c r="J1169" s="4" t="n">
        <v>45714.80180555556</v>
      </c>
      <c r="K1169" s="5" t="n">
        <v>45714.0</v>
      </c>
      <c r="L1169" s="5" t="n">
        <v>45484.0</v>
      </c>
      <c r="M1169" s="3" t="inlineStr">
        <is>
          <t>Approved</t>
        </is>
      </c>
      <c r="N1169" s="3" t="inlineStr">
        <is>
          <t>Country Close, Site Close, Study Close</t>
        </is>
      </c>
      <c r="O1169" s="3" t="inlineStr">
        <is>
          <t>42847922MDD3003</t>
        </is>
      </c>
    </row>
    <row r="1170">
      <c r="A1170" s="2" t="str">
        <f>HYPERLINK("https://vtmf.veevavault.com/ui/#doc_info/29578266/1/0", "42847922MDD3003---Relevant Communications-11 Jul 2025 (v1.0)")</f>
        <v>42847922MDD3003---Relevant Communications-11 Jul 2025 (v1.0)</v>
      </c>
      <c r="B1170" s="3" t="inlineStr">
        <is>
          <t>Trial Management</t>
        </is>
      </c>
      <c r="C1170" s="3" t="inlineStr">
        <is>
          <t>General</t>
        </is>
      </c>
      <c r="D1170" s="3" t="inlineStr">
        <is>
          <t>Relevant Communications</t>
        </is>
      </c>
      <c r="E1170" s="3" t="inlineStr">
        <is>
          <t>News Post-OARS-7: CTNI ATRQ GCP/ALCOA Best Practices-11 Jul 2025</t>
        </is>
      </c>
      <c r="F1170" s="2" t="str">
        <f>HYPERLINK("https://vtmf.veevavault.com/ui/#doc_info/29578266/1/0", "VTMF-23791566")</f>
        <v>VTMF-23791566</v>
      </c>
      <c r="G1170" s="3" t="inlineStr">
        <is>
          <t/>
        </is>
      </c>
      <c r="H1170" s="3" t="inlineStr">
        <is>
          <t>System</t>
        </is>
      </c>
      <c r="I1170" s="3" t="inlineStr">
        <is>
          <t>DrugDev API Account</t>
        </is>
      </c>
      <c r="J1170" s="4" t="n">
        <v>45855.896516203706</v>
      </c>
      <c r="K1170" s="5" t="n">
        <v>45856.0</v>
      </c>
      <c r="L1170" s="5" t="n">
        <v>45849.0</v>
      </c>
      <c r="M1170" s="3" t="inlineStr">
        <is>
          <t>Approved</t>
        </is>
      </c>
      <c r="N1170" s="3" t="inlineStr">
        <is>
          <t>Country Close, Site Close, Study Close</t>
        </is>
      </c>
      <c r="O1170" s="3" t="inlineStr">
        <is>
          <t>42847922MDD3003</t>
        </is>
      </c>
    </row>
    <row r="1171">
      <c r="A1171" s="2" t="str">
        <f>HYPERLINK("https://vtmf.veevavault.com/ui/#doc_info/28004736/1/0", "42847922MDD3003---Relevant Communications-11 Nov 2024 (v1.0)")</f>
        <v>42847922MDD3003---Relevant Communications-11 Nov 2024 (v1.0)</v>
      </c>
      <c r="B1171" s="3" t="inlineStr">
        <is>
          <t>Central Trial Documents</t>
        </is>
      </c>
      <c r="C1171" s="3" t="inlineStr">
        <is>
          <t>General</t>
        </is>
      </c>
      <c r="D1171" s="3" t="inlineStr">
        <is>
          <t>Relevant Communications</t>
        </is>
      </c>
      <c r="E1171" s="3" t="inlineStr">
        <is>
          <t>Email, consultation_ generic_study-specific pre-screening and ICF's.</t>
        </is>
      </c>
      <c r="F1171" s="2" t="str">
        <f>HYPERLINK("https://vtmf.veevavault.com/ui/#doc_info/28004736/1/0", "VTMF-22456568")</f>
        <v>VTMF-22456568</v>
      </c>
      <c r="G1171" s="3" t="inlineStr">
        <is>
          <t/>
        </is>
      </c>
      <c r="H1171" s="3" t="inlineStr">
        <is>
          <t>Anthony Suarez (veeva.com)</t>
        </is>
      </c>
      <c r="I1171" s="3" t="inlineStr">
        <is>
          <t>Gina Stefanelli</t>
        </is>
      </c>
      <c r="J1171" s="4" t="n">
        <v>45659.75030092592</v>
      </c>
      <c r="K1171" s="5" t="n">
        <v>45659.0</v>
      </c>
      <c r="L1171" s="5" t="n">
        <v>45607.0</v>
      </c>
      <c r="M1171" s="3" t="inlineStr">
        <is>
          <t>Approved</t>
        </is>
      </c>
      <c r="N1171" s="3" t="inlineStr">
        <is>
          <t>Country Close, Site Close, Study Close</t>
        </is>
      </c>
      <c r="O1171" s="3" t="inlineStr">
        <is>
          <t>42847922MDD3003</t>
        </is>
      </c>
    </row>
    <row r="1172">
      <c r="A1172" s="2" t="str">
        <f>HYPERLINK("https://vtmf.veevavault.com/ui/#doc_info/27244026/1/0", "42847922MDD3003---Relevant Communications-11 Oct 2024 (v1.0)")</f>
        <v>42847922MDD3003---Relevant Communications-11 Oct 2024 (v1.0)</v>
      </c>
      <c r="B1172" s="3" t="inlineStr">
        <is>
          <t>Third Parties</t>
        </is>
      </c>
      <c r="C1172" s="3" t="inlineStr">
        <is>
          <t>General</t>
        </is>
      </c>
      <c r="D1172" s="3" t="inlineStr">
        <is>
          <t>Relevant Communications</t>
        </is>
      </c>
      <c r="E1172" s="3" t="inlineStr">
        <is>
          <t>Email, Labcorp kit clarification for Part 2 Open Label Visit 1.1</t>
        </is>
      </c>
      <c r="F1172" s="2" t="str">
        <f>HYPERLINK("https://vtmf.veevavault.com/ui/#doc_info/27244026/1/0", "VTMF-21848544")</f>
        <v>VTMF-21848544</v>
      </c>
      <c r="G1172" s="3" t="inlineStr">
        <is>
          <t/>
        </is>
      </c>
      <c r="H1172" s="3" t="inlineStr">
        <is>
          <t>Anthony Suarez (veeva.com)</t>
        </is>
      </c>
      <c r="I1172" s="3" t="inlineStr">
        <is>
          <t>Debhora Garcia</t>
        </is>
      </c>
      <c r="J1172" s="4" t="n">
        <v>45576.967141203706</v>
      </c>
      <c r="K1172" s="5" t="n">
        <v>45577.0</v>
      </c>
      <c r="L1172" s="5" t="n">
        <v>45576.0</v>
      </c>
      <c r="M1172" s="3" t="inlineStr">
        <is>
          <t>Approved</t>
        </is>
      </c>
      <c r="N1172" s="3" t="inlineStr">
        <is>
          <t>Country Close, Site Close, Study Close</t>
        </is>
      </c>
      <c r="O1172" s="3" t="inlineStr">
        <is>
          <t>42847922MDD3003</t>
        </is>
      </c>
    </row>
    <row r="1173">
      <c r="A1173" s="2" t="str">
        <f>HYPERLINK("https://vtmf.veevavault.com/ui/#doc_info/29767920/1/0", "42847922MDD3003---Relevant Communications-12 Aug 2025 (v1.0)")</f>
        <v>42847922MDD3003---Relevant Communications-12 Aug 2025 (v1.0)</v>
      </c>
      <c r="B1173" s="3" t="inlineStr">
        <is>
          <t>Trial Management</t>
        </is>
      </c>
      <c r="C1173" s="3" t="inlineStr">
        <is>
          <t>General</t>
        </is>
      </c>
      <c r="D1173" s="3" t="inlineStr">
        <is>
          <t>Relevant Communications</t>
        </is>
      </c>
      <c r="E1173" s="3" t="inlineStr">
        <is>
          <t>News Post-OARS-7: Urine Drug and Alcohol Test at Screening Visit 1-12 Aug 2025</t>
        </is>
      </c>
      <c r="F1173" s="2" t="str">
        <f>HYPERLINK("https://vtmf.veevavault.com/ui/#doc_info/29767920/1/0", "VTMF-23953935")</f>
        <v>VTMF-23953935</v>
      </c>
      <c r="G1173" s="3" t="inlineStr">
        <is>
          <t/>
        </is>
      </c>
      <c r="H1173" s="3" t="inlineStr">
        <is>
          <t>System</t>
        </is>
      </c>
      <c r="I1173" s="3" t="inlineStr">
        <is>
          <t>DrugDev API Account</t>
        </is>
      </c>
      <c r="J1173" s="4" t="n">
        <v>45883.89634259259</v>
      </c>
      <c r="K1173" s="5" t="n">
        <v>45884.0</v>
      </c>
      <c r="L1173" s="5" t="n">
        <v>45881.0</v>
      </c>
      <c r="M1173" s="3" t="inlineStr">
        <is>
          <t>Approved</t>
        </is>
      </c>
      <c r="N1173" s="3" t="inlineStr">
        <is>
          <t>Country Close, Site Close, Study Close</t>
        </is>
      </c>
      <c r="O1173" s="3" t="inlineStr">
        <is>
          <t>42847922MDD3003</t>
        </is>
      </c>
    </row>
    <row r="1174">
      <c r="A1174" s="2" t="str">
        <f>HYPERLINK("https://vtmf.veevavault.com/ui/#doc_info/27884950/1/0", "42847922MDD3003---Relevant Communications-12 Dec 2024 (v1.0)")</f>
        <v>42847922MDD3003---Relevant Communications-12 Dec 2024 (v1.0)</v>
      </c>
      <c r="B1174" s="3" t="inlineStr">
        <is>
          <t>Third Parties</t>
        </is>
      </c>
      <c r="C1174" s="3" t="inlineStr">
        <is>
          <t>General</t>
        </is>
      </c>
      <c r="D1174" s="3" t="inlineStr">
        <is>
          <t>Relevant Communications</t>
        </is>
      </c>
      <c r="E1174" s="3" t="inlineStr">
        <is>
          <t>Memo, LabCorp New Part 2 OL Kits</t>
        </is>
      </c>
      <c r="F1174" s="2" t="str">
        <f>HYPERLINK("https://vtmf.veevavault.com/ui/#doc_info/27884950/1/0", "VTMF-22359901")</f>
        <v>VTMF-22359901</v>
      </c>
      <c r="G1174" s="3" t="inlineStr">
        <is>
          <t/>
        </is>
      </c>
      <c r="H1174" s="3" t="inlineStr">
        <is>
          <t>Anthony Suarez (veeva.com)</t>
        </is>
      </c>
      <c r="I1174" s="3" t="inlineStr">
        <is>
          <t>Arlean Worthy</t>
        </is>
      </c>
      <c r="J1174" s="4" t="n">
        <v>45639.859502314815</v>
      </c>
      <c r="K1174" s="5" t="n">
        <v>45639.0</v>
      </c>
      <c r="L1174" s="5" t="n">
        <v>45638.0</v>
      </c>
      <c r="M1174" s="3" t="inlineStr">
        <is>
          <t>Approved</t>
        </is>
      </c>
      <c r="N1174" s="3" t="inlineStr">
        <is>
          <t>Country Close, Site Close, Study Close</t>
        </is>
      </c>
      <c r="O1174" s="3" t="inlineStr">
        <is>
          <t>42847922MDD3003</t>
        </is>
      </c>
    </row>
    <row r="1175">
      <c r="A1175" s="2" t="str">
        <f>HYPERLINK("https://vtmf.veevavault.com/ui/#doc_info/28227857/1/0", "42847922MDD3003---Relevant Communications-12 Dec 2024 (v1.0)")</f>
        <v>42847922MDD3003---Relevant Communications-12 Dec 2024 (v1.0)</v>
      </c>
      <c r="B1175" s="3" t="inlineStr">
        <is>
          <t>Third Parties</t>
        </is>
      </c>
      <c r="C1175" s="3" t="inlineStr">
        <is>
          <t>General</t>
        </is>
      </c>
      <c r="D1175" s="3" t="inlineStr">
        <is>
          <t>Relevant Communications</t>
        </is>
      </c>
      <c r="E1175" s="3" t="inlineStr">
        <is>
          <t>Memo, Clario ECG_GE MAC2000 Stock: Risk Notification and Mitigation Plan</t>
        </is>
      </c>
      <c r="F1175" s="2" t="str">
        <f>HYPERLINK("https://vtmf.veevavault.com/ui/#doc_info/28227857/1/0", "VTMF-22640044")</f>
        <v>VTMF-22640044</v>
      </c>
      <c r="G1175" s="3" t="inlineStr">
        <is>
          <t/>
        </is>
      </c>
      <c r="H1175" s="3" t="inlineStr">
        <is>
          <t>Anthony Suarez (veeva.com)</t>
        </is>
      </c>
      <c r="I1175" s="3" t="inlineStr">
        <is>
          <t>Debhora Garcia</t>
        </is>
      </c>
      <c r="J1175" s="4" t="n">
        <v>45693.04415509259</v>
      </c>
      <c r="K1175" s="5" t="n">
        <v>45693.0</v>
      </c>
      <c r="L1175" s="5" t="n">
        <v>45638.0</v>
      </c>
      <c r="M1175" s="3" t="inlineStr">
        <is>
          <t>Approved</t>
        </is>
      </c>
      <c r="N1175" s="3" t="inlineStr">
        <is>
          <t>Country Close, Site Close, Study Close</t>
        </is>
      </c>
      <c r="O1175" s="3" t="inlineStr">
        <is>
          <t>42847922MDD3003</t>
        </is>
      </c>
    </row>
    <row r="1176">
      <c r="A1176" s="2" t="str">
        <f>HYPERLINK("https://vtmf.veevavault.com/ui/#doc_info/28227867/1/0", "42847922MDD3003---Relevant Communications-12 Dec 2024 (v1.0)")</f>
        <v>42847922MDD3003---Relevant Communications-12 Dec 2024 (v1.0)</v>
      </c>
      <c r="B1176" s="3" t="inlineStr">
        <is>
          <t>Third Parties</t>
        </is>
      </c>
      <c r="C1176" s="3" t="inlineStr">
        <is>
          <t>General</t>
        </is>
      </c>
      <c r="D1176" s="3" t="inlineStr">
        <is>
          <t>Relevant Communications</t>
        </is>
      </c>
      <c r="E1176" s="3" t="inlineStr">
        <is>
          <t>Memo, Clario ECG_Stock Advance Mitigation Plan for PIV Countries</t>
        </is>
      </c>
      <c r="F1176" s="2" t="str">
        <f>HYPERLINK("https://vtmf.veevavault.com/ui/#doc_info/28227867/1/0", "VTMF-22640066")</f>
        <v>VTMF-22640066</v>
      </c>
      <c r="G1176" s="3" t="inlineStr">
        <is>
          <t/>
        </is>
      </c>
      <c r="H1176" s="3" t="inlineStr">
        <is>
          <t>Anthony Suarez (veeva.com)</t>
        </is>
      </c>
      <c r="I1176" s="3" t="inlineStr">
        <is>
          <t>Debhora Garcia</t>
        </is>
      </c>
      <c r="J1176" s="4" t="n">
        <v>45693.0503125</v>
      </c>
      <c r="K1176" s="5" t="n">
        <v>45693.0</v>
      </c>
      <c r="L1176" s="5" t="n">
        <v>45638.0</v>
      </c>
      <c r="M1176" s="3" t="inlineStr">
        <is>
          <t>Approved</t>
        </is>
      </c>
      <c r="N1176" s="3" t="inlineStr">
        <is>
          <t>Country Close, Site Close, Study Close</t>
        </is>
      </c>
      <c r="O1176" s="3" t="inlineStr">
        <is>
          <t>42847922MDD3003</t>
        </is>
      </c>
    </row>
    <row r="1177">
      <c r="A1177" s="2" t="str">
        <f>HYPERLINK("https://vtmf.veevavault.com/ui/#doc_info/30639905/1/0", "42847922MDD3003---Relevant Communications-12 Dec 2024 (v1.0)")</f>
        <v>42847922MDD3003---Relevant Communications-12 Dec 2024 (v1.0)</v>
      </c>
      <c r="B1177" s="3" t="inlineStr">
        <is>
          <t>Trial Management</t>
        </is>
      </c>
      <c r="C1177" s="3" t="inlineStr">
        <is>
          <t>General</t>
        </is>
      </c>
      <c r="D1177" s="3" t="inlineStr">
        <is>
          <t>Relevant Communications</t>
        </is>
      </c>
      <c r="E1177" s="3" t="inlineStr">
        <is>
          <t>News Post-MGH-CTNI Screen Failures Related to the ATRQ-12 Dec 2024</t>
        </is>
      </c>
      <c r="F1177" s="2" t="str">
        <f>HYPERLINK("https://vtmf.veevavault.com/ui/#doc_info/30639905/1/0", "VTMF-24689430")</f>
        <v>VTMF-24689430</v>
      </c>
      <c r="G1177" s="3" t="inlineStr">
        <is>
          <t/>
        </is>
      </c>
      <c r="H1177" s="3" t="inlineStr">
        <is>
          <t>System</t>
        </is>
      </c>
      <c r="I1177" s="3" t="inlineStr">
        <is>
          <t>DrugDev API Account</t>
        </is>
      </c>
      <c r="J1177" s="4" t="n">
        <v>46009.72644675926</v>
      </c>
      <c r="K1177" s="5" t="n">
        <v>46010.0</v>
      </c>
      <c r="L1177" s="5" t="n">
        <v>45638.0</v>
      </c>
      <c r="M1177" s="3" t="inlineStr">
        <is>
          <t>Approved</t>
        </is>
      </c>
      <c r="N1177" s="3" t="inlineStr">
        <is>
          <t>Country Close, Site Close, Study Close</t>
        </is>
      </c>
      <c r="O1177" s="3" t="inlineStr">
        <is>
          <t>42847922MDD3003</t>
        </is>
      </c>
    </row>
    <row r="1178">
      <c r="A1178" s="2" t="str">
        <f>HYPERLINK("https://vtmf.veevavault.com/ui/#doc_info/30619261/1/0", "42847922MDD3003---Relevant Communications-12 Dec 2025 (v1.0)")</f>
        <v>42847922MDD3003---Relevant Communications-12 Dec 2025 (v1.0)</v>
      </c>
      <c r="B1178" s="3" t="inlineStr">
        <is>
          <t>Trial Management</t>
        </is>
      </c>
      <c r="C1178" s="3" t="inlineStr">
        <is>
          <t>General</t>
        </is>
      </c>
      <c r="D1178" s="3" t="inlineStr">
        <is>
          <t>Relevant Communications</t>
        </is>
      </c>
      <c r="E1178" s="3" t="inlineStr">
        <is>
          <t>News Post-OARS-7: Newsletter Edition 6 Now Available!-12 Dec 2025</t>
        </is>
      </c>
      <c r="F1178" s="2" t="str">
        <f>HYPERLINK("https://vtmf.veevavault.com/ui/#doc_info/30619261/1/0", "VTMF-24671517")</f>
        <v>VTMF-24671517</v>
      </c>
      <c r="G1178" s="3" t="inlineStr">
        <is>
          <t/>
        </is>
      </c>
      <c r="H1178" s="3" t="inlineStr">
        <is>
          <t>System</t>
        </is>
      </c>
      <c r="I1178" s="3" t="inlineStr">
        <is>
          <t>DrugDev API Account</t>
        </is>
      </c>
      <c r="J1178" s="4" t="n">
        <v>46007.90957175926</v>
      </c>
      <c r="K1178" s="5" t="n">
        <v>46008.0</v>
      </c>
      <c r="L1178" s="5" t="n">
        <v>46003.0</v>
      </c>
      <c r="M1178" s="3" t="inlineStr">
        <is>
          <t>Approved</t>
        </is>
      </c>
      <c r="N1178" s="3" t="inlineStr">
        <is>
          <t>Country Close, Site Close, Study Close</t>
        </is>
      </c>
      <c r="O1178" s="3" t="inlineStr">
        <is>
          <t>42847922MDD3003</t>
        </is>
      </c>
    </row>
    <row r="1179">
      <c r="A1179" s="2" t="str">
        <f>HYPERLINK("https://vtmf.veevavault.com/ui/#doc_info/31081652/1/0", "42847922MDD3003---Relevant Communications-12 Feb 2026 (v1.0)")</f>
        <v>42847922MDD3003---Relevant Communications-12 Feb 2026 (v1.0)</v>
      </c>
      <c r="B1179" s="3" t="inlineStr">
        <is>
          <t>Trial Management</t>
        </is>
      </c>
      <c r="C1179" s="3" t="inlineStr">
        <is>
          <t>General</t>
        </is>
      </c>
      <c r="D1179" s="3" t="inlineStr">
        <is>
          <t>Relevant Communications</t>
        </is>
      </c>
      <c r="E1179" s="3" t="inlineStr">
        <is>
          <t>updated _medical reviewer_ review requirements.</t>
        </is>
      </c>
      <c r="F1179" s="2" t="str">
        <f>HYPERLINK("https://vtmf.veevavault.com/ui/#doc_info/31081652/1/0", "VTMF-25058150")</f>
        <v>VTMF-25058150</v>
      </c>
      <c r="G1179" s="3" t="inlineStr">
        <is>
          <t/>
        </is>
      </c>
      <c r="H1179" s="3" t="inlineStr">
        <is>
          <t>System</t>
        </is>
      </c>
      <c r="I1179" s="3" t="inlineStr">
        <is>
          <t>Gina Stefanelli</t>
        </is>
      </c>
      <c r="J1179" s="4" t="n">
        <v>46080.71460648148</v>
      </c>
      <c r="K1179" s="5" t="n">
        <v>46080.0</v>
      </c>
      <c r="L1179" s="5" t="n">
        <v>46065.0</v>
      </c>
      <c r="M1179" s="3" t="inlineStr">
        <is>
          <t>Approved</t>
        </is>
      </c>
      <c r="N1179" s="3" t="inlineStr">
        <is>
          <t>Country Close, Site Close, Study Close</t>
        </is>
      </c>
      <c r="O1179" s="3" t="inlineStr">
        <is>
          <t>42847922MDD3003</t>
        </is>
      </c>
    </row>
    <row r="1180">
      <c r="A1180" s="2" t="str">
        <f>HYPERLINK("https://vtmf.veevavault.com/ui/#doc_info/31174031/1/0", "42847922MDD3003---Relevant Communications-12 Mar 2026 (v1.0)")</f>
        <v>42847922MDD3003---Relevant Communications-12 Mar 2026 (v1.0)</v>
      </c>
      <c r="B1180" s="3" t="inlineStr">
        <is>
          <t>Site Management</t>
        </is>
      </c>
      <c r="C1180" s="3" t="inlineStr">
        <is>
          <t>General</t>
        </is>
      </c>
      <c r="D1180" s="3" t="inlineStr">
        <is>
          <t>Relevant Communications</t>
        </is>
      </c>
      <c r="E1180" s="3" t="inlineStr">
        <is>
          <t>Site Memo_Notification of Lost Device - S10 US10154</t>
        </is>
      </c>
      <c r="F1180" s="2" t="str">
        <f>HYPERLINK("https://vtmf.veevavault.com/ui/#doc_info/31174031/1/0", "VTMF-25136005")</f>
        <v>VTMF-25136005</v>
      </c>
      <c r="G1180" s="3" t="inlineStr">
        <is>
          <t/>
        </is>
      </c>
      <c r="H1180" s="3" t="inlineStr">
        <is>
          <t>System</t>
        </is>
      </c>
      <c r="I1180" s="3" t="inlineStr">
        <is>
          <t>Debhora Garcia</t>
        </is>
      </c>
      <c r="J1180" s="4" t="n">
        <v>46093.78296296296</v>
      </c>
      <c r="K1180" s="5" t="n">
        <v>46093.0</v>
      </c>
      <c r="L1180" s="5" t="n">
        <v>46093.0</v>
      </c>
      <c r="M1180" s="3" t="inlineStr">
        <is>
          <t>Approved</t>
        </is>
      </c>
      <c r="N1180" s="3" t="inlineStr">
        <is>
          <t>Available for Distribution, Country Close, Site Close, Study Close</t>
        </is>
      </c>
      <c r="O1180" s="3" t="inlineStr">
        <is>
          <t>42847922MDD3003</t>
        </is>
      </c>
    </row>
    <row r="1181">
      <c r="A1181" s="2" t="str">
        <f>HYPERLINK("https://vtmf.veevavault.com/ui/#doc_info/31174035/1/0", "42847922MDD3003---Relevant Communications-12 Mar 2026 (v1.0)")</f>
        <v>42847922MDD3003---Relevant Communications-12 Mar 2026 (v1.0)</v>
      </c>
      <c r="B1181" s="3" t="inlineStr">
        <is>
          <t>Site Management</t>
        </is>
      </c>
      <c r="C1181" s="3" t="inlineStr">
        <is>
          <t>General</t>
        </is>
      </c>
      <c r="D1181" s="3" t="inlineStr">
        <is>
          <t>Relevant Communications</t>
        </is>
      </c>
      <c r="E1181" s="3" t="inlineStr">
        <is>
          <t>Site Memo_Notification of Lost Device - S10 US10200</t>
        </is>
      </c>
      <c r="F1181" s="2" t="str">
        <f>HYPERLINK("https://vtmf.veevavault.com/ui/#doc_info/31174035/1/0", "VTMF-25136013")</f>
        <v>VTMF-25136013</v>
      </c>
      <c r="G1181" s="3" t="inlineStr">
        <is>
          <t/>
        </is>
      </c>
      <c r="H1181" s="3" t="inlineStr">
        <is>
          <t>System</t>
        </is>
      </c>
      <c r="I1181" s="3" t="inlineStr">
        <is>
          <t>Debhora Garcia</t>
        </is>
      </c>
      <c r="J1181" s="4" t="n">
        <v>46093.78387731482</v>
      </c>
      <c r="K1181" s="5" t="n">
        <v>46093.0</v>
      </c>
      <c r="L1181" s="5" t="n">
        <v>46093.0</v>
      </c>
      <c r="M1181" s="3" t="inlineStr">
        <is>
          <t>Approved</t>
        </is>
      </c>
      <c r="N1181" s="3" t="inlineStr">
        <is>
          <t>Available for Distribution, Country Close, Site Close, Study Close</t>
        </is>
      </c>
      <c r="O1181" s="3" t="inlineStr">
        <is>
          <t>42847922MDD3003</t>
        </is>
      </c>
    </row>
    <row r="1182">
      <c r="A1182" s="2" t="str">
        <f>HYPERLINK("https://vtmf.veevavault.com/ui/#doc_info/29092434/1/0", "42847922MDD3003---Relevant Communications-12 May 2025 (v1.0)")</f>
        <v>42847922MDD3003---Relevant Communications-12 May 2025 (v1.0)</v>
      </c>
      <c r="B1182" s="3" t="inlineStr">
        <is>
          <t>Trial Management</t>
        </is>
      </c>
      <c r="C1182" s="3" t="inlineStr">
        <is>
          <t>General</t>
        </is>
      </c>
      <c r="D1182" s="3" t="inlineStr">
        <is>
          <t>Relevant Communications</t>
        </is>
      </c>
      <c r="E1182" s="3" t="inlineStr">
        <is>
          <t>Memo, C-SSRS clarification memo</t>
        </is>
      </c>
      <c r="F1182" s="2" t="str">
        <f>HYPERLINK("https://vtmf.veevavault.com/ui/#doc_info/29092434/1/0", "VTMF-23376802")</f>
        <v>VTMF-23376802</v>
      </c>
      <c r="G1182" s="3" t="inlineStr">
        <is>
          <t/>
        </is>
      </c>
      <c r="H1182" s="3" t="inlineStr">
        <is>
          <t>Anthony Suarez (veeva.com)</t>
        </is>
      </c>
      <c r="I1182" s="3" t="inlineStr">
        <is>
          <t>Joseph Trombello</t>
        </is>
      </c>
      <c r="J1182" s="4" t="n">
        <v>45789.74643518519</v>
      </c>
      <c r="K1182" s="5" t="n">
        <v>45789.0</v>
      </c>
      <c r="L1182" s="5" t="n">
        <v>45789.0</v>
      </c>
      <c r="M1182" s="3" t="inlineStr">
        <is>
          <t>Approved</t>
        </is>
      </c>
      <c r="N1182" s="3" t="inlineStr">
        <is>
          <t>Country Close, Site Close, Study Close</t>
        </is>
      </c>
      <c r="O1182" s="3" t="inlineStr">
        <is>
          <t>42847922MDD3003</t>
        </is>
      </c>
    </row>
    <row r="1183">
      <c r="A1183" s="2" t="str">
        <f>HYPERLINK("https://vtmf.veevavault.com/ui/#doc_info/30641057/1/0", "42847922MDD3003---Relevant Communications-12 May 2025 (v1.0)")</f>
        <v>42847922MDD3003---Relevant Communications-12 May 2025 (v1.0)</v>
      </c>
      <c r="B1183" s="3" t="inlineStr">
        <is>
          <t>Trial Management</t>
        </is>
      </c>
      <c r="C1183" s="3" t="inlineStr">
        <is>
          <t>General</t>
        </is>
      </c>
      <c r="D1183" s="3" t="inlineStr">
        <is>
          <t>Relevant Communications</t>
        </is>
      </c>
      <c r="E1183" s="3" t="inlineStr">
        <is>
          <t>News Post-OARS-7: C-SSRS Baseline/Screening Clarification Memo-12 May 2025</t>
        </is>
      </c>
      <c r="F1183" s="2" t="str">
        <f>HYPERLINK("https://vtmf.veevavault.com/ui/#doc_info/30641057/1/0", "VTMF-24690389")</f>
        <v>VTMF-24690389</v>
      </c>
      <c r="G1183" s="3" t="inlineStr">
        <is>
          <t/>
        </is>
      </c>
      <c r="H1183" s="3" t="inlineStr">
        <is>
          <t>System</t>
        </is>
      </c>
      <c r="I1183" s="3" t="inlineStr">
        <is>
          <t>DrugDev API Account</t>
        </is>
      </c>
      <c r="J1183" s="4" t="n">
        <v>46009.78670138889</v>
      </c>
      <c r="K1183" s="5" t="n">
        <v>46010.0</v>
      </c>
      <c r="L1183" s="5" t="n">
        <v>45789.0</v>
      </c>
      <c r="M1183" s="3" t="inlineStr">
        <is>
          <t>Approved</t>
        </is>
      </c>
      <c r="N1183" s="3" t="inlineStr">
        <is>
          <t>Country Close, Site Close, Study Close</t>
        </is>
      </c>
      <c r="O1183" s="3" t="inlineStr">
        <is>
          <t>42847922MDD3003</t>
        </is>
      </c>
    </row>
    <row r="1184">
      <c r="A1184" s="2" t="str">
        <f>HYPERLINK("https://vtmf.veevavault.com/ui/#doc_info/27499065/1/0", "42847922MDD3003---Relevant Communications-12 Nov 2024 (v1.0)")</f>
        <v>42847922MDD3003---Relevant Communications-12 Nov 2024 (v1.0)</v>
      </c>
      <c r="B1184" s="3" t="inlineStr">
        <is>
          <t>Third Parties</t>
        </is>
      </c>
      <c r="C1184" s="3" t="inlineStr">
        <is>
          <t>General</t>
        </is>
      </c>
      <c r="D1184" s="3" t="inlineStr">
        <is>
          <t>Relevant Communications</t>
        </is>
      </c>
      <c r="E1184" s="3" t="inlineStr">
        <is>
          <t>Memo, Labcorp re Kit Clarification for Part 2 OL BL</t>
        </is>
      </c>
      <c r="F1184" s="2" t="str">
        <f>HYPERLINK("https://vtmf.veevavault.com/ui/#doc_info/27499065/1/0", "VTMF-22056157")</f>
        <v>VTMF-22056157</v>
      </c>
      <c r="G1184" s="3" t="inlineStr">
        <is>
          <t/>
        </is>
      </c>
      <c r="H1184" s="3" t="inlineStr">
        <is>
          <t>Anthony Suarez (veeva.com)</t>
        </is>
      </c>
      <c r="I1184" s="3" t="inlineStr">
        <is>
          <t>Arlean Worthy</t>
        </is>
      </c>
      <c r="J1184" s="4" t="n">
        <v>45611.87038194444</v>
      </c>
      <c r="K1184" s="5" t="n">
        <v>45611.0</v>
      </c>
      <c r="L1184" s="5" t="n">
        <v>45608.0</v>
      </c>
      <c r="M1184" s="3" t="inlineStr">
        <is>
          <t>Approved</t>
        </is>
      </c>
      <c r="N1184" s="3" t="inlineStr">
        <is>
          <t>Country Close, Site Close, Study Close</t>
        </is>
      </c>
      <c r="O1184" s="3" t="inlineStr">
        <is>
          <t>42847922MDD3003</t>
        </is>
      </c>
    </row>
    <row r="1185">
      <c r="A1185" s="2" t="str">
        <f>HYPERLINK("https://vtmf.veevavault.com/ui/#doc_info/27068037/1/0", "42847922MDD3003---Relevant Communications-12 Sep 2024 (v1.0)")</f>
        <v>42847922MDD3003---Relevant Communications-12 Sep 2024 (v1.0)</v>
      </c>
      <c r="B1185" s="3" t="inlineStr">
        <is>
          <t>Trial Management</t>
        </is>
      </c>
      <c r="C1185" s="3" t="inlineStr">
        <is>
          <t>General</t>
        </is>
      </c>
      <c r="D1185" s="3" t="inlineStr">
        <is>
          <t>Relevant Communications</t>
        </is>
      </c>
      <c r="E1185" s="3" t="inlineStr">
        <is>
          <t>News Post-OARS-7: Clarification on Site Responsibilities for the Inclusion/Exclusion Page-12 Sep 2024</t>
        </is>
      </c>
      <c r="F1185" s="2" t="str">
        <f>HYPERLINK("https://vtmf.veevavault.com/ui/#doc_info/27068037/1/0", "VTMF-21697238")</f>
        <v>VTMF-21697238</v>
      </c>
      <c r="G1185" s="3" t="inlineStr">
        <is>
          <t/>
        </is>
      </c>
      <c r="H1185" s="3" t="inlineStr">
        <is>
          <t>Anthony Suarez (veeva.com)</t>
        </is>
      </c>
      <c r="I1185" s="3" t="inlineStr">
        <is>
          <t>DrugDev API Account</t>
        </is>
      </c>
      <c r="J1185" s="4" t="n">
        <v>45547.89662037037</v>
      </c>
      <c r="K1185" s="5" t="n">
        <v>45548.0</v>
      </c>
      <c r="L1185" s="5" t="n">
        <v>45547.0</v>
      </c>
      <c r="M1185" s="3" t="inlineStr">
        <is>
          <t>Approved</t>
        </is>
      </c>
      <c r="N1185" s="3" t="inlineStr">
        <is>
          <t>Country Close, Site Close, Study Close</t>
        </is>
      </c>
      <c r="O1185" s="3" t="inlineStr">
        <is>
          <t>42847922MDD3003</t>
        </is>
      </c>
    </row>
    <row r="1186">
      <c r="A1186" s="2" t="str">
        <f>HYPERLINK("https://vtmf.veevavault.com/ui/#doc_info/27131569/1/0", "42847922MDD3003---Relevant Communications-12 Sep 2024 (v1.0)")</f>
        <v>42847922MDD3003---Relevant Communications-12 Sep 2024 (v1.0)</v>
      </c>
      <c r="B1186" s="3" t="inlineStr">
        <is>
          <t>Third Parties</t>
        </is>
      </c>
      <c r="C1186" s="3" t="inlineStr">
        <is>
          <t>General</t>
        </is>
      </c>
      <c r="D1186" s="3" t="inlineStr">
        <is>
          <t>Relevant Communications</t>
        </is>
      </c>
      <c r="E1186" s="3" t="inlineStr">
        <is>
          <t>42847922MDD3003_BYOD Software Update Memo_v04.00</t>
        </is>
      </c>
      <c r="F1186" s="2" t="str">
        <f>HYPERLINK("https://vtmf.veevavault.com/ui/#doc_info/27131569/1/0", "VTMF-21751044")</f>
        <v>VTMF-21751044</v>
      </c>
      <c r="G1186" s="3" t="inlineStr">
        <is>
          <t/>
        </is>
      </c>
      <c r="H1186" s="3" t="inlineStr">
        <is>
          <t>Anthony Suarez (veeva.com)</t>
        </is>
      </c>
      <c r="I1186" s="3" t="inlineStr">
        <is>
          <t>Arlean Worthy</t>
        </is>
      </c>
      <c r="J1186" s="4" t="n">
        <v>45559.598761574074</v>
      </c>
      <c r="K1186" s="5" t="n">
        <v>45559.0</v>
      </c>
      <c r="L1186" s="5" t="n">
        <v>45547.0</v>
      </c>
      <c r="M1186" s="3" t="inlineStr">
        <is>
          <t>Approved</t>
        </is>
      </c>
      <c r="N1186" s="3" t="inlineStr">
        <is>
          <t>Country Close, Site Close, Study Close</t>
        </is>
      </c>
      <c r="O1186" s="3" t="inlineStr">
        <is>
          <t>42847922MDD3003</t>
        </is>
      </c>
    </row>
    <row r="1187">
      <c r="A1187" s="2" t="str">
        <f>HYPERLINK("https://vtmf.veevavault.com/ui/#doc_info/29944399/1/0", "42847922MDD3003---Relevant Communications-12 Sep 2025 (v1.0)")</f>
        <v>42847922MDD3003---Relevant Communications-12 Sep 2025 (v1.0)</v>
      </c>
      <c r="B1187" s="3" t="inlineStr">
        <is>
          <t>Third Parties</t>
        </is>
      </c>
      <c r="C1187" s="3" t="inlineStr">
        <is>
          <t>General</t>
        </is>
      </c>
      <c r="D1187" s="3" t="inlineStr">
        <is>
          <t>Relevant Communications</t>
        </is>
      </c>
      <c r="E1187" s="3" t="inlineStr">
        <is>
          <t>Clario eCOA BYOD Software Update Memo v06.06</t>
        </is>
      </c>
      <c r="F1187" s="2" t="str">
        <f>HYPERLINK("https://vtmf.veevavault.com/ui/#doc_info/29944399/1/0", "VTMF-24105706")</f>
        <v>VTMF-24105706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Charles Hayes</t>
        </is>
      </c>
      <c r="J1187" s="4" t="n">
        <v>45912.78071759259</v>
      </c>
      <c r="K1187" s="5" t="n">
        <v>45912.0</v>
      </c>
      <c r="L1187" s="5" t="n">
        <v>45912.0</v>
      </c>
      <c r="M1187" s="3" t="inlineStr">
        <is>
          <t>Approved</t>
        </is>
      </c>
      <c r="N1187" s="3" t="inlineStr">
        <is>
          <t>Country Close, Site Close, Study Close</t>
        </is>
      </c>
      <c r="O1187" s="3" t="inlineStr">
        <is>
          <t>42847922MDD3003</t>
        </is>
      </c>
    </row>
    <row r="1188">
      <c r="A1188" s="2" t="str">
        <f>HYPERLINK("https://vtmf.veevavault.com/ui/#doc_info/27193774/1/0", "42847922MDD3003---Relevant Communications-13 Aug 2024 (v1.0)")</f>
        <v>42847922MDD3003---Relevant Communications-13 Aug 2024 (v1.0)</v>
      </c>
      <c r="B1188" s="3" t="inlineStr">
        <is>
          <t>Central Trial Documents</t>
        </is>
      </c>
      <c r="C1188" s="3" t="inlineStr">
        <is>
          <t>General</t>
        </is>
      </c>
      <c r="D1188" s="3" t="inlineStr">
        <is>
          <t>Relevant Communications</t>
        </is>
      </c>
      <c r="E1188" s="3" t="inlineStr">
        <is>
          <t>Email, MDD3003 US10021 subject 0003 ECG's</t>
        </is>
      </c>
      <c r="F1188" s="2" t="str">
        <f>HYPERLINK("https://vtmf.veevavault.com/ui/#doc_info/27193774/1/0", "VTMF-21805162")</f>
        <v>VTMF-21805162</v>
      </c>
      <c r="G1188" s="3" t="inlineStr">
        <is>
          <t/>
        </is>
      </c>
      <c r="H1188" s="3" t="inlineStr">
        <is>
          <t>Anthony Suarez (veeva.com)</t>
        </is>
      </c>
      <c r="I1188" s="3" t="inlineStr">
        <is>
          <t>Gina Stefanelli</t>
        </is>
      </c>
      <c r="J1188" s="4" t="n">
        <v>45568.91168981481</v>
      </c>
      <c r="K1188" s="5" t="n">
        <v>45568.0</v>
      </c>
      <c r="L1188" s="5" t="n">
        <v>45517.0</v>
      </c>
      <c r="M1188" s="3" t="inlineStr">
        <is>
          <t>Approved</t>
        </is>
      </c>
      <c r="N1188" s="3" t="inlineStr">
        <is>
          <t>Country Close, Site Close, Study Close</t>
        </is>
      </c>
      <c r="O1188" s="3" t="inlineStr">
        <is>
          <t>42847922MDD3003</t>
        </is>
      </c>
    </row>
    <row r="1189">
      <c r="A1189" s="2" t="str">
        <f>HYPERLINK("https://vtmf.veevavault.com/ui/#doc_info/27193777/1/0", "42847922MDD3003---Relevant Communications-13 Aug 2024 (v1.0)")</f>
        <v>42847922MDD3003---Relevant Communications-13 Aug 2024 (v1.0)</v>
      </c>
      <c r="B1189" s="3" t="inlineStr">
        <is>
          <t>Central Trial Documents</t>
        </is>
      </c>
      <c r="C1189" s="3" t="inlineStr">
        <is>
          <t>General</t>
        </is>
      </c>
      <c r="D1189" s="3" t="inlineStr">
        <is>
          <t>Relevant Communications</t>
        </is>
      </c>
      <c r="E1189" s="3" t="inlineStr">
        <is>
          <t>Email, MDD3003 quick question re CTNI feedback following 12-Aug JJIMCronos call</t>
        </is>
      </c>
      <c r="F1189" s="2" t="str">
        <f>HYPERLINK("https://vtmf.veevavault.com/ui/#doc_info/27193777/1/0", "VTMF-21805176")</f>
        <v>VTMF-21805176</v>
      </c>
      <c r="G1189" s="3" t="inlineStr">
        <is>
          <t/>
        </is>
      </c>
      <c r="H1189" s="3" t="inlineStr">
        <is>
          <t>Anthony Suarez (veeva.com)</t>
        </is>
      </c>
      <c r="I1189" s="3" t="inlineStr">
        <is>
          <t>Gina Stefanelli</t>
        </is>
      </c>
      <c r="J1189" s="4" t="n">
        <v>45568.914039351854</v>
      </c>
      <c r="K1189" s="5" t="n">
        <v>45568.0</v>
      </c>
      <c r="L1189" s="5" t="n">
        <v>45517.0</v>
      </c>
      <c r="M1189" s="3" t="inlineStr">
        <is>
          <t>Approved</t>
        </is>
      </c>
      <c r="N1189" s="3" t="inlineStr">
        <is>
          <t>Country Close, Site Close, Study Close</t>
        </is>
      </c>
      <c r="O1189" s="3" t="inlineStr">
        <is>
          <t>42847922MDD3003</t>
        </is>
      </c>
    </row>
    <row r="1190">
      <c r="A1190" s="2" t="str">
        <f>HYPERLINK("https://vtmf.veevavault.com/ui/#doc_info/30959089/1/0", "42847922MDD3003---Relevant Communications-13 Aug 2024 (v1.0)")</f>
        <v>42847922MDD3003---Relevant Communications-13 Aug 2024 (v1.0)</v>
      </c>
      <c r="B1190" s="3" t="inlineStr">
        <is>
          <t>Trial Management</t>
        </is>
      </c>
      <c r="C1190" s="3" t="inlineStr">
        <is>
          <t>General</t>
        </is>
      </c>
      <c r="D1190" s="3" t="inlineStr">
        <is>
          <t>Relevant Communications</t>
        </is>
      </c>
      <c r="E1190" s="3" t="inlineStr">
        <is>
          <t>MDD3003: quick question re CTNI feedback, following 12-Aug JJIM/Cronos call</t>
        </is>
      </c>
      <c r="F1190" s="2" t="str">
        <f>HYPERLINK("https://vtmf.veevavault.com/ui/#doc_info/30959089/1/0", "VTMF-24954068")</f>
        <v>VTMF-24954068</v>
      </c>
      <c r="G1190" s="3" t="inlineStr">
        <is>
          <t/>
        </is>
      </c>
      <c r="H1190" s="3" t="inlineStr">
        <is>
          <t>System</t>
        </is>
      </c>
      <c r="I1190" s="3" t="inlineStr">
        <is>
          <t>Gabriela Dluska</t>
        </is>
      </c>
      <c r="J1190" s="4" t="n">
        <v>46063.59819444444</v>
      </c>
      <c r="K1190" s="5" t="n">
        <v>46063.0</v>
      </c>
      <c r="L1190" s="5" t="n">
        <v>45517.0</v>
      </c>
      <c r="M1190" s="3" t="inlineStr">
        <is>
          <t>Approved</t>
        </is>
      </c>
      <c r="N1190" s="3" t="inlineStr">
        <is>
          <t>Country Close, Site Close, Study Close</t>
        </is>
      </c>
      <c r="O1190" s="3" t="inlineStr">
        <is>
          <t>42847922MDD3003</t>
        </is>
      </c>
    </row>
    <row r="1191">
      <c r="A1191" s="2" t="str">
        <f>HYPERLINK("https://vtmf.veevavault.com/ui/#doc_info/31000255/1/0", "42847922MDD3003---Relevant Communications-13 Feb 2026 (v1.0)")</f>
        <v>42847922MDD3003---Relevant Communications-13 Feb 2026 (v1.0)</v>
      </c>
      <c r="B1191" s="3" t="inlineStr">
        <is>
          <t>Third Parties</t>
        </is>
      </c>
      <c r="C1191" s="3" t="inlineStr">
        <is>
          <t>General</t>
        </is>
      </c>
      <c r="D1191" s="3" t="inlineStr">
        <is>
          <t>Relevant Communications</t>
        </is>
      </c>
      <c r="E1191" s="3" t="inlineStr">
        <is>
          <t>DREEM Enrollment of MDDNIS Subjects S10-US10257Thomas Lester</t>
        </is>
      </c>
      <c r="F1191" s="2" t="str">
        <f>HYPERLINK("https://vtmf.veevavault.com/ui/#doc_info/31000255/1/0", "VTMF-24988717")</f>
        <v>VTMF-24988717</v>
      </c>
      <c r="G1191" s="3" t="inlineStr">
        <is>
          <t/>
        </is>
      </c>
      <c r="H1191" s="3" t="inlineStr">
        <is>
          <t>System</t>
        </is>
      </c>
      <c r="I1191" s="3" t="inlineStr">
        <is>
          <t>Debhora Garcia</t>
        </is>
      </c>
      <c r="J1191" s="4" t="n">
        <v>46070.09699074074</v>
      </c>
      <c r="K1191" s="5" t="n">
        <v>46069.0</v>
      </c>
      <c r="L1191" s="5" t="n">
        <v>46066.0</v>
      </c>
      <c r="M1191" s="3" t="inlineStr">
        <is>
          <t>Approved</t>
        </is>
      </c>
      <c r="N1191" s="3" t="inlineStr">
        <is>
          <t>Country Close, Site Close, Study Close</t>
        </is>
      </c>
      <c r="O1191" s="3" t="inlineStr">
        <is>
          <t>42847922MDD3003</t>
        </is>
      </c>
    </row>
    <row r="1192">
      <c r="A1192" s="2" t="str">
        <f>HYPERLINK("https://vtmf.veevavault.com/ui/#doc_info/31000266/1/0", "42847922MDD3003---Relevant Communications-13 Feb 2026 (v1.0)")</f>
        <v>42847922MDD3003---Relevant Communications-13 Feb 2026 (v1.0)</v>
      </c>
      <c r="B1192" s="3" t="inlineStr">
        <is>
          <t>Third Parties</t>
        </is>
      </c>
      <c r="C1192" s="3" t="inlineStr">
        <is>
          <t>General</t>
        </is>
      </c>
      <c r="D1192" s="3" t="inlineStr">
        <is>
          <t>Relevant Communications</t>
        </is>
      </c>
      <c r="E1192" s="3" t="inlineStr">
        <is>
          <t>DREEM Enrollment of MDDNIS Subjects S10-US10219Jorge Betancourt</t>
        </is>
      </c>
      <c r="F1192" s="2" t="str">
        <f>HYPERLINK("https://vtmf.veevavault.com/ui/#doc_info/31000266/1/0", "VTMF-24988743")</f>
        <v>VTMF-24988743</v>
      </c>
      <c r="G1192" s="3" t="inlineStr">
        <is>
          <t/>
        </is>
      </c>
      <c r="H1192" s="3" t="inlineStr">
        <is>
          <t>System</t>
        </is>
      </c>
      <c r="I1192" s="3" t="inlineStr">
        <is>
          <t>Debhora Garcia</t>
        </is>
      </c>
      <c r="J1192" s="4" t="n">
        <v>46070.102847222224</v>
      </c>
      <c r="K1192" s="5" t="n">
        <v>46069.0</v>
      </c>
      <c r="L1192" s="5" t="n">
        <v>46066.0</v>
      </c>
      <c r="M1192" s="3" t="inlineStr">
        <is>
          <t>Approved</t>
        </is>
      </c>
      <c r="N1192" s="3" t="inlineStr">
        <is>
          <t>Country Close, Site Close, Study Close</t>
        </is>
      </c>
      <c r="O1192" s="3" t="inlineStr">
        <is>
          <t>42847922MDD3003</t>
        </is>
      </c>
    </row>
    <row r="1193">
      <c r="A1193" s="2" t="str">
        <f>HYPERLINK("https://vtmf.veevavault.com/ui/#doc_info/31000269/1/0", "42847922MDD3003---Relevant Communications-13 Feb 2026 (v1.0)")</f>
        <v>42847922MDD3003---Relevant Communications-13 Feb 2026 (v1.0)</v>
      </c>
      <c r="B1193" s="3" t="inlineStr">
        <is>
          <t>Third Parties</t>
        </is>
      </c>
      <c r="C1193" s="3" t="inlineStr">
        <is>
          <t>General</t>
        </is>
      </c>
      <c r="D1193" s="3" t="inlineStr">
        <is>
          <t>Relevant Communications</t>
        </is>
      </c>
      <c r="E1193" s="3" t="inlineStr">
        <is>
          <t>DREEM Enrollment of MDDNIS Subjects S10-US10214Paul Eder</t>
        </is>
      </c>
      <c r="F1193" s="2" t="str">
        <f>HYPERLINK("https://vtmf.veevavault.com/ui/#doc_info/31000269/1/0", "VTMF-24988750")</f>
        <v>VTMF-24988750</v>
      </c>
      <c r="G1193" s="3" t="inlineStr">
        <is>
          <t/>
        </is>
      </c>
      <c r="H1193" s="3" t="inlineStr">
        <is>
          <t>System</t>
        </is>
      </c>
      <c r="I1193" s="3" t="inlineStr">
        <is>
          <t>Debhora Garcia</t>
        </is>
      </c>
      <c r="J1193" s="4" t="n">
        <v>46070.10461805556</v>
      </c>
      <c r="K1193" s="5" t="n">
        <v>46069.0</v>
      </c>
      <c r="L1193" s="5" t="n">
        <v>46066.0</v>
      </c>
      <c r="M1193" s="3" t="inlineStr">
        <is>
          <t>Approved</t>
        </is>
      </c>
      <c r="N1193" s="3" t="inlineStr">
        <is>
          <t>Country Close, Site Close, Study Close</t>
        </is>
      </c>
      <c r="O1193" s="3" t="inlineStr">
        <is>
          <t>42847922MDD3003</t>
        </is>
      </c>
    </row>
    <row r="1194">
      <c r="A1194" s="2" t="str">
        <f>HYPERLINK("https://vtmf.veevavault.com/ui/#doc_info/31000272/1/0", "42847922MDD3003---Relevant Communications-13 Feb 2026 (v1.0)")</f>
        <v>42847922MDD3003---Relevant Communications-13 Feb 2026 (v1.0)</v>
      </c>
      <c r="B1194" s="3" t="inlineStr">
        <is>
          <t>Third Parties</t>
        </is>
      </c>
      <c r="C1194" s="3" t="inlineStr">
        <is>
          <t>General</t>
        </is>
      </c>
      <c r="D1194" s="3" t="inlineStr">
        <is>
          <t>Relevant Communications</t>
        </is>
      </c>
      <c r="E1194" s="3" t="inlineStr">
        <is>
          <t>DREEM Enrollment of MDDNIS Subjects S10-US10119Jordan Karp</t>
        </is>
      </c>
      <c r="F1194" s="2" t="str">
        <f>HYPERLINK("https://vtmf.veevavault.com/ui/#doc_info/31000272/1/0", "VTMF-24988754")</f>
        <v>VTMF-24988754</v>
      </c>
      <c r="G1194" s="3" t="inlineStr">
        <is>
          <t/>
        </is>
      </c>
      <c r="H1194" s="3" t="inlineStr">
        <is>
          <t>System</t>
        </is>
      </c>
      <c r="I1194" s="3" t="inlineStr">
        <is>
          <t>Debhora Garcia</t>
        </is>
      </c>
      <c r="J1194" s="4" t="n">
        <v>46070.10693287037</v>
      </c>
      <c r="K1194" s="5" t="n">
        <v>46069.0</v>
      </c>
      <c r="L1194" s="5" t="n">
        <v>46066.0</v>
      </c>
      <c r="M1194" s="3" t="inlineStr">
        <is>
          <t>Approved</t>
        </is>
      </c>
      <c r="N1194" s="3" t="inlineStr">
        <is>
          <t>Country Close, Site Close, Study Close</t>
        </is>
      </c>
      <c r="O1194" s="3" t="inlineStr">
        <is>
          <t>42847922MDD3003</t>
        </is>
      </c>
    </row>
    <row r="1195">
      <c r="A1195" s="2" t="str">
        <f>HYPERLINK("https://vtmf.veevavault.com/ui/#doc_info/31000276/1/0", "42847922MDD3003---Relevant Communications-13 Feb 2026 (v1.0)")</f>
        <v>42847922MDD3003---Relevant Communications-13 Feb 2026 (v1.0)</v>
      </c>
      <c r="B1195" s="3" t="inlineStr">
        <is>
          <t>Third Parties</t>
        </is>
      </c>
      <c r="C1195" s="3" t="inlineStr">
        <is>
          <t>General</t>
        </is>
      </c>
      <c r="D1195" s="3" t="inlineStr">
        <is>
          <t>Relevant Communications</t>
        </is>
      </c>
      <c r="E1195" s="3" t="inlineStr">
        <is>
          <t>DREEM Enrollment of MDDNIS Subjects S10-US10083Wilson Cueva</t>
        </is>
      </c>
      <c r="F1195" s="2" t="str">
        <f>HYPERLINK("https://vtmf.veevavault.com/ui/#doc_info/31000276/1/0", "VTMF-24988759")</f>
        <v>VTMF-24988759</v>
      </c>
      <c r="G1195" s="3" t="inlineStr">
        <is>
          <t/>
        </is>
      </c>
      <c r="H1195" s="3" t="inlineStr">
        <is>
          <t>System</t>
        </is>
      </c>
      <c r="I1195" s="3" t="inlineStr">
        <is>
          <t>Debhora Garcia</t>
        </is>
      </c>
      <c r="J1195" s="4" t="n">
        <v>46070.109085648146</v>
      </c>
      <c r="K1195" s="5" t="n">
        <v>46069.0</v>
      </c>
      <c r="L1195" s="5" t="n">
        <v>46066.0</v>
      </c>
      <c r="M1195" s="3" t="inlineStr">
        <is>
          <t>Approved</t>
        </is>
      </c>
      <c r="N1195" s="3" t="inlineStr">
        <is>
          <t>Country Close, Site Close, Study Close</t>
        </is>
      </c>
      <c r="O1195" s="3" t="inlineStr">
        <is>
          <t>42847922MDD3003</t>
        </is>
      </c>
    </row>
    <row r="1196">
      <c r="A1196" s="2" t="str">
        <f>HYPERLINK("https://vtmf.veevavault.com/ui/#doc_info/31000279/1/0", "42847922MDD3003---Relevant Communications-13 Feb 2026 (v1.0)")</f>
        <v>42847922MDD3003---Relevant Communications-13 Feb 2026 (v1.0)</v>
      </c>
      <c r="B1196" s="3" t="inlineStr">
        <is>
          <t>Third Parties</t>
        </is>
      </c>
      <c r="C1196" s="3" t="inlineStr">
        <is>
          <t>General</t>
        </is>
      </c>
      <c r="D1196" s="3" t="inlineStr">
        <is>
          <t>Relevant Communications</t>
        </is>
      </c>
      <c r="E1196" s="3" t="inlineStr">
        <is>
          <t>DREEM Enrollment of MDDNIS Subjects S10-US10064Jorge Venereo</t>
        </is>
      </c>
      <c r="F1196" s="2" t="str">
        <f>HYPERLINK("https://vtmf.veevavault.com/ui/#doc_info/31000279/1/0", "VTMF-24988764")</f>
        <v>VTMF-24988764</v>
      </c>
      <c r="G1196" s="3" t="inlineStr">
        <is>
          <t/>
        </is>
      </c>
      <c r="H1196" s="3" t="inlineStr">
        <is>
          <t>System</t>
        </is>
      </c>
      <c r="I1196" s="3" t="inlineStr">
        <is>
          <t>Debhora Garcia</t>
        </is>
      </c>
      <c r="J1196" s="4" t="n">
        <v>46070.110451388886</v>
      </c>
      <c r="K1196" s="5" t="n">
        <v>46069.0</v>
      </c>
      <c r="L1196" s="5" t="n">
        <v>46066.0</v>
      </c>
      <c r="M1196" s="3" t="inlineStr">
        <is>
          <t>Approved</t>
        </is>
      </c>
      <c r="N1196" s="3" t="inlineStr">
        <is>
          <t>Country Close, Site Close, Study Close</t>
        </is>
      </c>
      <c r="O1196" s="3" t="inlineStr">
        <is>
          <t>42847922MDD3003</t>
        </is>
      </c>
    </row>
    <row r="1197">
      <c r="A1197" s="2" t="str">
        <f>HYPERLINK("https://vtmf.veevavault.com/ui/#doc_info/31000281/1/0", "42847922MDD3003---Relevant Communications-13 Feb 2026 (v1.0)")</f>
        <v>42847922MDD3003---Relevant Communications-13 Feb 2026 (v1.0)</v>
      </c>
      <c r="B1197" s="3" t="inlineStr">
        <is>
          <t>Third Parties</t>
        </is>
      </c>
      <c r="C1197" s="3" t="inlineStr">
        <is>
          <t>General</t>
        </is>
      </c>
      <c r="D1197" s="3" t="inlineStr">
        <is>
          <t>Relevant Communications</t>
        </is>
      </c>
      <c r="E1197" s="3" t="inlineStr">
        <is>
          <t>DREEM Enrollment of MDDNIS Subjects S10-US10058Kenia Castro</t>
        </is>
      </c>
      <c r="F1197" s="2" t="str">
        <f>HYPERLINK("https://vtmf.veevavault.com/ui/#doc_info/31000281/1/0", "VTMF-24988766")</f>
        <v>VTMF-24988766</v>
      </c>
      <c r="G1197" s="3" t="inlineStr">
        <is>
          <t/>
        </is>
      </c>
      <c r="H1197" s="3" t="inlineStr">
        <is>
          <t>System</t>
        </is>
      </c>
      <c r="I1197" s="3" t="inlineStr">
        <is>
          <t>Debhora Garcia</t>
        </is>
      </c>
      <c r="J1197" s="4" t="n">
        <v>46070.112291666665</v>
      </c>
      <c r="K1197" s="5" t="n">
        <v>46069.0</v>
      </c>
      <c r="L1197" s="5" t="n">
        <v>46066.0</v>
      </c>
      <c r="M1197" s="3" t="inlineStr">
        <is>
          <t>Approved</t>
        </is>
      </c>
      <c r="N1197" s="3" t="inlineStr">
        <is>
          <t>Country Close, Site Close, Study Close</t>
        </is>
      </c>
      <c r="O1197" s="3" t="inlineStr">
        <is>
          <t>42847922MDD3003</t>
        </is>
      </c>
    </row>
    <row r="1198">
      <c r="A1198" s="2" t="str">
        <f>HYPERLINK("https://vtmf.veevavault.com/ui/#doc_info/31000288/1/0", "42847922MDD3003---Relevant Communications-13 Feb 2026 (v1.0)")</f>
        <v>42847922MDD3003---Relevant Communications-13 Feb 2026 (v1.0)</v>
      </c>
      <c r="B1198" s="3" t="inlineStr">
        <is>
          <t>Third Parties</t>
        </is>
      </c>
      <c r="C1198" s="3" t="inlineStr">
        <is>
          <t>General</t>
        </is>
      </c>
      <c r="D1198" s="3" t="inlineStr">
        <is>
          <t>Relevant Communications</t>
        </is>
      </c>
      <c r="E1198" s="3" t="inlineStr">
        <is>
          <t>DREEM Enrollment of MDDNIS Subjects S10-US10027Vicki Conrad</t>
        </is>
      </c>
      <c r="F1198" s="2" t="str">
        <f>HYPERLINK("https://vtmf.veevavault.com/ui/#doc_info/31000288/1/0", "VTMF-24988781")</f>
        <v>VTMF-24988781</v>
      </c>
      <c r="G1198" s="3" t="inlineStr">
        <is>
          <t/>
        </is>
      </c>
      <c r="H1198" s="3" t="inlineStr">
        <is>
          <t>System</t>
        </is>
      </c>
      <c r="I1198" s="3" t="inlineStr">
        <is>
          <t>Debhora Garcia</t>
        </is>
      </c>
      <c r="J1198" s="4" t="n">
        <v>46070.11599537037</v>
      </c>
      <c r="K1198" s="5" t="n">
        <v>46069.0</v>
      </c>
      <c r="L1198" s="5" t="n">
        <v>46066.0</v>
      </c>
      <c r="M1198" s="3" t="inlineStr">
        <is>
          <t>Approved</t>
        </is>
      </c>
      <c r="N1198" s="3" t="inlineStr">
        <is>
          <t>Country Close, Site Close, Study Close</t>
        </is>
      </c>
      <c r="O1198" s="3" t="inlineStr">
        <is>
          <t>42847922MDD3003</t>
        </is>
      </c>
    </row>
    <row r="1199">
      <c r="A1199" s="2" t="str">
        <f>HYPERLINK("https://vtmf.veevavault.com/ui/#doc_info/31000297/1/0", "42847922MDD3003---Relevant Communications-13 Feb 2026 (v1.0)")</f>
        <v>42847922MDD3003---Relevant Communications-13 Feb 2026 (v1.0)</v>
      </c>
      <c r="B1199" s="3" t="inlineStr">
        <is>
          <t>Third Parties</t>
        </is>
      </c>
      <c r="C1199" s="3" t="inlineStr">
        <is>
          <t>General</t>
        </is>
      </c>
      <c r="D1199" s="3" t="inlineStr">
        <is>
          <t>Relevant Communications</t>
        </is>
      </c>
      <c r="E1199" s="3" t="inlineStr">
        <is>
          <t>DREEM Enrollment of MDDNIS Subjects S10-US10041Inna Yuryev Golger</t>
        </is>
      </c>
      <c r="F1199" s="2" t="str">
        <f>HYPERLINK("https://vtmf.veevavault.com/ui/#doc_info/31000297/1/0", "VTMF-24988796")</f>
        <v>VTMF-24988796</v>
      </c>
      <c r="G1199" s="3" t="inlineStr">
        <is>
          <t/>
        </is>
      </c>
      <c r="H1199" s="3" t="inlineStr">
        <is>
          <t>System</t>
        </is>
      </c>
      <c r="I1199" s="3" t="inlineStr">
        <is>
          <t>Debhora Garcia</t>
        </is>
      </c>
      <c r="J1199" s="4" t="n">
        <v>46070.12064814815</v>
      </c>
      <c r="K1199" s="5" t="n">
        <v>46069.0</v>
      </c>
      <c r="L1199" s="5" t="n">
        <v>46066.0</v>
      </c>
      <c r="M1199" s="3" t="inlineStr">
        <is>
          <t>Approved</t>
        </is>
      </c>
      <c r="N1199" s="3" t="inlineStr">
        <is>
          <t>Country Close, Site Close, Study Close</t>
        </is>
      </c>
      <c r="O1199" s="3" t="inlineStr">
        <is>
          <t>42847922MDD3003</t>
        </is>
      </c>
    </row>
    <row r="1200">
      <c r="A1200" s="2" t="str">
        <f>HYPERLINK("https://vtmf.veevavault.com/ui/#doc_info/31000341/1/0", "42847922MDD3003---Relevant Communications-13 Feb 2026 (v1.0)")</f>
        <v>42847922MDD3003---Relevant Communications-13 Feb 2026 (v1.0)</v>
      </c>
      <c r="B1200" s="3" t="inlineStr">
        <is>
          <t>Third Parties</t>
        </is>
      </c>
      <c r="C1200" s="3" t="inlineStr">
        <is>
          <t>General</t>
        </is>
      </c>
      <c r="D1200" s="3" t="inlineStr">
        <is>
          <t>Relevant Communications</t>
        </is>
      </c>
      <c r="E1200" s="3" t="inlineStr">
        <is>
          <t>DREEM Enrollment of MDDNIS Subjects S10-US10040Daniel Rutrick</t>
        </is>
      </c>
      <c r="F1200" s="2" t="str">
        <f>HYPERLINK("https://vtmf.veevavault.com/ui/#doc_info/31000341/1/0", "VTMF-24988848")</f>
        <v>VTMF-24988848</v>
      </c>
      <c r="G1200" s="3" t="inlineStr">
        <is>
          <t/>
        </is>
      </c>
      <c r="H1200" s="3" t="inlineStr">
        <is>
          <t>System</t>
        </is>
      </c>
      <c r="I1200" s="3" t="inlineStr">
        <is>
          <t>Debhora Garcia</t>
        </is>
      </c>
      <c r="J1200" s="4" t="n">
        <v>46070.14135416667</v>
      </c>
      <c r="K1200" s="5" t="n">
        <v>46069.0</v>
      </c>
      <c r="L1200" s="5" t="n">
        <v>46066.0</v>
      </c>
      <c r="M1200" s="3" t="inlineStr">
        <is>
          <t>Approved</t>
        </is>
      </c>
      <c r="N1200" s="3" t="inlineStr">
        <is>
          <t>Country Close, Site Close, Study Close</t>
        </is>
      </c>
      <c r="O1200" s="3" t="inlineStr">
        <is>
          <t>42847922MDD3003</t>
        </is>
      </c>
    </row>
    <row r="1201">
      <c r="A1201" s="2" t="str">
        <f>HYPERLINK("https://vtmf.veevavault.com/ui/#doc_info/31000404/1/0", "42847922MDD3003---Relevant Communications-13 Feb 2026 (v1.0)")</f>
        <v>42847922MDD3003---Relevant Communications-13 Feb 2026 (v1.0)</v>
      </c>
      <c r="B1201" s="3" t="inlineStr">
        <is>
          <t>Third Parties</t>
        </is>
      </c>
      <c r="C1201" s="3" t="inlineStr">
        <is>
          <t>General</t>
        </is>
      </c>
      <c r="D1201" s="3" t="inlineStr">
        <is>
          <t>Relevant Communications</t>
        </is>
      </c>
      <c r="E1201" s="3" t="inlineStr">
        <is>
          <t>DREEM Enrollment - S10-US10002Anderson</t>
        </is>
      </c>
      <c r="F1201" s="2" t="str">
        <f>HYPERLINK("https://vtmf.veevavault.com/ui/#doc_info/31000404/1/0", "VTMF-24988815")</f>
        <v>VTMF-24988815</v>
      </c>
      <c r="G1201" s="3" t="inlineStr">
        <is>
          <t/>
        </is>
      </c>
      <c r="H1201" s="3" t="inlineStr">
        <is>
          <t>System</t>
        </is>
      </c>
      <c r="I1201" s="3" t="inlineStr">
        <is>
          <t>Debhora Garcia</t>
        </is>
      </c>
      <c r="J1201" s="4" t="n">
        <v>46070.129224537035</v>
      </c>
      <c r="K1201" s="5" t="n">
        <v>46069.0</v>
      </c>
      <c r="L1201" s="5" t="n">
        <v>46066.0</v>
      </c>
      <c r="M1201" s="3" t="inlineStr">
        <is>
          <t>Approved</t>
        </is>
      </c>
      <c r="N1201" s="3" t="inlineStr">
        <is>
          <t>Country Close, Site Close, Study Close</t>
        </is>
      </c>
      <c r="O1201" s="3" t="inlineStr">
        <is>
          <t>42847922MDD3003</t>
        </is>
      </c>
    </row>
    <row r="1202">
      <c r="A1202" s="2" t="str">
        <f>HYPERLINK("https://vtmf.veevavault.com/ui/#doc_info/31000406/1/0", "42847922MDD3003---Relevant Communications-13 Feb 2026 (v1.0)")</f>
        <v>42847922MDD3003---Relevant Communications-13 Feb 2026 (v1.0)</v>
      </c>
      <c r="B1202" s="3" t="inlineStr">
        <is>
          <t>Third Parties</t>
        </is>
      </c>
      <c r="C1202" s="3" t="inlineStr">
        <is>
          <t>General</t>
        </is>
      </c>
      <c r="D1202" s="3" t="inlineStr">
        <is>
          <t>Relevant Communications</t>
        </is>
      </c>
      <c r="E1202" s="3" t="inlineStr">
        <is>
          <t>DREEM Enrollment of MDDNIS Subjects - S10-US10078Medina</t>
        </is>
      </c>
      <c r="F1202" s="2" t="str">
        <f>HYPERLINK("https://vtmf.veevavault.com/ui/#doc_info/31000406/1/0", "VTMF-24988817")</f>
        <v>VTMF-24988817</v>
      </c>
      <c r="G1202" s="3" t="inlineStr">
        <is>
          <t/>
        </is>
      </c>
      <c r="H1202" s="3" t="inlineStr">
        <is>
          <t>System</t>
        </is>
      </c>
      <c r="I1202" s="3" t="inlineStr">
        <is>
          <t>Debhora Garcia</t>
        </is>
      </c>
      <c r="J1202" s="4" t="n">
        <v>46070.13008101852</v>
      </c>
      <c r="K1202" s="5" t="n">
        <v>46069.0</v>
      </c>
      <c r="L1202" s="5" t="n">
        <v>46066.0</v>
      </c>
      <c r="M1202" s="3" t="inlineStr">
        <is>
          <t>Approved</t>
        </is>
      </c>
      <c r="N1202" s="3" t="inlineStr">
        <is>
          <t>Country Close, Site Close, Study Close</t>
        </is>
      </c>
      <c r="O1202" s="3" t="inlineStr">
        <is>
          <t>42847922MDD3003</t>
        </is>
      </c>
    </row>
    <row r="1203">
      <c r="A1203" s="2" t="str">
        <f>HYPERLINK("https://vtmf.veevavault.com/ui/#doc_info/31000409/1/0", "42847922MDD3003---Relevant Communications-13 Feb 2026 (v1.0)")</f>
        <v>42847922MDD3003---Relevant Communications-13 Feb 2026 (v1.0)</v>
      </c>
      <c r="B1203" s="3" t="inlineStr">
        <is>
          <t>Third Parties</t>
        </is>
      </c>
      <c r="C1203" s="3" t="inlineStr">
        <is>
          <t>General</t>
        </is>
      </c>
      <c r="D1203" s="3" t="inlineStr">
        <is>
          <t>Relevant Communications</t>
        </is>
      </c>
      <c r="E1203" s="3" t="inlineStr">
        <is>
          <t>DREEM Enrollment of MDDNIS Subjects - S10-US10212Zaidi</t>
        </is>
      </c>
      <c r="F1203" s="2" t="str">
        <f>HYPERLINK("https://vtmf.veevavault.com/ui/#doc_info/31000409/1/0", "VTMF-24988823")</f>
        <v>VTMF-24988823</v>
      </c>
      <c r="G1203" s="3" t="inlineStr">
        <is>
          <t/>
        </is>
      </c>
      <c r="H1203" s="3" t="inlineStr">
        <is>
          <t>System</t>
        </is>
      </c>
      <c r="I1203" s="3" t="inlineStr">
        <is>
          <t>Debhora Garcia</t>
        </is>
      </c>
      <c r="J1203" s="4" t="n">
        <v>46070.13166666667</v>
      </c>
      <c r="K1203" s="5" t="n">
        <v>46069.0</v>
      </c>
      <c r="L1203" s="5" t="n">
        <v>46066.0</v>
      </c>
      <c r="M1203" s="3" t="inlineStr">
        <is>
          <t>Approved</t>
        </is>
      </c>
      <c r="N1203" s="3" t="inlineStr">
        <is>
          <t>Country Close, Site Close, Study Close</t>
        </is>
      </c>
      <c r="O1203" s="3" t="inlineStr">
        <is>
          <t>42847922MDD3003</t>
        </is>
      </c>
    </row>
    <row r="1204">
      <c r="A1204" s="2" t="str">
        <f>HYPERLINK("https://vtmf.veevavault.com/ui/#doc_info/31000412/1/0", "42847922MDD3003---Relevant Communications-13 Feb 2026 (v1.0)")</f>
        <v>42847922MDD3003---Relevant Communications-13 Feb 2026 (v1.0)</v>
      </c>
      <c r="B1204" s="3" t="inlineStr">
        <is>
          <t>Third Parties</t>
        </is>
      </c>
      <c r="C1204" s="3" t="inlineStr">
        <is>
          <t>General</t>
        </is>
      </c>
      <c r="D1204" s="3" t="inlineStr">
        <is>
          <t>Relevant Communications</t>
        </is>
      </c>
      <c r="E1204" s="3" t="inlineStr">
        <is>
          <t>DREEM Enrollment of MDDNIS Subjects - S10-US10084Fritzhand</t>
        </is>
      </c>
      <c r="F1204" s="2" t="str">
        <f>HYPERLINK("https://vtmf.veevavault.com/ui/#doc_info/31000412/1/0", "VTMF-24988826")</f>
        <v>VTMF-24988826</v>
      </c>
      <c r="G1204" s="3" t="inlineStr">
        <is>
          <t/>
        </is>
      </c>
      <c r="H1204" s="3" t="inlineStr">
        <is>
          <t>System</t>
        </is>
      </c>
      <c r="I1204" s="3" t="inlineStr">
        <is>
          <t>Debhora Garcia</t>
        </is>
      </c>
      <c r="J1204" s="4" t="n">
        <v>46070.13259259259</v>
      </c>
      <c r="K1204" s="5" t="n">
        <v>46069.0</v>
      </c>
      <c r="L1204" s="5" t="n">
        <v>46066.0</v>
      </c>
      <c r="M1204" s="3" t="inlineStr">
        <is>
          <t>Approved</t>
        </is>
      </c>
      <c r="N1204" s="3" t="inlineStr">
        <is>
          <t>Country Close, Site Close, Study Close</t>
        </is>
      </c>
      <c r="O1204" s="3" t="inlineStr">
        <is>
          <t>42847922MDD3003</t>
        </is>
      </c>
    </row>
    <row r="1205">
      <c r="A1205" s="2" t="str">
        <f>HYPERLINK("https://vtmf.veevavault.com/ui/#doc_info/31000413/1/0", "42847922MDD3003---Relevant Communications-13 Feb 2026 (v1.0)")</f>
        <v>42847922MDD3003---Relevant Communications-13 Feb 2026 (v1.0)</v>
      </c>
      <c r="B1205" s="3" t="inlineStr">
        <is>
          <t>Third Parties</t>
        </is>
      </c>
      <c r="C1205" s="3" t="inlineStr">
        <is>
          <t>General</t>
        </is>
      </c>
      <c r="D1205" s="3" t="inlineStr">
        <is>
          <t>Relevant Communications</t>
        </is>
      </c>
      <c r="E1205" s="3" t="inlineStr">
        <is>
          <t>DREEM Enrollment of MDDNIS Subjects - S10-US10091Shah</t>
        </is>
      </c>
      <c r="F1205" s="2" t="str">
        <f>HYPERLINK("https://vtmf.veevavault.com/ui/#doc_info/31000413/1/0", "VTMF-24988827")</f>
        <v>VTMF-24988827</v>
      </c>
      <c r="G1205" s="3" t="inlineStr">
        <is>
          <t/>
        </is>
      </c>
      <c r="H1205" s="3" t="inlineStr">
        <is>
          <t>System</t>
        </is>
      </c>
      <c r="I1205" s="3" t="inlineStr">
        <is>
          <t>Debhora Garcia</t>
        </is>
      </c>
      <c r="J1205" s="4" t="n">
        <v>46070.13350694445</v>
      </c>
      <c r="K1205" s="5" t="n">
        <v>46069.0</v>
      </c>
      <c r="L1205" s="5" t="n">
        <v>46066.0</v>
      </c>
      <c r="M1205" s="3" t="inlineStr">
        <is>
          <t>Approved</t>
        </is>
      </c>
      <c r="N1205" s="3" t="inlineStr">
        <is>
          <t>Country Close, Site Close, Study Close</t>
        </is>
      </c>
      <c r="O1205" s="3" t="inlineStr">
        <is>
          <t>42847922MDD3003</t>
        </is>
      </c>
    </row>
    <row r="1206">
      <c r="A1206" s="2" t="str">
        <f>HYPERLINK("https://vtmf.veevavault.com/ui/#doc_info/31000414/1/0", "42847922MDD3003---Relevant Communications-13 Feb 2026 (v1.0)")</f>
        <v>42847922MDD3003---Relevant Communications-13 Feb 2026 (v1.0)</v>
      </c>
      <c r="B1206" s="3" t="inlineStr">
        <is>
          <t>Third Parties</t>
        </is>
      </c>
      <c r="C1206" s="3" t="inlineStr">
        <is>
          <t>General</t>
        </is>
      </c>
      <c r="D1206" s="3" t="inlineStr">
        <is>
          <t>Relevant Communications</t>
        </is>
      </c>
      <c r="E1206" s="3" t="inlineStr">
        <is>
          <t>DREEM Enrollment of MDDNIS Subjects - S10-US10228Wooten</t>
        </is>
      </c>
      <c r="F1206" s="2" t="str">
        <f>HYPERLINK("https://vtmf.veevavault.com/ui/#doc_info/31000414/1/0", "VTMF-24988830")</f>
        <v>VTMF-24988830</v>
      </c>
      <c r="G1206" s="3" t="inlineStr">
        <is>
          <t/>
        </is>
      </c>
      <c r="H1206" s="3" t="inlineStr">
        <is>
          <t>System</t>
        </is>
      </c>
      <c r="I1206" s="3" t="inlineStr">
        <is>
          <t>Debhora Garcia</t>
        </is>
      </c>
      <c r="J1206" s="4" t="n">
        <v>46070.13460648148</v>
      </c>
      <c r="K1206" s="5" t="n">
        <v>46069.0</v>
      </c>
      <c r="L1206" s="5" t="n">
        <v>46066.0</v>
      </c>
      <c r="M1206" s="3" t="inlineStr">
        <is>
          <t>Approved</t>
        </is>
      </c>
      <c r="N1206" s="3" t="inlineStr">
        <is>
          <t>Country Close, Site Close, Study Close</t>
        </is>
      </c>
      <c r="O1206" s="3" t="inlineStr">
        <is>
          <t>42847922MDD3003</t>
        </is>
      </c>
    </row>
    <row r="1207">
      <c r="A1207" s="2" t="str">
        <f>HYPERLINK("https://vtmf.veevavault.com/ui/#doc_info/31000416/1/0", "42847922MDD3003---Relevant Communications-13 Feb 2026 (v1.0)")</f>
        <v>42847922MDD3003---Relevant Communications-13 Feb 2026 (v1.0)</v>
      </c>
      <c r="B1207" s="3" t="inlineStr">
        <is>
          <t>Third Parties</t>
        </is>
      </c>
      <c r="C1207" s="3" t="inlineStr">
        <is>
          <t>General</t>
        </is>
      </c>
      <c r="D1207" s="3" t="inlineStr">
        <is>
          <t>Relevant Communications</t>
        </is>
      </c>
      <c r="E1207" s="3" t="inlineStr">
        <is>
          <t>DREEM Enrollment of MDDNIS Subjects - S10-US10071Virk</t>
        </is>
      </c>
      <c r="F1207" s="2" t="str">
        <f>HYPERLINK("https://vtmf.veevavault.com/ui/#doc_info/31000416/1/0", "VTMF-24988832")</f>
        <v>VTMF-24988832</v>
      </c>
      <c r="G1207" s="3" t="inlineStr">
        <is>
          <t/>
        </is>
      </c>
      <c r="H1207" s="3" t="inlineStr">
        <is>
          <t>System</t>
        </is>
      </c>
      <c r="I1207" s="3" t="inlineStr">
        <is>
          <t>Debhora Garcia</t>
        </is>
      </c>
      <c r="J1207" s="4" t="n">
        <v>46070.13600694444</v>
      </c>
      <c r="K1207" s="5" t="n">
        <v>46069.0</v>
      </c>
      <c r="L1207" s="5" t="n">
        <v>46066.0</v>
      </c>
      <c r="M1207" s="3" t="inlineStr">
        <is>
          <t>Approved</t>
        </is>
      </c>
      <c r="N1207" s="3" t="inlineStr">
        <is>
          <t>Country Close, Site Close, Study Close</t>
        </is>
      </c>
      <c r="O1207" s="3" t="inlineStr">
        <is>
          <t>42847922MDD3003</t>
        </is>
      </c>
    </row>
    <row r="1208">
      <c r="A1208" s="2" t="str">
        <f>HYPERLINK("https://vtmf.veevavault.com/ui/#doc_info/31000419/1/0", "42847922MDD3003---Relevant Communications-13 Feb 2026 (v1.0)")</f>
        <v>42847922MDD3003---Relevant Communications-13 Feb 2026 (v1.0)</v>
      </c>
      <c r="B1208" s="3" t="inlineStr">
        <is>
          <t>Third Parties</t>
        </is>
      </c>
      <c r="C1208" s="3" t="inlineStr">
        <is>
          <t>General</t>
        </is>
      </c>
      <c r="D1208" s="3" t="inlineStr">
        <is>
          <t>Relevant Communications</t>
        </is>
      </c>
      <c r="E1208" s="3" t="inlineStr">
        <is>
          <t>DREEM Enrollment of MDDNIS Subjects - S10-US10121Maitra</t>
        </is>
      </c>
      <c r="F1208" s="2" t="str">
        <f>HYPERLINK("https://vtmf.veevavault.com/ui/#doc_info/31000419/1/0", "VTMF-24988835")</f>
        <v>VTMF-24988835</v>
      </c>
      <c r="G1208" s="3" t="inlineStr">
        <is>
          <t/>
        </is>
      </c>
      <c r="H1208" s="3" t="inlineStr">
        <is>
          <t>System</t>
        </is>
      </c>
      <c r="I1208" s="3" t="inlineStr">
        <is>
          <t>Debhora Garcia</t>
        </is>
      </c>
      <c r="J1208" s="4" t="n">
        <v>46070.137025462966</v>
      </c>
      <c r="K1208" s="5" t="n">
        <v>46069.0</v>
      </c>
      <c r="L1208" s="5" t="n">
        <v>46066.0</v>
      </c>
      <c r="M1208" s="3" t="inlineStr">
        <is>
          <t>Approved</t>
        </is>
      </c>
      <c r="N1208" s="3" t="inlineStr">
        <is>
          <t>Country Close, Site Close, Study Close</t>
        </is>
      </c>
      <c r="O1208" s="3" t="inlineStr">
        <is>
          <t>42847922MDD3003</t>
        </is>
      </c>
    </row>
    <row r="1209">
      <c r="A1209" s="2" t="str">
        <f>HYPERLINK("https://vtmf.veevavault.com/ui/#doc_info/31000420/1/0", "42847922MDD3003---Relevant Communications-13 Feb 2026 (v1.0)")</f>
        <v>42847922MDD3003---Relevant Communications-13 Feb 2026 (v1.0)</v>
      </c>
      <c r="B1209" s="3" t="inlineStr">
        <is>
          <t>Third Parties</t>
        </is>
      </c>
      <c r="C1209" s="3" t="inlineStr">
        <is>
          <t>General</t>
        </is>
      </c>
      <c r="D1209" s="3" t="inlineStr">
        <is>
          <t>Relevant Communications</t>
        </is>
      </c>
      <c r="E1209" s="3" t="inlineStr">
        <is>
          <t>DREEM Enrollment of MDDNIS Subjects - S10-US10049Krakow</t>
        </is>
      </c>
      <c r="F1209" s="2" t="str">
        <f>HYPERLINK("https://vtmf.veevavault.com/ui/#doc_info/31000420/1/0", "VTMF-24988837")</f>
        <v>VTMF-24988837</v>
      </c>
      <c r="G1209" s="3" t="inlineStr">
        <is>
          <t/>
        </is>
      </c>
      <c r="H1209" s="3" t="inlineStr">
        <is>
          <t>System</t>
        </is>
      </c>
      <c r="I1209" s="3" t="inlineStr">
        <is>
          <t>Debhora Garcia</t>
        </is>
      </c>
      <c r="J1209" s="4" t="n">
        <v>46070.138032407405</v>
      </c>
      <c r="K1209" s="5" t="n">
        <v>46069.0</v>
      </c>
      <c r="L1209" s="5" t="n">
        <v>46066.0</v>
      </c>
      <c r="M1209" s="3" t="inlineStr">
        <is>
          <t>Approved</t>
        </is>
      </c>
      <c r="N1209" s="3" t="inlineStr">
        <is>
          <t>Country Close, Site Close, Study Close</t>
        </is>
      </c>
      <c r="O1209" s="3" t="inlineStr">
        <is>
          <t>42847922MDD3003</t>
        </is>
      </c>
    </row>
    <row r="1210">
      <c r="A1210" s="2" t="str">
        <f>HYPERLINK("https://vtmf.veevavault.com/ui/#doc_info/31000424/1/0", "42847922MDD3003---Relevant Communications-13 Feb 2026 (v1.0)")</f>
        <v>42847922MDD3003---Relevant Communications-13 Feb 2026 (v1.0)</v>
      </c>
      <c r="B1210" s="3" t="inlineStr">
        <is>
          <t>Third Parties</t>
        </is>
      </c>
      <c r="C1210" s="3" t="inlineStr">
        <is>
          <t>General</t>
        </is>
      </c>
      <c r="D1210" s="3" t="inlineStr">
        <is>
          <t>Relevant Communications</t>
        </is>
      </c>
      <c r="E1210" s="3" t="inlineStr">
        <is>
          <t>DREEM Enrollment of MDDNIS Subjects S10-US10015Jesse Carr</t>
        </is>
      </c>
      <c r="F1210" s="2" t="str">
        <f>HYPERLINK("https://vtmf.veevavault.com/ui/#doc_info/31000424/1/0", "VTMF-24988843")</f>
        <v>VTMF-24988843</v>
      </c>
      <c r="G1210" s="3" t="inlineStr">
        <is>
          <t/>
        </is>
      </c>
      <c r="H1210" s="3" t="inlineStr">
        <is>
          <t>System</t>
        </is>
      </c>
      <c r="I1210" s="3" t="inlineStr">
        <is>
          <t>Debhora Garcia</t>
        </is>
      </c>
      <c r="J1210" s="4" t="n">
        <v>46070.1400462963</v>
      </c>
      <c r="K1210" s="5" t="n">
        <v>46069.0</v>
      </c>
      <c r="L1210" s="5" t="n">
        <v>46066.0</v>
      </c>
      <c r="M1210" s="3" t="inlineStr">
        <is>
          <t>Approved</t>
        </is>
      </c>
      <c r="N1210" s="3" t="inlineStr">
        <is>
          <t>Country Close, Site Close, Study Close</t>
        </is>
      </c>
      <c r="O1210" s="3" t="inlineStr">
        <is>
          <t>42847922MDD3003</t>
        </is>
      </c>
    </row>
    <row r="1211">
      <c r="A1211" s="2" t="str">
        <f>HYPERLINK("https://vtmf.veevavault.com/ui/#doc_info/30641061/1/0", "42847922MDD3003---Relevant Communications-13 Jun 2025 (v1.0)")</f>
        <v>42847922MDD3003---Relevant Communications-13 Jun 2025 (v1.0)</v>
      </c>
      <c r="B1211" s="3" t="inlineStr">
        <is>
          <t>Trial Management</t>
        </is>
      </c>
      <c r="C1211" s="3" t="inlineStr">
        <is>
          <t>General</t>
        </is>
      </c>
      <c r="D1211" s="3" t="inlineStr">
        <is>
          <t>Relevant Communications</t>
        </is>
      </c>
      <c r="E1211" s="3" t="inlineStr">
        <is>
          <t>News Post-OARS-7: Dreem 3S Device Overview Video-15 May 2025</t>
        </is>
      </c>
      <c r="F1211" s="2" t="str">
        <f>HYPERLINK("https://vtmf.veevavault.com/ui/#doc_info/30641061/1/0", "VTMF-24690393")</f>
        <v>VTMF-24690393</v>
      </c>
      <c r="G1211" s="3" t="inlineStr">
        <is>
          <t/>
        </is>
      </c>
      <c r="H1211" s="3" t="inlineStr">
        <is>
          <t>System</t>
        </is>
      </c>
      <c r="I1211" s="3" t="inlineStr">
        <is>
          <t>DrugDev API Account</t>
        </is>
      </c>
      <c r="J1211" s="4" t="n">
        <v>46009.78670138889</v>
      </c>
      <c r="K1211" s="5" t="n">
        <v>46010.0</v>
      </c>
      <c r="L1211" s="5" t="n">
        <v>45821.0</v>
      </c>
      <c r="M1211" s="3" t="inlineStr">
        <is>
          <t>Approved</t>
        </is>
      </c>
      <c r="N1211" s="3" t="inlineStr">
        <is>
          <t>Country Close, Site Close, Study Close</t>
        </is>
      </c>
      <c r="O1211" s="3" t="inlineStr">
        <is>
          <t>42847922MDD3003</t>
        </is>
      </c>
    </row>
    <row r="1212">
      <c r="A1212" s="2" t="str">
        <f>HYPERLINK("https://vtmf.veevavault.com/ui/#doc_info/30640127/1/0", "42847922MDD3003---Relevant Communications-13 Mar 2025 (v1.0)")</f>
        <v>42847922MDD3003---Relevant Communications-13 Mar 2025 (v1.0)</v>
      </c>
      <c r="B1212" s="3" t="inlineStr">
        <is>
          <t>Trial Management</t>
        </is>
      </c>
      <c r="C1212" s="3" t="inlineStr">
        <is>
          <t>General</t>
        </is>
      </c>
      <c r="D1212" s="3" t="inlineStr">
        <is>
          <t>Relevant Communications</t>
        </is>
      </c>
      <c r="E1212" s="3" t="inlineStr">
        <is>
          <t>News Post-OARS-7: Link2Trials is Now Live-13 Mar 2025</t>
        </is>
      </c>
      <c r="F1212" s="2" t="str">
        <f>HYPERLINK("https://vtmf.veevavault.com/ui/#doc_info/30640127/1/0", "VTMF-24689652")</f>
        <v>VTMF-24689652</v>
      </c>
      <c r="G1212" s="3" t="inlineStr">
        <is>
          <t/>
        </is>
      </c>
      <c r="H1212" s="3" t="inlineStr">
        <is>
          <t>System</t>
        </is>
      </c>
      <c r="I1212" s="3" t="inlineStr">
        <is>
          <t>DrugDev API Account</t>
        </is>
      </c>
      <c r="J1212" s="4" t="n">
        <v>46009.72644675926</v>
      </c>
      <c r="K1212" s="5" t="n">
        <v>46010.0</v>
      </c>
      <c r="L1212" s="5" t="n">
        <v>45729.0</v>
      </c>
      <c r="M1212" s="3" t="inlineStr">
        <is>
          <t>Approved</t>
        </is>
      </c>
      <c r="N1212" s="3" t="inlineStr">
        <is>
          <t>Country Close, Site Close, Study Close</t>
        </is>
      </c>
      <c r="O1212" s="3" t="inlineStr">
        <is>
          <t>42847922MDD3003</t>
        </is>
      </c>
    </row>
    <row r="1213">
      <c r="A1213" s="2" t="str">
        <f>HYPERLINK("https://vtmf.veevavault.com/ui/#doc_info/31215561/1/0", "42847922MDD3003---Relevant Communications-13 Mar 2026 (v1.0)")</f>
        <v>42847922MDD3003---Relevant Communications-13 Mar 2026 (v1.0)</v>
      </c>
      <c r="B1213" s="3" t="inlineStr">
        <is>
          <t>Trial Management</t>
        </is>
      </c>
      <c r="C1213" s="3" t="inlineStr">
        <is>
          <t>General</t>
        </is>
      </c>
      <c r="D1213" s="3" t="inlineStr">
        <is>
          <t>Relevant Communications</t>
        </is>
      </c>
      <c r="E1213" s="3" t="inlineStr">
        <is>
          <t>News Post-OARS-7: Newsletter Edition 7 Now Available!-13 Mar 2026</t>
        </is>
      </c>
      <c r="F1213" s="2" t="str">
        <f>HYPERLINK("https://vtmf.veevavault.com/ui/#doc_info/31215561/1/0", "VTMF-25170631")</f>
        <v>VTMF-25170631</v>
      </c>
      <c r="G1213" s="3" t="inlineStr">
        <is>
          <t/>
        </is>
      </c>
      <c r="H1213" s="3" t="inlineStr">
        <is>
          <t>System</t>
        </is>
      </c>
      <c r="I1213" s="3" t="inlineStr">
        <is>
          <t>DrugDev API Account</t>
        </is>
      </c>
      <c r="J1213" s="4" t="n">
        <v>46100.89665509259</v>
      </c>
      <c r="K1213" s="5" t="n">
        <v>46108.0</v>
      </c>
      <c r="L1213" s="5" t="n">
        <v>46094.0</v>
      </c>
      <c r="M1213" s="3" t="inlineStr">
        <is>
          <t>Approved</t>
        </is>
      </c>
      <c r="N1213" s="3" t="inlineStr">
        <is>
          <t>Country Close, Site Close, Study Close</t>
        </is>
      </c>
      <c r="O1213" s="3" t="inlineStr">
        <is>
          <t>42847922MDD3003</t>
        </is>
      </c>
    </row>
    <row r="1214">
      <c r="A1214" s="2" t="str">
        <f>HYPERLINK("https://vtmf.veevavault.com/ui/#doc_info/27684701/1/0", "42847922MDD3003---Relevant Communications-13 Nov 2024 (v1.0)")</f>
        <v>42847922MDD3003---Relevant Communications-13 Nov 2024 (v1.0)</v>
      </c>
      <c r="B1214" s="3" t="inlineStr">
        <is>
          <t>Third Parties</t>
        </is>
      </c>
      <c r="C1214" s="3" t="inlineStr">
        <is>
          <t>General</t>
        </is>
      </c>
      <c r="D1214" s="3" t="inlineStr">
        <is>
          <t>Relevant Communications</t>
        </is>
      </c>
      <c r="E1214" s="3" t="inlineStr">
        <is>
          <t>Memo, ECG_Clario_MAC2000 vs ELI Devices</t>
        </is>
      </c>
      <c r="F1214" s="2" t="str">
        <f>HYPERLINK("https://vtmf.veevavault.com/ui/#doc_info/27684701/1/0", "VTMF-22219821")</f>
        <v>VTMF-22219821</v>
      </c>
      <c r="G1214" s="3" t="inlineStr">
        <is>
          <t/>
        </is>
      </c>
      <c r="H1214" s="3" t="inlineStr">
        <is>
          <t>Anthony Suarez (veeva.com)</t>
        </is>
      </c>
      <c r="I1214" s="3" t="inlineStr">
        <is>
          <t>Lee Walesyn</t>
        </is>
      </c>
      <c r="J1214" s="4" t="n">
        <v>45617.80873842593</v>
      </c>
      <c r="K1214" s="5" t="n">
        <v>45617.0</v>
      </c>
      <c r="L1214" s="5" t="n">
        <v>45609.0</v>
      </c>
      <c r="M1214" s="3" t="inlineStr">
        <is>
          <t>Approved</t>
        </is>
      </c>
      <c r="N1214" s="3" t="inlineStr">
        <is>
          <t>Country Close, Site Close, Study Close</t>
        </is>
      </c>
      <c r="O1214" s="3" t="inlineStr">
        <is>
          <t>42847922MDD3003, 64042056ALZ2001</t>
        </is>
      </c>
    </row>
    <row r="1215">
      <c r="A1215" s="2" t="str">
        <f>HYPERLINK("https://vtmf.veevavault.com/ui/#doc_info/26104010/1/0", "42847922MDD3003---Relevant Communications-14 Feb 2024 (v1.0)")</f>
        <v>42847922MDD3003---Relevant Communications-14 Feb 2024 (v1.0)</v>
      </c>
      <c r="B1215" s="3" t="inlineStr">
        <is>
          <t>Third Parties</t>
        </is>
      </c>
      <c r="C1215" s="3" t="inlineStr">
        <is>
          <t>General</t>
        </is>
      </c>
      <c r="D1215" s="3" t="inlineStr">
        <is>
          <t>Relevant Communications</t>
        </is>
      </c>
      <c r="E1215" s="3" t="inlineStr">
        <is>
          <t>SQF Quick Guide_Clario ECG_Janssen_42847922MDD3003_ 14FEB2024</t>
        </is>
      </c>
      <c r="F1215" s="2" t="str">
        <f>HYPERLINK("https://vtmf.veevavault.com/ui/#doc_info/26104010/1/0", "VTMF-20871708")</f>
        <v>VTMF-20871708</v>
      </c>
      <c r="G1215" s="3" t="inlineStr">
        <is>
          <t/>
        </is>
      </c>
      <c r="H1215" s="3" t="inlineStr">
        <is>
          <t>Anthony Suarez (veeva.com)</t>
        </is>
      </c>
      <c r="I1215" s="3" t="inlineStr">
        <is>
          <t>Jamie Hardy</t>
        </is>
      </c>
      <c r="J1215" s="4" t="n">
        <v>45392.622245370374</v>
      </c>
      <c r="K1215" s="5" t="n">
        <v>45392.0</v>
      </c>
      <c r="L1215" s="5" t="n">
        <v>45336.0</v>
      </c>
      <c r="M1215" s="3" t="inlineStr">
        <is>
          <t>Approved</t>
        </is>
      </c>
      <c r="N1215" s="3" t="inlineStr">
        <is>
          <t>Country Close, Site Close, Study Close</t>
        </is>
      </c>
      <c r="O1215" s="3" t="inlineStr">
        <is>
          <t>42847922MDD3003</t>
        </is>
      </c>
    </row>
    <row r="1216">
      <c r="A1216" s="2" t="str">
        <f>HYPERLINK("https://vtmf.veevavault.com/ui/#doc_info/28094285/1/0", "42847922MDD3003---Relevant Communications-14 Jan 2025 (v1.0)")</f>
        <v>42847922MDD3003---Relevant Communications-14 Jan 2025 (v1.0)</v>
      </c>
      <c r="B1216" s="3" t="inlineStr">
        <is>
          <t>Trial Management</t>
        </is>
      </c>
      <c r="C1216" s="3" t="inlineStr">
        <is>
          <t>General</t>
        </is>
      </c>
      <c r="D1216" s="3" t="inlineStr">
        <is>
          <t>Relevant Communications</t>
        </is>
      </c>
      <c r="E1216" s="3" t="inlineStr">
        <is>
          <t>Email, Selto3003_Action Required: CRONOS Training Tracker Review and Follow-Up_Due date 21Jan2025</t>
        </is>
      </c>
      <c r="F1216" s="2" t="str">
        <f>HYPERLINK("https://vtmf.veevavault.com/ui/#doc_info/28094285/1/0", "VTMF-22530656")</f>
        <v>VTMF-22530656</v>
      </c>
      <c r="G1216" s="3" t="inlineStr">
        <is>
          <t/>
        </is>
      </c>
      <c r="H1216" s="3" t="inlineStr">
        <is>
          <t>Anthony Suarez (veeva.com)</t>
        </is>
      </c>
      <c r="I1216" s="3" t="inlineStr">
        <is>
          <t>Gina Stefanelli</t>
        </is>
      </c>
      <c r="J1216" s="4" t="n">
        <v>45673.73087962963</v>
      </c>
      <c r="K1216" s="5" t="n">
        <v>45673.0</v>
      </c>
      <c r="L1216" s="5" t="n">
        <v>45671.0</v>
      </c>
      <c r="M1216" s="3" t="inlineStr">
        <is>
          <t>Approved</t>
        </is>
      </c>
      <c r="N1216" s="3" t="inlineStr">
        <is>
          <t>Country Close, Site Close, Study Close</t>
        </is>
      </c>
      <c r="O1216" s="3" t="inlineStr">
        <is>
          <t>42847922MDD3003</t>
        </is>
      </c>
    </row>
    <row r="1217">
      <c r="A1217" s="2" t="str">
        <f>HYPERLINK("https://vtmf.veevavault.com/ui/#doc_info/28094296/1/0", "42847922MDD3003---Relevant Communications-14 Jan 2025 (v1.0)")</f>
        <v>42847922MDD3003---Relevant Communications-14 Jan 2025 (v1.0)</v>
      </c>
      <c r="B1217" s="3" t="inlineStr">
        <is>
          <t>Trial Management</t>
        </is>
      </c>
      <c r="C1217" s="3" t="inlineStr">
        <is>
          <t>General</t>
        </is>
      </c>
      <c r="D1217" s="3" t="inlineStr">
        <is>
          <t>Relevant Communications</t>
        </is>
      </c>
      <c r="E1217" s="3" t="inlineStr">
        <is>
          <t>Email, Selto MDD3003_CRONOS_ Rater qualification internal quality control findings</t>
        </is>
      </c>
      <c r="F1217" s="2" t="str">
        <f>HYPERLINK("https://vtmf.veevavault.com/ui/#doc_info/28094296/1/0", "VTMF-22530670")</f>
        <v>VTMF-22530670</v>
      </c>
      <c r="G1217" s="3" t="inlineStr">
        <is>
          <t/>
        </is>
      </c>
      <c r="H1217" s="3" t="inlineStr">
        <is>
          <t>Anthony Suarez (veeva.com)</t>
        </is>
      </c>
      <c r="I1217" s="3" t="inlineStr">
        <is>
          <t>Gina Stefanelli</t>
        </is>
      </c>
      <c r="J1217" s="4" t="n">
        <v>45673.732766203706</v>
      </c>
      <c r="K1217" s="5" t="n">
        <v>45673.0</v>
      </c>
      <c r="L1217" s="5" t="n">
        <v>45671.0</v>
      </c>
      <c r="M1217" s="3" t="inlineStr">
        <is>
          <t>Approved</t>
        </is>
      </c>
      <c r="N1217" s="3" t="inlineStr">
        <is>
          <t>Country Close, Site Close, Study Close</t>
        </is>
      </c>
      <c r="O1217" s="3" t="inlineStr">
        <is>
          <t>42847922MDD3003</t>
        </is>
      </c>
    </row>
    <row r="1218">
      <c r="A1218" s="2" t="str">
        <f>HYPERLINK("https://vtmf.veevavault.com/ui/#doc_info/29101167/2/0", "42847922MDD3003---Relevant Communications-14 May 2025 (v2.0)")</f>
        <v>42847922MDD3003---Relevant Communications-14 May 2025 (v2.0)</v>
      </c>
      <c r="B1218" s="3" t="inlineStr">
        <is>
          <t>Trial Management</t>
        </is>
      </c>
      <c r="C1218" s="3" t="inlineStr">
        <is>
          <t>General</t>
        </is>
      </c>
      <c r="D1218" s="3" t="inlineStr">
        <is>
          <t>Relevant Communications</t>
        </is>
      </c>
      <c r="E1218" s="3" t="inlineStr">
        <is>
          <t>Letter, Communication from Study Team to Site Re Screening Hold and Quality Review of Screening Activity</t>
        </is>
      </c>
      <c r="F1218" s="2" t="str">
        <f>HYPERLINK("https://vtmf.veevavault.com/ui/#doc_info/29101167/2/0", "VTMF-23384688")</f>
        <v>VTMF-23384688</v>
      </c>
      <c r="G1218" s="3" t="inlineStr">
        <is>
          <t/>
        </is>
      </c>
      <c r="H1218" s="3" t="inlineStr">
        <is>
          <t>Anthony Suarez (veeva.com)</t>
        </is>
      </c>
      <c r="I1218" s="3" t="inlineStr">
        <is>
          <t>Gina Stefanelli</t>
        </is>
      </c>
      <c r="J1218" s="4" t="n">
        <v>45791.65461805555</v>
      </c>
      <c r="K1218" s="5" t="n">
        <v>45791.0</v>
      </c>
      <c r="L1218" s="5" t="n">
        <v>45791.0</v>
      </c>
      <c r="M1218" s="3" t="inlineStr">
        <is>
          <t>Approved</t>
        </is>
      </c>
      <c r="N1218" s="3" t="inlineStr">
        <is>
          <t>Country Close, Site Close, Study Close</t>
        </is>
      </c>
      <c r="O1218" s="3" t="inlineStr">
        <is>
          <t>42847922MDD3003</t>
        </is>
      </c>
    </row>
    <row r="1219">
      <c r="A1219" s="2" t="str">
        <f>HYPERLINK("https://vtmf.veevavault.com/ui/#doc_info/30641060/1/0", "42847922MDD3003---Relevant Communications-14 May 2025 (v1.0)")</f>
        <v>42847922MDD3003---Relevant Communications-14 May 2025 (v1.0)</v>
      </c>
      <c r="B1219" s="3" t="inlineStr">
        <is>
          <t>Trial Management</t>
        </is>
      </c>
      <c r="C1219" s="3" t="inlineStr">
        <is>
          <t>General</t>
        </is>
      </c>
      <c r="D1219" s="3" t="inlineStr">
        <is>
          <t>Relevant Communications</t>
        </is>
      </c>
      <c r="E1219" s="3" t="inlineStr">
        <is>
          <t>News Post-OARS-7: Quality Review and Screening Hold at 6 Subjects Randomized-14 May 2025</t>
        </is>
      </c>
      <c r="F1219" s="2" t="str">
        <f>HYPERLINK("https://vtmf.veevavault.com/ui/#doc_info/30641060/1/0", "VTMF-24690392")</f>
        <v>VTMF-24690392</v>
      </c>
      <c r="G1219" s="3" t="inlineStr">
        <is>
          <t/>
        </is>
      </c>
      <c r="H1219" s="3" t="inlineStr">
        <is>
          <t>System</t>
        </is>
      </c>
      <c r="I1219" s="3" t="inlineStr">
        <is>
          <t>DrugDev API Account</t>
        </is>
      </c>
      <c r="J1219" s="4" t="n">
        <v>46009.78670138889</v>
      </c>
      <c r="K1219" s="5" t="n">
        <v>46010.0</v>
      </c>
      <c r="L1219" s="5" t="n">
        <v>45791.0</v>
      </c>
      <c r="M1219" s="3" t="inlineStr">
        <is>
          <t>Approved</t>
        </is>
      </c>
      <c r="N1219" s="3" t="inlineStr">
        <is>
          <t>Country Close, Site Close, Study Close</t>
        </is>
      </c>
      <c r="O1219" s="3" t="inlineStr">
        <is>
          <t>42847922MDD3003</t>
        </is>
      </c>
    </row>
    <row r="1220">
      <c r="A1220" s="2" t="str">
        <f>HYPERLINK("https://vtmf.veevavault.com/ui/#doc_info/30375004/2/0", "42847922MDD3003---Relevant Communications-14 Nov 2025 (v2.0)")</f>
        <v>42847922MDD3003---Relevant Communications-14 Nov 2025 (v2.0)</v>
      </c>
      <c r="B1220" s="3" t="inlineStr">
        <is>
          <t>Site Management</t>
        </is>
      </c>
      <c r="C1220" s="3" t="inlineStr">
        <is>
          <t>General</t>
        </is>
      </c>
      <c r="D1220" s="3" t="inlineStr">
        <is>
          <t>Relevant Communications</t>
        </is>
      </c>
      <c r="E1220" s="3" t="inlineStr">
        <is>
          <t>Beacon Dreem Pal ID and EDC Entry Memo_v2.0</t>
        </is>
      </c>
      <c r="F1220" s="2" t="str">
        <f>HYPERLINK("https://vtmf.veevavault.com/ui/#doc_info/30375004/2/0", "VTMF-24465053")</f>
        <v>VTMF-24465053</v>
      </c>
      <c r="G1220" s="3" t="inlineStr">
        <is>
          <t/>
        </is>
      </c>
      <c r="H1220" s="3" t="inlineStr">
        <is>
          <t>System</t>
        </is>
      </c>
      <c r="I1220" s="3" t="inlineStr">
        <is>
          <t>Charles Hayes</t>
        </is>
      </c>
      <c r="J1220" s="4" t="n">
        <v>45980.7019212963</v>
      </c>
      <c r="K1220" s="5" t="n">
        <v>45980.0</v>
      </c>
      <c r="L1220" s="5" t="n">
        <v>45975.0</v>
      </c>
      <c r="M1220" s="3" t="inlineStr">
        <is>
          <t>Approved</t>
        </is>
      </c>
      <c r="N1220" s="3" t="inlineStr">
        <is>
          <t>Available for Distribution, Country Close, Site Close, Study Close</t>
        </is>
      </c>
      <c r="O1220" s="3" t="inlineStr">
        <is>
          <t>42847922MDD3003</t>
        </is>
      </c>
    </row>
    <row r="1221">
      <c r="A1221" s="2" t="str">
        <f>HYPERLINK("https://vtmf.veevavault.com/ui/#doc_info/30617793/1/0", "42847922MDD3003---Relevant Communications-14 Nov 2025 (v1.0)")</f>
        <v>42847922MDD3003---Relevant Communications-14 Nov 2025 (v1.0)</v>
      </c>
      <c r="B1221" s="3" t="inlineStr">
        <is>
          <t>Third Parties</t>
        </is>
      </c>
      <c r="C1221" s="3" t="inlineStr">
        <is>
          <t>General</t>
        </is>
      </c>
      <c r="D1221" s="3" t="inlineStr">
        <is>
          <t>Relevant Communications</t>
        </is>
      </c>
      <c r="E1221" s="3" t="inlineStr">
        <is>
          <t>OSPREY Labcorp IVDR update (PT) - sponsor letter</t>
        </is>
      </c>
      <c r="F1221" s="2" t="str">
        <f>HYPERLINK("https://vtmf.veevavault.com/ui/#doc_info/30617793/1/0", "VTMF-24670313")</f>
        <v>VTMF-24670313</v>
      </c>
      <c r="G1221" s="3" t="inlineStr">
        <is>
          <t/>
        </is>
      </c>
      <c r="H1221" s="3" t="inlineStr">
        <is>
          <t>Helga Martinez</t>
        </is>
      </c>
      <c r="I1221" s="3" t="inlineStr">
        <is>
          <t>Sonia Rodriguez Cruz</t>
        </is>
      </c>
      <c r="J1221" s="4" t="n">
        <v>46007.75962962963</v>
      </c>
      <c r="K1221" s="5" t="n">
        <v>46007.0</v>
      </c>
      <c r="L1221" s="5" t="n">
        <v>45975.0</v>
      </c>
      <c r="M1221" s="3" t="inlineStr">
        <is>
          <t>Approved</t>
        </is>
      </c>
      <c r="N1221" s="3" t="inlineStr">
        <is>
          <t>Country Close, Site Close, Study Close</t>
        </is>
      </c>
      <c r="O1221" s="3" t="inlineStr">
        <is>
          <t>42847922MDD3003, 74765340RPG2001, 80202135EBF3001, 95597528EDI1001</t>
        </is>
      </c>
    </row>
    <row r="1222">
      <c r="A1222" s="2" t="str">
        <f>HYPERLINK("https://vtmf.veevavault.com/ui/#doc_info/27252091/1/0", "42847922MDD3003---Relevant Communications-14 Oct 2024 (v1.0)")</f>
        <v>42847922MDD3003---Relevant Communications-14 Oct 2024 (v1.0)</v>
      </c>
      <c r="B1222" s="3" t="inlineStr">
        <is>
          <t>Third Parties</t>
        </is>
      </c>
      <c r="C1222" s="3" t="inlineStr">
        <is>
          <t>General</t>
        </is>
      </c>
      <c r="D1222" s="3" t="inlineStr">
        <is>
          <t>Relevant Communications</t>
        </is>
      </c>
      <c r="E1222" s="3" t="inlineStr">
        <is>
          <t>Email, 42847922MDD3003_ Clario eCOA System Maintenance scheduled for 27Oct2024</t>
        </is>
      </c>
      <c r="F1222" s="2" t="str">
        <f>HYPERLINK("https://vtmf.veevavault.com/ui/#doc_info/27252091/1/0", "VTMF-21855625")</f>
        <v>VTMF-21855625</v>
      </c>
      <c r="G1222" s="3" t="inlineStr">
        <is>
          <t/>
        </is>
      </c>
      <c r="H1222" s="3" t="inlineStr">
        <is>
          <t>Anthony Suarez (veeva.com)</t>
        </is>
      </c>
      <c r="I1222" s="3" t="inlineStr">
        <is>
          <t>Debhora Garcia</t>
        </is>
      </c>
      <c r="J1222" s="4" t="n">
        <v>45579.78125</v>
      </c>
      <c r="K1222" s="5" t="n">
        <v>45579.0</v>
      </c>
      <c r="L1222" s="5" t="n">
        <v>45579.0</v>
      </c>
      <c r="M1222" s="3" t="inlineStr">
        <is>
          <t>Approved</t>
        </is>
      </c>
      <c r="N1222" s="3" t="inlineStr">
        <is>
          <t>Country Close, Site Close, Study Close</t>
        </is>
      </c>
      <c r="O1222" s="3" t="inlineStr">
        <is>
          <t>42847922MDD3003</t>
        </is>
      </c>
    </row>
    <row r="1223">
      <c r="A1223" s="2" t="str">
        <f>HYPERLINK("https://vtmf.veevavault.com/ui/#doc_info/26931442/1/0", "42847922MDD3003---Relevant Communications-15 Aug 2024 (v1.0)")</f>
        <v>42847922MDD3003---Relevant Communications-15 Aug 2024 (v1.0)</v>
      </c>
      <c r="B1223" s="3" t="inlineStr">
        <is>
          <t>Third Parties</t>
        </is>
      </c>
      <c r="C1223" s="3" t="inlineStr">
        <is>
          <t>General</t>
        </is>
      </c>
      <c r="D1223" s="3" t="inlineStr">
        <is>
          <t>Relevant Communications</t>
        </is>
      </c>
      <c r="E1223" s="3" t="inlineStr">
        <is>
          <t>J&amp;J_42847922MDD3003_Handheld Software Download Memo_v03.01</t>
        </is>
      </c>
      <c r="F1223" s="2" t="str">
        <f>HYPERLINK("https://vtmf.veevavault.com/ui/#doc_info/26931442/1/0", "VTMF-21588483")</f>
        <v>VTMF-21588483</v>
      </c>
      <c r="G1223" s="3" t="inlineStr">
        <is>
          <t/>
        </is>
      </c>
      <c r="H1223" s="3" t="inlineStr">
        <is>
          <t>Anthony Suarez (veeva.com)</t>
        </is>
      </c>
      <c r="I1223" s="3" t="inlineStr">
        <is>
          <t>Debhora Garcia</t>
        </is>
      </c>
      <c r="J1223" s="4" t="n">
        <v>45526.17787037037</v>
      </c>
      <c r="K1223" s="5" t="n">
        <v>45526.0</v>
      </c>
      <c r="L1223" s="5" t="n">
        <v>45519.0</v>
      </c>
      <c r="M1223" s="3" t="inlineStr">
        <is>
          <t>Approved</t>
        </is>
      </c>
      <c r="N1223" s="3" t="inlineStr">
        <is>
          <t>Country Close, Site Close, Study Close</t>
        </is>
      </c>
      <c r="O1223" s="3" t="inlineStr">
        <is>
          <t>42847922MDD3003</t>
        </is>
      </c>
    </row>
    <row r="1224">
      <c r="A1224" s="2" t="str">
        <f>HYPERLINK("https://vtmf.veevavault.com/ui/#doc_info/26931443/1/0", "42847922MDD3003---Relevant Communications-15 Aug 2024 (v1.0)")</f>
        <v>42847922MDD3003---Relevant Communications-15 Aug 2024 (v1.0)</v>
      </c>
      <c r="B1224" s="3" t="inlineStr">
        <is>
          <t>Third Parties</t>
        </is>
      </c>
      <c r="C1224" s="3" t="inlineStr">
        <is>
          <t>General</t>
        </is>
      </c>
      <c r="D1224" s="3" t="inlineStr">
        <is>
          <t>Relevant Communications</t>
        </is>
      </c>
      <c r="E1224" s="3" t="inlineStr">
        <is>
          <t>42847922MDD3003_BYOD Software Update Memo_v 03.01</t>
        </is>
      </c>
      <c r="F1224" s="2" t="str">
        <f>HYPERLINK("https://vtmf.veevavault.com/ui/#doc_info/26931443/1/0", "VTMF-21588486")</f>
        <v>VTMF-21588486</v>
      </c>
      <c r="G1224" s="3" t="inlineStr">
        <is>
          <t/>
        </is>
      </c>
      <c r="H1224" s="3" t="inlineStr">
        <is>
          <t>Anthony Suarez (veeva.com)</t>
        </is>
      </c>
      <c r="I1224" s="3" t="inlineStr">
        <is>
          <t>Debhora Garcia</t>
        </is>
      </c>
      <c r="J1224" s="4" t="n">
        <v>45526.17888888889</v>
      </c>
      <c r="K1224" s="5" t="n">
        <v>45526.0</v>
      </c>
      <c r="L1224" s="5" t="n">
        <v>45519.0</v>
      </c>
      <c r="M1224" s="3" t="inlineStr">
        <is>
          <t>Approved</t>
        </is>
      </c>
      <c r="N1224" s="3" t="inlineStr">
        <is>
          <t>Country Close, Site Close, Study Close</t>
        </is>
      </c>
      <c r="O1224" s="3" t="inlineStr">
        <is>
          <t>42847922MDD3003</t>
        </is>
      </c>
    </row>
    <row r="1225">
      <c r="A1225" s="2" t="str">
        <f>HYPERLINK("https://vtmf.veevavault.com/ui/#doc_info/29774433/1/0", "42847922MDD3003---Relevant Communications-15 Aug 2025 (v1.0)")</f>
        <v>42847922MDD3003---Relevant Communications-15 Aug 2025 (v1.0)</v>
      </c>
      <c r="B1225" s="3" t="inlineStr">
        <is>
          <t>Trial Management</t>
        </is>
      </c>
      <c r="C1225" s="3" t="inlineStr">
        <is>
          <t>General</t>
        </is>
      </c>
      <c r="D1225" s="3" t="inlineStr">
        <is>
          <t>Relevant Communications</t>
        </is>
      </c>
      <c r="E1225" s="3" t="inlineStr">
        <is>
          <t>Dreem Hotspot Wi-Fi Connection Memo v1.0</t>
        </is>
      </c>
      <c r="F1225" s="2" t="str">
        <f>HYPERLINK("https://vtmf.veevavault.com/ui/#doc_info/29774433/1/0", "VTMF-23959713")</f>
        <v>VTMF-23959713</v>
      </c>
      <c r="G1225" s="3" t="inlineStr">
        <is>
          <t/>
        </is>
      </c>
      <c r="H1225" s="3" t="inlineStr">
        <is>
          <t>System</t>
        </is>
      </c>
      <c r="I1225" s="3" t="inlineStr">
        <is>
          <t>Charles Hayes</t>
        </is>
      </c>
      <c r="J1225" s="4" t="n">
        <v>45884.81643518519</v>
      </c>
      <c r="K1225" s="5" t="n">
        <v>45884.0</v>
      </c>
      <c r="L1225" s="5" t="n">
        <v>45884.0</v>
      </c>
      <c r="M1225" s="3" t="inlineStr">
        <is>
          <t>Approved</t>
        </is>
      </c>
      <c r="N1225" s="3" t="inlineStr">
        <is>
          <t>Country Close, Site Close, Study Close</t>
        </is>
      </c>
      <c r="O1225" s="3" t="inlineStr">
        <is>
          <t>42847922MDD3003</t>
        </is>
      </c>
    </row>
    <row r="1226">
      <c r="A1226" s="2" t="str">
        <f>HYPERLINK("https://vtmf.veevavault.com/ui/#doc_info/28095406/1/0", "42847922MDD3003---Relevant Communications-15 Jan 2025 (v1.0)")</f>
        <v>42847922MDD3003---Relevant Communications-15 Jan 2025 (v1.0)</v>
      </c>
      <c r="B1226" s="3" t="inlineStr">
        <is>
          <t>Trial Management</t>
        </is>
      </c>
      <c r="C1226" s="3" t="inlineStr">
        <is>
          <t>General</t>
        </is>
      </c>
      <c r="D1226" s="3" t="inlineStr">
        <is>
          <t>Relevant Communications</t>
        </is>
      </c>
      <c r="E1226" s="3" t="inlineStr">
        <is>
          <t>News Post, OARS-7: European Investigator Meeting Update-15 Jan 2025</t>
        </is>
      </c>
      <c r="F1226" s="2" t="str">
        <f>HYPERLINK("https://vtmf.veevavault.com/ui/#doc_info/28095406/1/0", "VTMF-22531597")</f>
        <v>VTMF-22531597</v>
      </c>
      <c r="G1226" s="3" t="inlineStr">
        <is>
          <t/>
        </is>
      </c>
      <c r="H1226" s="3" t="inlineStr">
        <is>
          <t>Anthony Suarez (veeva.com)</t>
        </is>
      </c>
      <c r="I1226" s="3" t="inlineStr">
        <is>
          <t>DrugDev API Account</t>
        </is>
      </c>
      <c r="J1226" s="4" t="n">
        <v>45673.85488425926</v>
      </c>
      <c r="K1226" s="5" t="n">
        <v>45674.0</v>
      </c>
      <c r="L1226" s="5" t="n">
        <v>45672.0</v>
      </c>
      <c r="M1226" s="3" t="inlineStr">
        <is>
          <t>Approved</t>
        </is>
      </c>
      <c r="N1226" s="3" t="inlineStr">
        <is>
          <t>Country Close, Site Close, Study Close</t>
        </is>
      </c>
      <c r="O1226" s="3" t="inlineStr">
        <is>
          <t>42847922MDD3003</t>
        </is>
      </c>
    </row>
    <row r="1227">
      <c r="A1227" s="2" t="str">
        <f>HYPERLINK("https://vtmf.veevavault.com/ui/#doc_info/26778511/1/0", "42847922MDD3003---Relevant Communications-15 Jul 2024 (v1.0)")</f>
        <v>42847922MDD3003---Relevant Communications-15 Jul 2024 (v1.0)</v>
      </c>
      <c r="B1227" s="3" t="inlineStr">
        <is>
          <t>Trial Management</t>
        </is>
      </c>
      <c r="C1227" s="3" t="inlineStr">
        <is>
          <t>General</t>
        </is>
      </c>
      <c r="D1227" s="3" t="inlineStr">
        <is>
          <t>Relevant Communications</t>
        </is>
      </c>
      <c r="E1227" s="3" t="inlineStr">
        <is>
          <t>Site Non-Selection Notification_correct status in CTMS by 1AUG2024</t>
        </is>
      </c>
      <c r="F1227" s="2" t="str">
        <f>HYPERLINK("https://vtmf.veevavault.com/ui/#doc_info/26778511/1/0", "VTMF-21460303")</f>
        <v>VTMF-21460303</v>
      </c>
      <c r="G1227" s="3" t="inlineStr">
        <is>
          <t/>
        </is>
      </c>
      <c r="H1227" s="3" t="inlineStr">
        <is>
          <t>Anthony Suarez (veeva.com)</t>
        </is>
      </c>
      <c r="I1227" s="3" t="inlineStr">
        <is>
          <t>Gina Stefanelli</t>
        </is>
      </c>
      <c r="J1227" s="4" t="n">
        <v>45499.66268518518</v>
      </c>
      <c r="K1227" s="5" t="n">
        <v>45499.0</v>
      </c>
      <c r="L1227" s="5" t="n">
        <v>45488.0</v>
      </c>
      <c r="M1227" s="3" t="inlineStr">
        <is>
          <t>Approved</t>
        </is>
      </c>
      <c r="N1227" s="3" t="inlineStr">
        <is>
          <t>Country Close, Site Close, Study Close</t>
        </is>
      </c>
      <c r="O1227" s="3" t="inlineStr">
        <is>
          <t>42847922MDD3003, 67953964MDD3005, 67953964MDD3007</t>
        </is>
      </c>
    </row>
    <row r="1228">
      <c r="A1228" s="2" t="str">
        <f>HYPERLINK("https://vtmf.veevavault.com/ui/#doc_info/26778516/1/0", "42847922MDD3003---Relevant Communications-15 Jul 2024 (v1.0)")</f>
        <v>42847922MDD3003---Relevant Communications-15 Jul 2024 (v1.0)</v>
      </c>
      <c r="B1228" s="3" t="inlineStr">
        <is>
          <t>Trial Management</t>
        </is>
      </c>
      <c r="C1228" s="3" t="inlineStr">
        <is>
          <t>General</t>
        </is>
      </c>
      <c r="D1228" s="3" t="inlineStr">
        <is>
          <t>Relevant Communications</t>
        </is>
      </c>
      <c r="E1228" s="3" t="inlineStr">
        <is>
          <t>Mood Strategy_CRONOS_CLARIO_Contact_Tracker_UPDATE</t>
        </is>
      </c>
      <c r="F1228" s="2" t="str">
        <f>HYPERLINK("https://vtmf.veevavault.com/ui/#doc_info/26778516/1/0", "VTMF-21460314")</f>
        <v>VTMF-21460314</v>
      </c>
      <c r="G1228" s="3" t="inlineStr">
        <is>
          <t/>
        </is>
      </c>
      <c r="H1228" s="3" t="inlineStr">
        <is>
          <t>Anthony Suarez (veeva.com)</t>
        </is>
      </c>
      <c r="I1228" s="3" t="inlineStr">
        <is>
          <t>Gina Stefanelli</t>
        </is>
      </c>
      <c r="J1228" s="4" t="n">
        <v>45499.663773148146</v>
      </c>
      <c r="K1228" s="5" t="n">
        <v>45499.0</v>
      </c>
      <c r="L1228" s="5" t="n">
        <v>45488.0</v>
      </c>
      <c r="M1228" s="3" t="inlineStr">
        <is>
          <t>Approved</t>
        </is>
      </c>
      <c r="N1228" s="3" t="inlineStr">
        <is>
          <t>Country Close, Site Close, Study Close</t>
        </is>
      </c>
      <c r="O1228" s="3" t="inlineStr">
        <is>
          <t>42847922MDD3003, 67953964MDD3005, 67953964MDD3007</t>
        </is>
      </c>
    </row>
    <row r="1229">
      <c r="A1229" s="2" t="str">
        <f>HYPERLINK("https://vtmf.veevavault.com/ui/#doc_info/29942521/2/0", "42847922MDD3003---Relevant Communications-15 Sep 2025 (v2.0)")</f>
        <v>42847922MDD3003---Relevant Communications-15 Sep 2025 (v2.0)</v>
      </c>
      <c r="B1229" s="3" t="inlineStr">
        <is>
          <t>Third Parties</t>
        </is>
      </c>
      <c r="C1229" s="3" t="inlineStr">
        <is>
          <t>General</t>
        </is>
      </c>
      <c r="D1229" s="3" t="inlineStr">
        <is>
          <t>Relevant Communications</t>
        </is>
      </c>
      <c r="E1229" s="3" t="inlineStr">
        <is>
          <t>Clario eCOA Software Download Memo v06.06_v2.0</t>
        </is>
      </c>
      <c r="F1229" s="2" t="str">
        <f>HYPERLINK("https://vtmf.veevavault.com/ui/#doc_info/29942521/2/0", "VTMF-24104043")</f>
        <v>VTMF-24104043</v>
      </c>
      <c r="G1229" s="3" t="inlineStr">
        <is>
          <t/>
        </is>
      </c>
      <c r="H1229" s="3" t="inlineStr">
        <is>
          <t>System</t>
        </is>
      </c>
      <c r="I1229" s="3" t="inlineStr">
        <is>
          <t>Charles Hayes</t>
        </is>
      </c>
      <c r="J1229" s="4" t="n">
        <v>45967.978680555556</v>
      </c>
      <c r="K1229" s="5" t="n">
        <v>45967.0</v>
      </c>
      <c r="L1229" s="5" t="n">
        <v>45915.0</v>
      </c>
      <c r="M1229" s="3" t="inlineStr">
        <is>
          <t>Approved</t>
        </is>
      </c>
      <c r="N1229" s="3" t="inlineStr">
        <is>
          <t>Country Close, Site Close, Study Close</t>
        </is>
      </c>
      <c r="O1229" s="3" t="inlineStr">
        <is>
          <t>42847922MDD3003</t>
        </is>
      </c>
    </row>
    <row r="1230">
      <c r="A1230" s="2" t="str">
        <f>HYPERLINK("https://vtmf.veevavault.com/ui/#doc_info/26143299/1/0", "42847922MDD3003---Relevant Communications-16 Apr 2024 (v1.0)")</f>
        <v>42847922MDD3003---Relevant Communications-16 Apr 2024 (v1.0)</v>
      </c>
      <c r="B1230" s="3" t="inlineStr">
        <is>
          <t>Third Parties</t>
        </is>
      </c>
      <c r="C1230" s="3" t="inlineStr">
        <is>
          <t>General</t>
        </is>
      </c>
      <c r="D1230" s="3" t="inlineStr">
        <is>
          <t>Relevant Communications</t>
        </is>
      </c>
      <c r="E1230" s="3" t="inlineStr">
        <is>
          <t>42847922MDD3003 LabCorp EMEA Breathalyzer</t>
        </is>
      </c>
      <c r="F1230" s="2" t="str">
        <f>HYPERLINK("https://vtmf.veevavault.com/ui/#doc_info/26143299/1/0", "VTMF-20906472")</f>
        <v>VTMF-20906472</v>
      </c>
      <c r="G1230" s="3" t="inlineStr">
        <is>
          <t/>
        </is>
      </c>
      <c r="H1230" s="3" t="inlineStr">
        <is>
          <t>System</t>
        </is>
      </c>
      <c r="I1230" s="3" t="inlineStr">
        <is>
          <t>Jamie Hardy</t>
        </is>
      </c>
      <c r="J1230" s="4" t="n">
        <v>45398.769583333335</v>
      </c>
      <c r="K1230" s="5" t="n">
        <v>45398.0</v>
      </c>
      <c r="L1230" s="5" t="n">
        <v>45398.0</v>
      </c>
      <c r="M1230" s="3" t="inlineStr">
        <is>
          <t>Approved</t>
        </is>
      </c>
      <c r="N1230" s="3" t="inlineStr">
        <is>
          <t>Country Close, Site Close, Study Close</t>
        </is>
      </c>
      <c r="O1230" s="3" t="inlineStr">
        <is>
          <t>42847922MDD3003</t>
        </is>
      </c>
    </row>
    <row r="1231">
      <c r="A1231" s="2" t="str">
        <f>HYPERLINK("https://vtmf.veevavault.com/ui/#doc_info/30641009/1/0", "42847922MDD3003---Relevant Communications-16 Apr 2025 (v1.0)")</f>
        <v>42847922MDD3003---Relevant Communications-16 Apr 2025 (v1.0)</v>
      </c>
      <c r="B1231" s="3" t="inlineStr">
        <is>
          <t>Trial Management</t>
        </is>
      </c>
      <c r="C1231" s="3" t="inlineStr">
        <is>
          <t>General</t>
        </is>
      </c>
      <c r="D1231" s="3" t="inlineStr">
        <is>
          <t>Relevant Communications</t>
        </is>
      </c>
      <c r="E1231" s="3" t="inlineStr">
        <is>
          <t>News Post-OARS-7: Clario CSD Unavailable Globally-16 Apr 2025</t>
        </is>
      </c>
      <c r="F1231" s="2" t="str">
        <f>HYPERLINK("https://vtmf.veevavault.com/ui/#doc_info/30641009/1/0", "VTMF-24690341")</f>
        <v>VTMF-24690341</v>
      </c>
      <c r="G1231" s="3" t="inlineStr">
        <is>
          <t/>
        </is>
      </c>
      <c r="H1231" s="3" t="inlineStr">
        <is>
          <t>System</t>
        </is>
      </c>
      <c r="I1231" s="3" t="inlineStr">
        <is>
          <t>DrugDev API Account</t>
        </is>
      </c>
      <c r="J1231" s="4" t="n">
        <v>46009.78670138889</v>
      </c>
      <c r="K1231" s="5" t="n">
        <v>46010.0</v>
      </c>
      <c r="L1231" s="5" t="n">
        <v>45763.0</v>
      </c>
      <c r="M1231" s="3" t="inlineStr">
        <is>
          <t>Approved</t>
        </is>
      </c>
      <c r="N1231" s="3" t="inlineStr">
        <is>
          <t>Country Close, Site Close, Study Close</t>
        </is>
      </c>
      <c r="O1231" s="3" t="inlineStr">
        <is>
          <t>42847922MDD3003</t>
        </is>
      </c>
    </row>
    <row r="1232">
      <c r="A1232" s="2" t="str">
        <f>HYPERLINK("https://vtmf.veevavault.com/ui/#doc_info/27193781/1/0", "42847922MDD3003---Relevant Communications-16 Aug 2024 (v1.0)")</f>
        <v>42847922MDD3003---Relevant Communications-16 Aug 2024 (v1.0)</v>
      </c>
      <c r="B1232" s="3" t="inlineStr">
        <is>
          <t>Central Trial Documents</t>
        </is>
      </c>
      <c r="C1232" s="3" t="inlineStr">
        <is>
          <t>General</t>
        </is>
      </c>
      <c r="D1232" s="3" t="inlineStr">
        <is>
          <t>Relevant Communications</t>
        </is>
      </c>
      <c r="E1232" s="3" t="inlineStr">
        <is>
          <t>Email, US10106 Baber participant and general questions</t>
        </is>
      </c>
      <c r="F1232" s="2" t="str">
        <f>HYPERLINK("https://vtmf.veevavault.com/ui/#doc_info/27193781/1/0", "VTMF-21805186")</f>
        <v>VTMF-21805186</v>
      </c>
      <c r="G1232" s="3" t="inlineStr">
        <is>
          <t/>
        </is>
      </c>
      <c r="H1232" s="3" t="inlineStr">
        <is>
          <t>Anthony Suarez (veeva.com)</t>
        </is>
      </c>
      <c r="I1232" s="3" t="inlineStr">
        <is>
          <t>Gina Stefanelli</t>
        </is>
      </c>
      <c r="J1232" s="4" t="n">
        <v>45568.915925925925</v>
      </c>
      <c r="K1232" s="5" t="n">
        <v>45568.0</v>
      </c>
      <c r="L1232" s="5" t="n">
        <v>45520.0</v>
      </c>
      <c r="M1232" s="3" t="inlineStr">
        <is>
          <t>Approved</t>
        </is>
      </c>
      <c r="N1232" s="3" t="inlineStr">
        <is>
          <t>Country Close, Site Close, Study Close</t>
        </is>
      </c>
      <c r="O1232" s="3" t="inlineStr">
        <is>
          <t>42847922MDD3003</t>
        </is>
      </c>
    </row>
    <row r="1233">
      <c r="A1233" s="2" t="str">
        <f>HYPERLINK("https://vtmf.veevavault.com/ui/#doc_info/30639932/1/0", "42847922MDD3003---Relevant Communications-16 Dec 2024 (v1.0)")</f>
        <v>42847922MDD3003---Relevant Communications-16 Dec 2024 (v1.0)</v>
      </c>
      <c r="B1233" s="3" t="inlineStr">
        <is>
          <t>Trial Management</t>
        </is>
      </c>
      <c r="C1233" s="3" t="inlineStr">
        <is>
          <t>General</t>
        </is>
      </c>
      <c r="D1233" s="3" t="inlineStr">
        <is>
          <t>Relevant Communications</t>
        </is>
      </c>
      <c r="E1233" s="3" t="inlineStr">
        <is>
          <t>News Post-OARS-7: Labcorp Memo - Bulk Supplies-16 Dec 2024</t>
        </is>
      </c>
      <c r="F1233" s="2" t="str">
        <f>HYPERLINK("https://vtmf.veevavault.com/ui/#doc_info/30639932/1/0", "VTMF-24689457")</f>
        <v>VTMF-24689457</v>
      </c>
      <c r="G1233" s="3" t="inlineStr">
        <is>
          <t/>
        </is>
      </c>
      <c r="H1233" s="3" t="inlineStr">
        <is>
          <t>System</t>
        </is>
      </c>
      <c r="I1233" s="3" t="inlineStr">
        <is>
          <t>DrugDev API Account</t>
        </is>
      </c>
      <c r="J1233" s="4" t="n">
        <v>46009.72644675926</v>
      </c>
      <c r="K1233" s="5" t="n">
        <v>46010.0</v>
      </c>
      <c r="L1233" s="5" t="n">
        <v>45642.0</v>
      </c>
      <c r="M1233" s="3" t="inlineStr">
        <is>
          <t>Approved</t>
        </is>
      </c>
      <c r="N1233" s="3" t="inlineStr">
        <is>
          <t>Country Close, Site Close, Study Close</t>
        </is>
      </c>
      <c r="O1233" s="3" t="inlineStr">
        <is>
          <t>42847922MDD3003</t>
        </is>
      </c>
    </row>
    <row r="1234">
      <c r="A1234" s="2" t="str">
        <f>HYPERLINK("https://vtmf.veevavault.com/ui/#doc_info/30639936/1/0", "42847922MDD3003---Relevant Communications-16 Dec 2024 (v1.0)")</f>
        <v>42847922MDD3003---Relevant Communications-16 Dec 2024 (v1.0)</v>
      </c>
      <c r="B1234" s="3" t="inlineStr">
        <is>
          <t>Trial Management</t>
        </is>
      </c>
      <c r="C1234" s="3" t="inlineStr">
        <is>
          <t>General</t>
        </is>
      </c>
      <c r="D1234" s="3" t="inlineStr">
        <is>
          <t>Relevant Communications</t>
        </is>
      </c>
      <c r="E1234" s="3" t="inlineStr">
        <is>
          <t>News Post-OARS-7: Newsletter Edition 2 Now Available!-16 Dec 2024</t>
        </is>
      </c>
      <c r="F1234" s="2" t="str">
        <f>HYPERLINK("https://vtmf.veevavault.com/ui/#doc_info/30639936/1/0", "VTMF-24689461")</f>
        <v>VTMF-24689461</v>
      </c>
      <c r="G1234" s="3" t="inlineStr">
        <is>
          <t/>
        </is>
      </c>
      <c r="H1234" s="3" t="inlineStr">
        <is>
          <t>System</t>
        </is>
      </c>
      <c r="I1234" s="3" t="inlineStr">
        <is>
          <t>DrugDev API Account</t>
        </is>
      </c>
      <c r="J1234" s="4" t="n">
        <v>46009.72644675926</v>
      </c>
      <c r="K1234" s="5" t="n">
        <v>46010.0</v>
      </c>
      <c r="L1234" s="5" t="n">
        <v>45642.0</v>
      </c>
      <c r="M1234" s="3" t="inlineStr">
        <is>
          <t>Approved</t>
        </is>
      </c>
      <c r="N1234" s="3" t="inlineStr">
        <is>
          <t>Country Close, Site Close, Study Close</t>
        </is>
      </c>
      <c r="O1234" s="3" t="inlineStr">
        <is>
          <t>42847922MDD3003</t>
        </is>
      </c>
    </row>
    <row r="1235">
      <c r="A1235" s="2" t="str">
        <f>HYPERLINK("https://vtmf.veevavault.com/ui/#doc_info/30622290/1/0", "42847922MDD3003---Relevant Communications-16 Dec 2025 (v1.0)")</f>
        <v>42847922MDD3003---Relevant Communications-16 Dec 2025 (v1.0)</v>
      </c>
      <c r="B1235" s="3" t="inlineStr">
        <is>
          <t>Safety Reporting</t>
        </is>
      </c>
      <c r="C1235" s="3" t="inlineStr">
        <is>
          <t>General</t>
        </is>
      </c>
      <c r="D1235" s="3" t="inlineStr">
        <is>
          <t>Relevant Communications</t>
        </is>
      </c>
      <c r="E1235" s="3" t="inlineStr">
        <is>
          <t>SSR_seltorexant_Blinded_05May2025-04Nov2025 - Notification to Study Level user</t>
        </is>
      </c>
      <c r="F1235" s="2" t="str">
        <f>HYPERLINK("https://vtmf.veevavault.com/ui/#doc_info/30622290/1/0", "VTMF-24674091")</f>
        <v>VTMF-24674091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46008.3434375</v>
      </c>
      <c r="K1235" s="5" t="n">
        <v>46007.0</v>
      </c>
      <c r="L1235" s="5" t="n">
        <v>46007.0</v>
      </c>
      <c r="M1235" s="3" t="inlineStr">
        <is>
          <t>Approved</t>
        </is>
      </c>
      <c r="N1235" s="3" t="inlineStr">
        <is>
          <t>Country Close, Site Close, Study Close</t>
        </is>
      </c>
      <c r="O1235" s="3" t="inlineStr">
        <is>
          <t>42847922MDD3003</t>
        </is>
      </c>
    </row>
    <row r="1236">
      <c r="A1236" s="2" t="str">
        <f>HYPERLINK("https://vtmf.veevavault.com/ui/#doc_info/30627756/1/0", "42847922MDD3003---Relevant Communications-16 Dec 2025 (v1.0)")</f>
        <v>42847922MDD3003---Relevant Communications-16 Dec 2025 (v1.0)</v>
      </c>
      <c r="B1236" s="3" t="inlineStr">
        <is>
          <t>Trial Management</t>
        </is>
      </c>
      <c r="C1236" s="3" t="inlineStr">
        <is>
          <t>General</t>
        </is>
      </c>
      <c r="D1236" s="3" t="inlineStr">
        <is>
          <t>Relevant Communications</t>
        </is>
      </c>
      <c r="E1236" s="3" t="inlineStr">
        <is>
          <t>News Post-OARS-7: Enrollment Part 1 Closing-17 Dec 2025</t>
        </is>
      </c>
      <c r="F1236" s="2" t="str">
        <f>HYPERLINK("https://vtmf.veevavault.com/ui/#doc_info/30627756/1/0", "VTMF-24678817")</f>
        <v>VTMF-24678817</v>
      </c>
      <c r="G1236" s="3" t="inlineStr">
        <is>
          <t/>
        </is>
      </c>
      <c r="H1236" s="3" t="inlineStr">
        <is>
          <t>System</t>
        </is>
      </c>
      <c r="I1236" s="3" t="inlineStr">
        <is>
          <t>DrugDev API Account</t>
        </is>
      </c>
      <c r="J1236" s="4" t="n">
        <v>46008.730046296296</v>
      </c>
      <c r="K1236" s="5" t="n">
        <v>46009.0</v>
      </c>
      <c r="L1236" s="5" t="n">
        <v>46007.0</v>
      </c>
      <c r="M1236" s="3" t="inlineStr">
        <is>
          <t>Approved</t>
        </is>
      </c>
      <c r="N1236" s="3" t="inlineStr">
        <is>
          <t>Country Close, Site Close, Study Close</t>
        </is>
      </c>
      <c r="O1236" s="3" t="inlineStr">
        <is>
          <t>42847922MDD3003</t>
        </is>
      </c>
    </row>
    <row r="1237">
      <c r="A1237" s="2" t="str">
        <f>HYPERLINK("https://vtmf.veevavault.com/ui/#doc_info/28142156/1/0", "42847922MDD3003---Relevant Communications-16 Jan 2025 (v1.0)")</f>
        <v>42847922MDD3003---Relevant Communications-16 Jan 2025 (v1.0)</v>
      </c>
      <c r="B1237" s="3" t="inlineStr">
        <is>
          <t>Trial Management</t>
        </is>
      </c>
      <c r="C1237" s="3" t="inlineStr">
        <is>
          <t>General</t>
        </is>
      </c>
      <c r="D1237" s="3" t="inlineStr">
        <is>
          <t>Relevant Communications</t>
        </is>
      </c>
      <c r="E1237" s="3" t="inlineStr">
        <is>
          <t>News Post, OARS-7: Email Blast January 2025-16 Jan 2025</t>
        </is>
      </c>
      <c r="F1237" s="2" t="str">
        <f>HYPERLINK("https://vtmf.veevavault.com/ui/#doc_info/28142156/1/0", "VTMF-22570593")</f>
        <v>VTMF-22570593</v>
      </c>
      <c r="G1237" s="3" t="inlineStr">
        <is>
          <t/>
        </is>
      </c>
      <c r="H1237" s="3" t="inlineStr">
        <is>
          <t>Anthony Suarez (veeva.com)</t>
        </is>
      </c>
      <c r="I1237" s="3" t="inlineStr">
        <is>
          <t>DrugDev API Account</t>
        </is>
      </c>
      <c r="J1237" s="4" t="n">
        <v>45680.85486111111</v>
      </c>
      <c r="K1237" s="5" t="n">
        <v>45681.0</v>
      </c>
      <c r="L1237" s="5" t="n">
        <v>45673.0</v>
      </c>
      <c r="M1237" s="3" t="inlineStr">
        <is>
          <t>Approved</t>
        </is>
      </c>
      <c r="N1237" s="3" t="inlineStr">
        <is>
          <t>Country Close, Site Close, Study Close</t>
        </is>
      </c>
      <c r="O1237" s="3" t="inlineStr">
        <is>
          <t>42847922MDD3003</t>
        </is>
      </c>
    </row>
    <row r="1238">
      <c r="A1238" s="2" t="str">
        <f>HYPERLINK("https://vtmf.veevavault.com/ui/#doc_info/30641140/1/0", "42847922MDD3003---Relevant Communications-16 Jun 2025 (v1.0)")</f>
        <v>42847922MDD3003---Relevant Communications-16 Jun 2025 (v1.0)</v>
      </c>
      <c r="B1238" s="3" t="inlineStr">
        <is>
          <t>Trial Management</t>
        </is>
      </c>
      <c r="C1238" s="3" t="inlineStr">
        <is>
          <t>General</t>
        </is>
      </c>
      <c r="D1238" s="3" t="inlineStr">
        <is>
          <t>Relevant Communications</t>
        </is>
      </c>
      <c r="E1238" s="3" t="inlineStr">
        <is>
          <t>News Post-OARS-7: Dreem 3S Device Overview Video-16 Jun 2025</t>
        </is>
      </c>
      <c r="F1238" s="2" t="str">
        <f>HYPERLINK("https://vtmf.veevavault.com/ui/#doc_info/30641140/1/0", "VTMF-24690472")</f>
        <v>VTMF-24690472</v>
      </c>
      <c r="G1238" s="3" t="inlineStr">
        <is>
          <t/>
        </is>
      </c>
      <c r="H1238" s="3" t="inlineStr">
        <is>
          <t>System</t>
        </is>
      </c>
      <c r="I1238" s="3" t="inlineStr">
        <is>
          <t>DrugDev API Account</t>
        </is>
      </c>
      <c r="J1238" s="4" t="n">
        <v>46009.78670138889</v>
      </c>
      <c r="K1238" s="5" t="n">
        <v>46010.0</v>
      </c>
      <c r="L1238" s="5" t="n">
        <v>45824.0</v>
      </c>
      <c r="M1238" s="3" t="inlineStr">
        <is>
          <t>Approved</t>
        </is>
      </c>
      <c r="N1238" s="3" t="inlineStr">
        <is>
          <t>Country Close, Site Close, Study Close</t>
        </is>
      </c>
      <c r="O1238" s="3" t="inlineStr">
        <is>
          <t>42847922MDD3003</t>
        </is>
      </c>
    </row>
    <row r="1239">
      <c r="A1239" s="2" t="str">
        <f>HYPERLINK("https://vtmf.veevavault.com/ui/#doc_info/30641142/1/0", "42847922MDD3003---Relevant Communications-16 Jun 2025 (v1.0)")</f>
        <v>42847922MDD3003---Relevant Communications-16 Jun 2025 (v1.0)</v>
      </c>
      <c r="B1239" s="3" t="inlineStr">
        <is>
          <t>Trial Management</t>
        </is>
      </c>
      <c r="C1239" s="3" t="inlineStr">
        <is>
          <t>General</t>
        </is>
      </c>
      <c r="D1239" s="3" t="inlineStr">
        <is>
          <t>Relevant Communications</t>
        </is>
      </c>
      <c r="E1239" s="3" t="inlineStr">
        <is>
          <t>News Post-OARS-7: Dreem/CSD Devices Dispensing - Unscheduled Visit Can Be Used-16 Jun 2025</t>
        </is>
      </c>
      <c r="F1239" s="2" t="str">
        <f>HYPERLINK("https://vtmf.veevavault.com/ui/#doc_info/30641142/1/0", "VTMF-24690474")</f>
        <v>VTMF-24690474</v>
      </c>
      <c r="G1239" s="3" t="inlineStr">
        <is>
          <t/>
        </is>
      </c>
      <c r="H1239" s="3" t="inlineStr">
        <is>
          <t>System</t>
        </is>
      </c>
      <c r="I1239" s="3" t="inlineStr">
        <is>
          <t>DrugDev API Account</t>
        </is>
      </c>
      <c r="J1239" s="4" t="n">
        <v>46009.78670138889</v>
      </c>
      <c r="K1239" s="5" t="n">
        <v>46010.0</v>
      </c>
      <c r="L1239" s="5" t="n">
        <v>45824.0</v>
      </c>
      <c r="M1239" s="3" t="inlineStr">
        <is>
          <t>Approved</t>
        </is>
      </c>
      <c r="N1239" s="3" t="inlineStr">
        <is>
          <t>Country Close, Site Close, Study Close</t>
        </is>
      </c>
      <c r="O1239" s="3" t="inlineStr">
        <is>
          <t>42847922MDD3003</t>
        </is>
      </c>
    </row>
    <row r="1240">
      <c r="A1240" s="2" t="str">
        <f>HYPERLINK("https://vtmf.veevavault.com/ui/#doc_info/29963862/1/0", "42847922MDD3003---Relevant Communications-16 Sep 2025 (v1.0)")</f>
        <v>42847922MDD3003---Relevant Communications-16 Sep 2025 (v1.0)</v>
      </c>
      <c r="B1240" s="3" t="inlineStr">
        <is>
          <t>Trial Management</t>
        </is>
      </c>
      <c r="C1240" s="3" t="inlineStr">
        <is>
          <t>General</t>
        </is>
      </c>
      <c r="D1240" s="3" t="inlineStr">
        <is>
          <t>Relevant Communications</t>
        </is>
      </c>
      <c r="E1240" s="3" t="inlineStr">
        <is>
          <t>J&amp;JIM Congress Hub at Psych Congress 2025 Message to MDD3003 Investigators who overlap with MDD3001 &amp; MDD3005</t>
        </is>
      </c>
      <c r="F1240" s="2" t="str">
        <f>HYPERLINK("https://vtmf.veevavault.com/ui/#doc_info/29963862/1/0", "VTMF-24122064")</f>
        <v>VTMF-24122064</v>
      </c>
      <c r="G1240" s="3" t="inlineStr">
        <is>
          <t/>
        </is>
      </c>
      <c r="H1240" s="3" t="inlineStr">
        <is>
          <t>System</t>
        </is>
      </c>
      <c r="I1240" s="3" t="inlineStr">
        <is>
          <t>Arlean Worthy</t>
        </is>
      </c>
      <c r="J1240" s="4" t="n">
        <v>45917.001608796294</v>
      </c>
      <c r="K1240" s="5" t="n">
        <v>45916.0</v>
      </c>
      <c r="L1240" s="5" t="n">
        <v>45916.0</v>
      </c>
      <c r="M1240" s="3" t="inlineStr">
        <is>
          <t>Approved</t>
        </is>
      </c>
      <c r="N1240" s="3" t="inlineStr">
        <is>
          <t>Country Close, Site Close, Study Close</t>
        </is>
      </c>
      <c r="O1240" s="3" t="inlineStr">
        <is>
          <t>42847922MDD3003</t>
        </is>
      </c>
    </row>
    <row r="1241">
      <c r="A1241" s="2" t="str">
        <f>HYPERLINK("https://vtmf.veevavault.com/ui/#doc_info/31473374/1/0", "42847922MDD3003---Relevant Communications-17 Apr 2026 (v1.0)")</f>
        <v>42847922MDD3003---Relevant Communications-17 Apr 2026 (v1.0)</v>
      </c>
      <c r="B1241" s="3" t="inlineStr">
        <is>
          <t>Trial Management</t>
        </is>
      </c>
      <c r="C1241" s="3" t="inlineStr">
        <is>
          <t>General</t>
        </is>
      </c>
      <c r="D1241" s="3" t="inlineStr">
        <is>
          <t>Relevant Communications</t>
        </is>
      </c>
      <c r="E1241" s="3" t="inlineStr">
        <is>
          <t>42847922MDD3003 - Important: Use of Public Beacon App for DREEM Recordings</t>
        </is>
      </c>
      <c r="F1241" s="2" t="str">
        <f>HYPERLINK("https://vtmf.veevavault.com/ui/#doc_info/31473374/1/0", "VTMF-25396470")</f>
        <v>VTMF-25396470</v>
      </c>
      <c r="G1241" s="3" t="inlineStr">
        <is>
          <t/>
        </is>
      </c>
      <c r="H1241" s="3" t="inlineStr">
        <is>
          <t>System</t>
        </is>
      </c>
      <c r="I1241" s="3" t="inlineStr">
        <is>
          <t>Arlean Worthy</t>
        </is>
      </c>
      <c r="J1241" s="4" t="n">
        <v>46129.173784722225</v>
      </c>
      <c r="K1241" s="5" t="n">
        <v>46128.0</v>
      </c>
      <c r="L1241" s="5" t="n">
        <v>46129.0</v>
      </c>
      <c r="M1241" s="3" t="inlineStr">
        <is>
          <t>Approved</t>
        </is>
      </c>
      <c r="N1241" s="3" t="inlineStr">
        <is>
          <t>Country Close, Site Close, Study Close</t>
        </is>
      </c>
      <c r="O1241" s="3" t="inlineStr">
        <is>
          <t>42847922MDD3003</t>
        </is>
      </c>
    </row>
    <row r="1242">
      <c r="A1242" s="2" t="str">
        <f>HYPERLINK("https://vtmf.veevavault.com/ui/#doc_info/30639933/1/0", "42847922MDD3003---Relevant Communications-17 Dec 2024 (v1.0)")</f>
        <v>42847922MDD3003---Relevant Communications-17 Dec 2024 (v1.0)</v>
      </c>
      <c r="B1242" s="3" t="inlineStr">
        <is>
          <t>Trial Management</t>
        </is>
      </c>
      <c r="C1242" s="3" t="inlineStr">
        <is>
          <t>General</t>
        </is>
      </c>
      <c r="D1242" s="3" t="inlineStr">
        <is>
          <t>Relevant Communications</t>
        </is>
      </c>
      <c r="E1242" s="3" t="inlineStr">
        <is>
          <t>News Post-OARS-7: Labcorp Memo - Part 2 OL Kit Update-17 Dec 2024</t>
        </is>
      </c>
      <c r="F1242" s="2" t="str">
        <f>HYPERLINK("https://vtmf.veevavault.com/ui/#doc_info/30639933/1/0", "VTMF-24689458")</f>
        <v>VTMF-24689458</v>
      </c>
      <c r="G1242" s="3" t="inlineStr">
        <is>
          <t/>
        </is>
      </c>
      <c r="H1242" s="3" t="inlineStr">
        <is>
          <t>System</t>
        </is>
      </c>
      <c r="I1242" s="3" t="inlineStr">
        <is>
          <t>DrugDev API Account</t>
        </is>
      </c>
      <c r="J1242" s="4" t="n">
        <v>46009.72644675926</v>
      </c>
      <c r="K1242" s="5" t="n">
        <v>46010.0</v>
      </c>
      <c r="L1242" s="5" t="n">
        <v>45643.0</v>
      </c>
      <c r="M1242" s="3" t="inlineStr">
        <is>
          <t>Approved</t>
        </is>
      </c>
      <c r="N1242" s="3" t="inlineStr">
        <is>
          <t>Country Close, Site Close, Study Close</t>
        </is>
      </c>
      <c r="O1242" s="3" t="inlineStr">
        <is>
          <t>42847922MDD3003</t>
        </is>
      </c>
    </row>
    <row r="1243">
      <c r="A1243" s="2" t="str">
        <f>HYPERLINK("https://vtmf.veevavault.com/ui/#doc_info/31004709/1/0", "42847922MDD3003---Relevant Communications-17 Feb 2026 (v1.0)")</f>
        <v>42847922MDD3003---Relevant Communications-17 Feb 2026 (v1.0)</v>
      </c>
      <c r="B1243" s="3" t="inlineStr">
        <is>
          <t>Trial Management</t>
        </is>
      </c>
      <c r="C1243" s="3" t="inlineStr">
        <is>
          <t>General</t>
        </is>
      </c>
      <c r="D1243" s="3" t="inlineStr">
        <is>
          <t>Relevant Communications</t>
        </is>
      </c>
      <c r="E1243" s="3" t="inlineStr">
        <is>
          <t>Part 2 Direct entry_site continue</t>
        </is>
      </c>
      <c r="F1243" s="2" t="str">
        <f>HYPERLINK("https://vtmf.veevavault.com/ui/#doc_info/31004709/1/0", "VTMF-24992420")</f>
        <v>VTMF-24992420</v>
      </c>
      <c r="G1243" s="3" t="inlineStr">
        <is>
          <t/>
        </is>
      </c>
      <c r="H1243" s="3" t="inlineStr">
        <is>
          <t>System</t>
        </is>
      </c>
      <c r="I1243" s="3" t="inlineStr">
        <is>
          <t>Gina Stefanelli</t>
        </is>
      </c>
      <c r="J1243" s="4" t="n">
        <v>46070.65969907407</v>
      </c>
      <c r="K1243" s="5" t="n">
        <v>46070.0</v>
      </c>
      <c r="L1243" s="5" t="n">
        <v>46070.0</v>
      </c>
      <c r="M1243" s="3" t="inlineStr">
        <is>
          <t>Approved</t>
        </is>
      </c>
      <c r="N1243" s="3" t="inlineStr">
        <is>
          <t>Country Close, Site Close, Study Close</t>
        </is>
      </c>
      <c r="O1243" s="3" t="inlineStr">
        <is>
          <t>42847922MDD3003</t>
        </is>
      </c>
    </row>
    <row r="1244">
      <c r="A1244" s="2" t="str">
        <f>HYPERLINK("https://vtmf.veevavault.com/ui/#doc_info/31004716/1/0", "42847922MDD3003---Relevant Communications-17 Feb 2026 (v1.0)")</f>
        <v>42847922MDD3003---Relevant Communications-17 Feb 2026 (v1.0)</v>
      </c>
      <c r="B1244" s="3" t="inlineStr">
        <is>
          <t>Trial Management</t>
        </is>
      </c>
      <c r="C1244" s="3" t="inlineStr">
        <is>
          <t>General</t>
        </is>
      </c>
      <c r="D1244" s="3" t="inlineStr">
        <is>
          <t>Relevant Communications</t>
        </is>
      </c>
      <c r="E1244" s="3" t="inlineStr">
        <is>
          <t>Part 2 Direct entry_sites not continuing</t>
        </is>
      </c>
      <c r="F1244" s="2" t="str">
        <f>HYPERLINK("https://vtmf.veevavault.com/ui/#doc_info/31004716/1/0", "VTMF-24992433")</f>
        <v>VTMF-24992433</v>
      </c>
      <c r="G1244" s="3" t="inlineStr">
        <is>
          <t/>
        </is>
      </c>
      <c r="H1244" s="3" t="inlineStr">
        <is>
          <t>System</t>
        </is>
      </c>
      <c r="I1244" s="3" t="inlineStr">
        <is>
          <t>Gina Stefanelli</t>
        </is>
      </c>
      <c r="J1244" s="4" t="n">
        <v>46070.661157407405</v>
      </c>
      <c r="K1244" s="5" t="n">
        <v>46070.0</v>
      </c>
      <c r="L1244" s="5" t="n">
        <v>46070.0</v>
      </c>
      <c r="M1244" s="3" t="inlineStr">
        <is>
          <t>Approved</t>
        </is>
      </c>
      <c r="N1244" s="3" t="inlineStr">
        <is>
          <t>Country Close, Site Close, Study Close</t>
        </is>
      </c>
      <c r="O1244" s="3" t="inlineStr">
        <is>
          <t>42847922MDD3003</t>
        </is>
      </c>
    </row>
    <row r="1245">
      <c r="A1245" s="2" t="str">
        <f>HYPERLINK("https://vtmf.veevavault.com/ui/#doc_info/28142168/1/0", "42847922MDD3003---Relevant Communications-17 Jan 2025 (v1.0)")</f>
        <v>42847922MDD3003---Relevant Communications-17 Jan 2025 (v1.0)</v>
      </c>
      <c r="B1245" s="3" t="inlineStr">
        <is>
          <t>Trial Management</t>
        </is>
      </c>
      <c r="C1245" s="3" t="inlineStr">
        <is>
          <t>General</t>
        </is>
      </c>
      <c r="D1245" s="3" t="inlineStr">
        <is>
          <t>Relevant Communications</t>
        </is>
      </c>
      <c r="E1245" s="3" t="inlineStr">
        <is>
          <t>News Post, OARS-7: European Investigator Meeting Postponed-17 Jan 2025</t>
        </is>
      </c>
      <c r="F1245" s="2" t="str">
        <f>HYPERLINK("https://vtmf.veevavault.com/ui/#doc_info/28142168/1/0", "VTMF-22570605")</f>
        <v>VTMF-22570605</v>
      </c>
      <c r="G1245" s="3" t="inlineStr">
        <is>
          <t/>
        </is>
      </c>
      <c r="H1245" s="3" t="inlineStr">
        <is>
          <t>Anthony Suarez (veeva.com)</t>
        </is>
      </c>
      <c r="I1245" s="3" t="inlineStr">
        <is>
          <t>DrugDev API Account</t>
        </is>
      </c>
      <c r="J1245" s="4" t="n">
        <v>45680.85486111111</v>
      </c>
      <c r="K1245" s="5" t="n">
        <v>45681.0</v>
      </c>
      <c r="L1245" s="5" t="n">
        <v>45674.0</v>
      </c>
      <c r="M1245" s="3" t="inlineStr">
        <is>
          <t>Approved</t>
        </is>
      </c>
      <c r="N1245" s="3" t="inlineStr">
        <is>
          <t>Country Close, Site Close, Study Close</t>
        </is>
      </c>
      <c r="O1245" s="3" t="inlineStr">
        <is>
          <t>42847922MDD3003</t>
        </is>
      </c>
    </row>
    <row r="1246">
      <c r="A1246" s="2" t="str">
        <f>HYPERLINK("https://vtmf.veevavault.com/ui/#doc_info/30397092/1/0", "42847922MDD3003---Relevant Communications-17 Nov 2025 (v1.0)")</f>
        <v>42847922MDD3003---Relevant Communications-17 Nov 2025 (v1.0)</v>
      </c>
      <c r="B1246" s="3" t="inlineStr">
        <is>
          <t>Trial Management</t>
        </is>
      </c>
      <c r="C1246" s="3" t="inlineStr">
        <is>
          <t>General</t>
        </is>
      </c>
      <c r="D1246" s="3" t="inlineStr">
        <is>
          <t>Relevant Communications</t>
        </is>
      </c>
      <c r="E1246" s="3" t="inlineStr">
        <is>
          <t>Cronos Escalated Trainings</t>
        </is>
      </c>
      <c r="F1246" s="2" t="str">
        <f>HYPERLINK("https://vtmf.veevavault.com/ui/#doc_info/30397092/1/0", "VTMF-24484090")</f>
        <v>VTMF-24484090</v>
      </c>
      <c r="G1246" s="3" t="inlineStr">
        <is>
          <t/>
        </is>
      </c>
      <c r="H1246" s="3" t="inlineStr">
        <is>
          <t>Gina Stefanelli</t>
        </is>
      </c>
      <c r="I1246" s="3" t="inlineStr">
        <is>
          <t>Gina Stefanelli</t>
        </is>
      </c>
      <c r="J1246" s="4" t="n">
        <v>45978.61314814815</v>
      </c>
      <c r="K1246" s="5" t="n">
        <v>45978.0</v>
      </c>
      <c r="L1246" s="5" t="n">
        <v>45978.0</v>
      </c>
      <c r="M1246" s="3" t="inlineStr">
        <is>
          <t>Approved</t>
        </is>
      </c>
      <c r="N1246" s="3" t="inlineStr">
        <is>
          <t>Country Close, Site Close, Study Close</t>
        </is>
      </c>
      <c r="O1246" s="3" t="inlineStr">
        <is>
          <t>42847922MDD3003</t>
        </is>
      </c>
    </row>
    <row r="1247">
      <c r="A1247" s="2" t="str">
        <f>HYPERLINK("https://vtmf.veevavault.com/ui/#doc_info/26157876/1/0", "42847922MDD3003---Relevant Communications-18 Apr 2024 (v1.0)")</f>
        <v>42847922MDD3003---Relevant Communications-18 Apr 2024 (v1.0)</v>
      </c>
      <c r="B1247" s="3" t="inlineStr">
        <is>
          <t>Third Parties</t>
        </is>
      </c>
      <c r="C1247" s="3" t="inlineStr">
        <is>
          <t>General</t>
        </is>
      </c>
      <c r="D1247" s="3" t="inlineStr">
        <is>
          <t>Relevant Communications</t>
        </is>
      </c>
      <c r="E1247" s="3" t="inlineStr">
        <is>
          <t>Clario ECG Specification Sheet_ Revision 9</t>
        </is>
      </c>
      <c r="F1247" s="2" t="str">
        <f>HYPERLINK("https://vtmf.veevavault.com/ui/#doc_info/26157876/1/0", "VTMF-20919282")</f>
        <v>VTMF-20919282</v>
      </c>
      <c r="G1247" s="3" t="inlineStr">
        <is>
          <t/>
        </is>
      </c>
      <c r="H1247" s="3" t="inlineStr">
        <is>
          <t>Anthony Suarez (veeva.com)</t>
        </is>
      </c>
      <c r="I1247" s="3" t="inlineStr">
        <is>
          <t>Annalise Vujcich</t>
        </is>
      </c>
      <c r="J1247" s="4" t="n">
        <v>45400.4784375</v>
      </c>
      <c r="K1247" s="5" t="n">
        <v>45400.0</v>
      </c>
      <c r="L1247" s="5" t="n">
        <v>45400.0</v>
      </c>
      <c r="M1247" s="3" t="inlineStr">
        <is>
          <t>Approved</t>
        </is>
      </c>
      <c r="N1247" s="3" t="inlineStr">
        <is>
          <t>Country Close, Site Close, Study Close</t>
        </is>
      </c>
      <c r="O1247" s="3" t="inlineStr">
        <is>
          <t>42847922MDD3003, 67953964MDD3005, 67953964MDD3007</t>
        </is>
      </c>
    </row>
    <row r="1248">
      <c r="A1248" s="2" t="str">
        <f>HYPERLINK("https://vtmf.veevavault.com/ui/#doc_info/29784253/1/0", "42847922MDD3003---Relevant Communications-18 Aug 2025 (v1.0)")</f>
        <v>42847922MDD3003---Relevant Communications-18 Aug 2025 (v1.0)</v>
      </c>
      <c r="B1248" s="3" t="inlineStr">
        <is>
          <t>Third Parties</t>
        </is>
      </c>
      <c r="C1248" s="3" t="inlineStr">
        <is>
          <t>General</t>
        </is>
      </c>
      <c r="D1248" s="3" t="inlineStr">
        <is>
          <t>Relevant Communications</t>
        </is>
      </c>
      <c r="E1248" s="3" t="inlineStr">
        <is>
          <t>Note to file_Particpants ID Correction</t>
        </is>
      </c>
      <c r="F1248" s="2" t="str">
        <f>HYPERLINK("https://vtmf.veevavault.com/ui/#doc_info/29784253/1/0", "VTMF-23968280")</f>
        <v>VTMF-23968280</v>
      </c>
      <c r="G1248" s="3" t="inlineStr">
        <is>
          <t/>
        </is>
      </c>
      <c r="H1248" s="3" t="inlineStr">
        <is>
          <t>System</t>
        </is>
      </c>
      <c r="I1248" s="3" t="inlineStr">
        <is>
          <t>Debhora Garcia</t>
        </is>
      </c>
      <c r="J1248" s="4" t="n">
        <v>45887.903136574074</v>
      </c>
      <c r="K1248" s="5" t="n">
        <v>45887.0</v>
      </c>
      <c r="L1248" s="5" t="n">
        <v>45887.0</v>
      </c>
      <c r="M1248" s="3" t="inlineStr">
        <is>
          <t>Approved</t>
        </is>
      </c>
      <c r="N1248" s="3" t="inlineStr">
        <is>
          <t>Country Close, Site Close, Study Close</t>
        </is>
      </c>
      <c r="O1248" s="3" t="inlineStr">
        <is>
          <t>42847922MDD3003</t>
        </is>
      </c>
    </row>
    <row r="1249">
      <c r="A1249" s="2" t="str">
        <f>HYPERLINK("https://vtmf.veevavault.com/ui/#doc_info/27941475/1/0", "42847922MDD3003---Relevant Communications-18 Dec 2024 (v1.0)")</f>
        <v>42847922MDD3003---Relevant Communications-18 Dec 2024 (v1.0)</v>
      </c>
      <c r="B1249" s="3" t="inlineStr">
        <is>
          <t>Safety Reporting</t>
        </is>
      </c>
      <c r="C1249" s="3" t="inlineStr">
        <is>
          <t>General</t>
        </is>
      </c>
      <c r="D1249" s="3" t="inlineStr">
        <is>
          <t>Relevant Communications</t>
        </is>
      </c>
      <c r="E1249" s="3" t="inlineStr">
        <is>
          <t>SSR_seltorexant_Blinded_05May2024-04Nov2024 - Notification to Study Level user</t>
        </is>
      </c>
      <c r="F1249" s="2" t="str">
        <f>HYPERLINK("https://vtmf.veevavault.com/ui/#doc_info/27941475/1/0", "VTMF-22402169")</f>
        <v>VTMF-22402169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45645.337800925925</v>
      </c>
      <c r="K1249" s="5" t="n">
        <v>45644.0</v>
      </c>
      <c r="L1249" s="5" t="n">
        <v>45644.0</v>
      </c>
      <c r="M1249" s="3" t="inlineStr">
        <is>
          <t>Approved</t>
        </is>
      </c>
      <c r="N1249" s="3" t="inlineStr">
        <is>
          <t>Country Close, Site Close, Study Close</t>
        </is>
      </c>
      <c r="O1249" s="3" t="inlineStr">
        <is>
          <t>42847922MDD3003</t>
        </is>
      </c>
    </row>
    <row r="1250">
      <c r="A1250" s="2" t="str">
        <f>HYPERLINK("https://vtmf.veevavault.com/ui/#doc_info/28587817/1/0", "42847922MDD3003---Relevant Communications-18 Feb 2025 (v1.0)")</f>
        <v>42847922MDD3003---Relevant Communications-18 Feb 2025 (v1.0)</v>
      </c>
      <c r="B1250" s="3" t="inlineStr">
        <is>
          <t>Site Management</t>
        </is>
      </c>
      <c r="C1250" s="3" t="inlineStr">
        <is>
          <t>General</t>
        </is>
      </c>
      <c r="D1250" s="3" t="inlineStr">
        <is>
          <t>Relevant Communications</t>
        </is>
      </c>
      <c r="E1250" s="3" t="inlineStr">
        <is>
          <t>Email, URGENT RE_ Janssen 42847922MDD3003 _ S10-US10040 _ PI Rutrick _ US100400006 _ Continuation to Part 2.</t>
        </is>
      </c>
      <c r="F1250" s="2" t="str">
        <f>HYPERLINK("https://vtmf.veevavault.com/ui/#doc_info/28587817/1/0", "VTMF-22959156")</f>
        <v>VTMF-22959156</v>
      </c>
      <c r="G1250" s="3" t="inlineStr">
        <is>
          <t/>
        </is>
      </c>
      <c r="H1250" s="3" t="inlineStr">
        <is>
          <t>Anthony Suarez (veeva.com)</t>
        </is>
      </c>
      <c r="I1250" s="3" t="inlineStr">
        <is>
          <t>Gina Stefanelli</t>
        </is>
      </c>
      <c r="J1250" s="4" t="n">
        <v>45720.07957175926</v>
      </c>
      <c r="K1250" s="5" t="n">
        <v>45719.0</v>
      </c>
      <c r="L1250" s="5" t="n">
        <v>45706.0</v>
      </c>
      <c r="M1250" s="3" t="inlineStr">
        <is>
          <t>Approved</t>
        </is>
      </c>
      <c r="N1250" s="3" t="inlineStr">
        <is>
          <t>Available for Distribution, Country Close, Site Close, Study Close</t>
        </is>
      </c>
      <c r="O1250" s="3" t="inlineStr">
        <is>
          <t>42847922MDD3003</t>
        </is>
      </c>
    </row>
    <row r="1251">
      <c r="A1251" s="2" t="str">
        <f>HYPERLINK("https://vtmf.veevavault.com/ui/#doc_info/26733418/2/0", "42847922MDD3003---Relevant Communications-18 Jul 2024 (v2.0)")</f>
        <v>42847922MDD3003---Relevant Communications-18 Jul 2024 (v2.0)</v>
      </c>
      <c r="B1251" s="3" t="inlineStr">
        <is>
          <t>Trial Management</t>
        </is>
      </c>
      <c r="C1251" s="3" t="inlineStr">
        <is>
          <t>General</t>
        </is>
      </c>
      <c r="D1251" s="3" t="inlineStr">
        <is>
          <t>Relevant Communications</t>
        </is>
      </c>
      <c r="E1251" s="3" t="inlineStr">
        <is>
          <t>MDD3003_Overlapping sites_communication to local teams</t>
        </is>
      </c>
      <c r="F1251" s="2" t="str">
        <f>HYPERLINK("https://vtmf.veevavault.com/ui/#doc_info/26733418/2/0", "VTMF-21421791")</f>
        <v>VTMF-21421791</v>
      </c>
      <c r="G1251" s="3" t="inlineStr">
        <is>
          <t/>
        </is>
      </c>
      <c r="H1251" s="3" t="inlineStr">
        <is>
          <t>Anthony Suarez (veeva.com)</t>
        </is>
      </c>
      <c r="I1251" s="3" t="inlineStr">
        <is>
          <t>Debhora Garcia</t>
        </is>
      </c>
      <c r="J1251" s="4" t="n">
        <v>45884.01415509259</v>
      </c>
      <c r="K1251" s="5" t="n">
        <v>45883.0</v>
      </c>
      <c r="L1251" s="5" t="n">
        <v>45491.0</v>
      </c>
      <c r="M1251" s="3" t="inlineStr">
        <is>
          <t>Approved</t>
        </is>
      </c>
      <c r="N1251" s="3" t="inlineStr">
        <is>
          <t>Country Close, Site Close, Study Close</t>
        </is>
      </c>
      <c r="O1251" s="3" t="inlineStr">
        <is>
          <t>42847922MDD3003</t>
        </is>
      </c>
    </row>
    <row r="1252">
      <c r="A1252" s="2" t="str">
        <f>HYPERLINK("https://vtmf.veevavault.com/ui/#doc_info/31215675/1/0", "42847922MDD3003---Relevant Communications-18 Mar 2026 (v1.0)")</f>
        <v>42847922MDD3003---Relevant Communications-18 Mar 2026 (v1.0)</v>
      </c>
      <c r="B1252" s="3" t="inlineStr">
        <is>
          <t>Trial Management</t>
        </is>
      </c>
      <c r="C1252" s="3" t="inlineStr">
        <is>
          <t>General</t>
        </is>
      </c>
      <c r="D1252" s="3" t="inlineStr">
        <is>
          <t>Relevant Communications</t>
        </is>
      </c>
      <c r="E1252" s="3" t="inlineStr">
        <is>
          <t>News Post-EIP (IQVIA ISP/DrugDev) &amp; LMS Transition-18 Mar 2026</t>
        </is>
      </c>
      <c r="F1252" s="2" t="str">
        <f>HYPERLINK("https://vtmf.veevavault.com/ui/#doc_info/31215675/1/0", "VTMF-25170722")</f>
        <v>VTMF-25170722</v>
      </c>
      <c r="G1252" s="3" t="inlineStr">
        <is>
          <t/>
        </is>
      </c>
      <c r="H1252" s="3" t="inlineStr">
        <is>
          <t>System</t>
        </is>
      </c>
      <c r="I1252" s="3" t="inlineStr">
        <is>
          <t>DrugDev API Account</t>
        </is>
      </c>
      <c r="J1252" s="4" t="n">
        <v>46100.89665509259</v>
      </c>
      <c r="K1252" s="5" t="n">
        <v>46108.0</v>
      </c>
      <c r="L1252" s="5" t="n">
        <v>46099.0</v>
      </c>
      <c r="M1252" s="3" t="inlineStr">
        <is>
          <t>Approved</t>
        </is>
      </c>
      <c r="N1252" s="3" t="inlineStr">
        <is>
          <t>Country Close, Site Close, Study Close</t>
        </is>
      </c>
      <c r="O1252" s="3" t="inlineStr">
        <is>
          <t>42847922MDD3003</t>
        </is>
      </c>
    </row>
    <row r="1253">
      <c r="A1253" s="2" t="str">
        <f>HYPERLINK("https://vtmf.veevavault.com/ui/#doc_info/27992671/1/0", "42847922MDD3003---Relevant Communications-18 Oct 2024 (v1.0)")</f>
        <v>42847922MDD3003---Relevant Communications-18 Oct 2024 (v1.0)</v>
      </c>
      <c r="B1253" s="3" t="inlineStr">
        <is>
          <t>Central Trial Documents</t>
        </is>
      </c>
      <c r="C1253" s="3" t="inlineStr">
        <is>
          <t>General</t>
        </is>
      </c>
      <c r="D1253" s="3" t="inlineStr">
        <is>
          <t>Relevant Communications</t>
        </is>
      </c>
      <c r="E1253" s="3" t="inlineStr">
        <is>
          <t>Email, Janssen Seltorexant MDD3003 exclusion criteria question</t>
        </is>
      </c>
      <c r="F1253" s="2" t="str">
        <f>HYPERLINK("https://vtmf.veevavault.com/ui/#doc_info/27992671/1/0", "VTMF-22446140")</f>
        <v>VTMF-22446140</v>
      </c>
      <c r="G1253" s="3" t="inlineStr">
        <is>
          <t/>
        </is>
      </c>
      <c r="H1253" s="3" t="inlineStr">
        <is>
          <t>Anthony Suarez (veeva.com)</t>
        </is>
      </c>
      <c r="I1253" s="3" t="inlineStr">
        <is>
          <t>Gina Stefanelli</t>
        </is>
      </c>
      <c r="J1253" s="4" t="n">
        <v>45656.70365740741</v>
      </c>
      <c r="K1253" s="5" t="n">
        <v>45656.0</v>
      </c>
      <c r="L1253" s="5" t="n">
        <v>45583.0</v>
      </c>
      <c r="M1253" s="3" t="inlineStr">
        <is>
          <t>Approved</t>
        </is>
      </c>
      <c r="N1253" s="3" t="inlineStr">
        <is>
          <t>Country Close, Site Close, Study Close</t>
        </is>
      </c>
      <c r="O1253" s="3" t="inlineStr">
        <is>
          <t>42847922MDD3003</t>
        </is>
      </c>
    </row>
    <row r="1254">
      <c r="A1254" s="2" t="str">
        <f>HYPERLINK("https://vtmf.veevavault.com/ui/#doc_info/29981838/1/0", "42847922MDD3003---Relevant Communications-18 Sep 2025 (v1.0)")</f>
        <v>42847922MDD3003---Relevant Communications-18 Sep 2025 (v1.0)</v>
      </c>
      <c r="B1254" s="3" t="inlineStr">
        <is>
          <t>Third Parties</t>
        </is>
      </c>
      <c r="C1254" s="3" t="inlineStr">
        <is>
          <t>General</t>
        </is>
      </c>
      <c r="D1254" s="3" t="inlineStr">
        <is>
          <t>Relevant Communications</t>
        </is>
      </c>
      <c r="E1254" s="3" t="inlineStr">
        <is>
          <t>Labcorp Hemoglobin A1c assay update on or after 10Nov25.</t>
        </is>
      </c>
      <c r="F1254" s="2" t="str">
        <f>HYPERLINK("https://vtmf.veevavault.com/ui/#doc_info/29981838/1/0", "VTMF-24137490")</f>
        <v>VTMF-24137490</v>
      </c>
      <c r="G1254" s="3" t="inlineStr">
        <is>
          <t/>
        </is>
      </c>
      <c r="H1254" s="3" t="inlineStr">
        <is>
          <t>System</t>
        </is>
      </c>
      <c r="I1254" s="3" t="inlineStr">
        <is>
          <t>Gina Stefanelli</t>
        </is>
      </c>
      <c r="J1254" s="4" t="n">
        <v>45919.0466087963</v>
      </c>
      <c r="K1254" s="5" t="n">
        <v>45918.0</v>
      </c>
      <c r="L1254" s="5" t="n">
        <v>45918.0</v>
      </c>
      <c r="M1254" s="3" t="inlineStr">
        <is>
          <t>Approved</t>
        </is>
      </c>
      <c r="N1254" s="3" t="inlineStr">
        <is>
          <t>Country Close, Site Close, Study Close</t>
        </is>
      </c>
      <c r="O1254" s="3" t="inlineStr">
        <is>
          <t>42847922MDD3003</t>
        </is>
      </c>
    </row>
    <row r="1255">
      <c r="A1255" s="2" t="str">
        <f>HYPERLINK("https://vtmf.veevavault.com/ui/#doc_info/27992199/1/0", "42847922MDD3003---Relevant Communications-19 Dec 2024 (v1.0)")</f>
        <v>42847922MDD3003---Relevant Communications-19 Dec 2024 (v1.0)</v>
      </c>
      <c r="B1255" s="3" t="inlineStr">
        <is>
          <t>Trial Management</t>
        </is>
      </c>
      <c r="C1255" s="3" t="inlineStr">
        <is>
          <t>General</t>
        </is>
      </c>
      <c r="D1255" s="3" t="inlineStr">
        <is>
          <t>Relevant Communications</t>
        </is>
      </c>
      <c r="E1255" s="3" t="inlineStr">
        <is>
          <t>Email, CRONOS_ Rater qualification internal quality control findings.</t>
        </is>
      </c>
      <c r="F1255" s="2" t="str">
        <f>HYPERLINK("https://vtmf.veevavault.com/ui/#doc_info/27992199/1/0", "VTMF-22445826")</f>
        <v>VTMF-22445826</v>
      </c>
      <c r="G1255" s="3" t="inlineStr">
        <is>
          <t/>
        </is>
      </c>
      <c r="H1255" s="3" t="inlineStr">
        <is>
          <t>Anthony Suarez (veeva.com)</t>
        </is>
      </c>
      <c r="I1255" s="3" t="inlineStr">
        <is>
          <t>Gina Stefanelli</t>
        </is>
      </c>
      <c r="J1255" s="4" t="n">
        <v>45656.6493287037</v>
      </c>
      <c r="K1255" s="5" t="n">
        <v>45656.0</v>
      </c>
      <c r="L1255" s="5" t="n">
        <v>45645.0</v>
      </c>
      <c r="M1255" s="3" t="inlineStr">
        <is>
          <t>Approved</t>
        </is>
      </c>
      <c r="N1255" s="3" t="inlineStr">
        <is>
          <t>Country Close, Site Close, Study Close</t>
        </is>
      </c>
      <c r="O1255" s="3" t="inlineStr">
        <is>
          <t>42847922MDD3003</t>
        </is>
      </c>
    </row>
    <row r="1256">
      <c r="A1256" s="2" t="str">
        <f>HYPERLINK("https://vtmf.veevavault.com/ui/#doc_info/30679174/1/0", "42847922MDD3003---Relevant Communications-19 Dec 2025 (v1.0)")</f>
        <v>42847922MDD3003---Relevant Communications-19 Dec 2025 (v1.0)</v>
      </c>
      <c r="B1256" s="3" t="inlineStr">
        <is>
          <t>Trial Management</t>
        </is>
      </c>
      <c r="C1256" s="3" t="inlineStr">
        <is>
          <t>General</t>
        </is>
      </c>
      <c r="D1256" s="3" t="inlineStr">
        <is>
          <t>Relevant Communications</t>
        </is>
      </c>
      <c r="E1256" s="3" t="inlineStr">
        <is>
          <t>News Post-OARS-7: End of Year Message-19 Dec 2025</t>
        </is>
      </c>
      <c r="F1256" s="2" t="str">
        <f>HYPERLINK("https://vtmf.veevavault.com/ui/#doc_info/30679174/1/0", "VTMF-24722353")</f>
        <v>VTMF-24722353</v>
      </c>
      <c r="G1256" s="3" t="inlineStr">
        <is>
          <t/>
        </is>
      </c>
      <c r="H1256" s="3" t="inlineStr">
        <is>
          <t>System</t>
        </is>
      </c>
      <c r="I1256" s="3" t="inlineStr">
        <is>
          <t>DrugDev API Account</t>
        </is>
      </c>
      <c r="J1256" s="4" t="n">
        <v>46016.89634259259</v>
      </c>
      <c r="K1256" s="5" t="n">
        <v>46017.0</v>
      </c>
      <c r="L1256" s="5" t="n">
        <v>46010.0</v>
      </c>
      <c r="M1256" s="3" t="inlineStr">
        <is>
          <t>Approved</t>
        </is>
      </c>
      <c r="N1256" s="3" t="inlineStr">
        <is>
          <t>Country Close, Site Close, Study Close</t>
        </is>
      </c>
      <c r="O1256" s="3" t="inlineStr">
        <is>
          <t>42847922MDD3003</t>
        </is>
      </c>
    </row>
    <row r="1257">
      <c r="A1257" s="2" t="str">
        <f>HYPERLINK("https://vtmf.veevavault.com/ui/#doc_info/30640056/1/0", "42847922MDD3003---Relevant Communications-19 Feb 2025 (v1.0)")</f>
        <v>42847922MDD3003---Relevant Communications-19 Feb 2025 (v1.0)</v>
      </c>
      <c r="B1257" s="3" t="inlineStr">
        <is>
          <t>Trial Management</t>
        </is>
      </c>
      <c r="C1257" s="3" t="inlineStr">
        <is>
          <t>General</t>
        </is>
      </c>
      <c r="D1257" s="3" t="inlineStr">
        <is>
          <t>Relevant Communications</t>
        </is>
      </c>
      <c r="E1257" s="3" t="inlineStr">
        <is>
          <t>News Post-OARS-7: Collection of Data for Patient Recruitment-19 Feb 2025</t>
        </is>
      </c>
      <c r="F1257" s="2" t="str">
        <f>HYPERLINK("https://vtmf.veevavault.com/ui/#doc_info/30640056/1/0", "VTMF-24689581")</f>
        <v>VTMF-24689581</v>
      </c>
      <c r="G1257" s="3" t="inlineStr">
        <is>
          <t/>
        </is>
      </c>
      <c r="H1257" s="3" t="inlineStr">
        <is>
          <t>System</t>
        </is>
      </c>
      <c r="I1257" s="3" t="inlineStr">
        <is>
          <t>DrugDev API Account</t>
        </is>
      </c>
      <c r="J1257" s="4" t="n">
        <v>46009.72644675926</v>
      </c>
      <c r="K1257" s="5" t="n">
        <v>46010.0</v>
      </c>
      <c r="L1257" s="5" t="n">
        <v>45707.0</v>
      </c>
      <c r="M1257" s="3" t="inlineStr">
        <is>
          <t>Approved</t>
        </is>
      </c>
      <c r="N1257" s="3" t="inlineStr">
        <is>
          <t>Country Close, Site Close, Study Close</t>
        </is>
      </c>
      <c r="O1257" s="3" t="inlineStr">
        <is>
          <t>42847922MDD3003</t>
        </is>
      </c>
    </row>
    <row r="1258">
      <c r="A1258" s="2" t="str">
        <f>HYPERLINK("https://vtmf.veevavault.com/ui/#doc_info/26937273/1/0", "42847922MDD3003---Relevant Communications-19 Jul 2024 (v1.0)")</f>
        <v>42847922MDD3003---Relevant Communications-19 Jul 2024 (v1.0)</v>
      </c>
      <c r="B1258" s="3" t="inlineStr">
        <is>
          <t>Third Parties</t>
        </is>
      </c>
      <c r="C1258" s="3" t="inlineStr">
        <is>
          <t>General</t>
        </is>
      </c>
      <c r="D1258" s="3" t="inlineStr">
        <is>
          <t>Relevant Communications</t>
        </is>
      </c>
      <c r="E1258" s="3" t="inlineStr">
        <is>
          <t>42847922MDD3003_BYOD Software Download Memo</t>
        </is>
      </c>
      <c r="F1258" s="2" t="str">
        <f>HYPERLINK("https://vtmf.veevavault.com/ui/#doc_info/26937273/1/0", "VTMF-21593347")</f>
        <v>VTMF-21593347</v>
      </c>
      <c r="G1258" s="3" t="inlineStr">
        <is>
          <t/>
        </is>
      </c>
      <c r="H1258" s="3" t="inlineStr">
        <is>
          <t>Anthony Suarez (veeva.com)</t>
        </is>
      </c>
      <c r="I1258" s="3" t="inlineStr">
        <is>
          <t>Debhora Garcia</t>
        </is>
      </c>
      <c r="J1258" s="4" t="n">
        <v>45526.7590625</v>
      </c>
      <c r="K1258" s="5" t="n">
        <v>45526.0</v>
      </c>
      <c r="L1258" s="5" t="n">
        <v>45492.0</v>
      </c>
      <c r="M1258" s="3" t="inlineStr">
        <is>
          <t>Approved</t>
        </is>
      </c>
      <c r="N1258" s="3" t="inlineStr">
        <is>
          <t>Country Close, Site Close, Study Close</t>
        </is>
      </c>
      <c r="O1258" s="3" t="inlineStr">
        <is>
          <t>42847922MDD3003</t>
        </is>
      </c>
    </row>
    <row r="1259">
      <c r="A1259" s="2" t="str">
        <f>HYPERLINK("https://vtmf.veevavault.com/ui/#doc_info/25952879/1/0", "42847922MDD3003---Relevant Communications-19 Mar 2024 (v1.0)")</f>
        <v>42847922MDD3003---Relevant Communications-19 Mar 2024 (v1.0)</v>
      </c>
      <c r="B1259" s="3" t="inlineStr">
        <is>
          <t>Trial Management</t>
        </is>
      </c>
      <c r="C1259" s="3" t="inlineStr">
        <is>
          <t>General</t>
        </is>
      </c>
      <c r="D1259" s="3" t="inlineStr">
        <is>
          <t>Relevant Communications</t>
        </is>
      </c>
      <c r="E1259" s="3" t="inlineStr">
        <is>
          <t>42847922MDD3003_Plain Language Summary _Study in scope</t>
        </is>
      </c>
      <c r="F1259" s="2" t="str">
        <f>HYPERLINK("https://vtmf.veevavault.com/ui/#doc_info/25952879/1/0", "VTMF-20738132")</f>
        <v>VTMF-20738132</v>
      </c>
      <c r="G1259" s="3" t="inlineStr">
        <is>
          <t/>
        </is>
      </c>
      <c r="H1259" s="3" t="inlineStr">
        <is>
          <t>System</t>
        </is>
      </c>
      <c r="I1259" s="3" t="inlineStr">
        <is>
          <t>Jamie Hardy</t>
        </is>
      </c>
      <c r="J1259" s="4" t="n">
        <v>45370.57710648148</v>
      </c>
      <c r="K1259" s="5" t="n">
        <v>45370.0</v>
      </c>
      <c r="L1259" s="5" t="n">
        <v>45370.0</v>
      </c>
      <c r="M1259" s="3" t="inlineStr">
        <is>
          <t>Approved</t>
        </is>
      </c>
      <c r="N1259" s="3" t="inlineStr">
        <is>
          <t>Country Close, Site Close, Study Close</t>
        </is>
      </c>
      <c r="O1259" s="3" t="inlineStr">
        <is>
          <t>42847922MDD3003</t>
        </is>
      </c>
    </row>
    <row r="1260">
      <c r="A1260" s="2" t="str">
        <f>HYPERLINK("https://vtmf.veevavault.com/ui/#doc_info/30632544/1/0", "42847922MDD3003---Relevant Communications-19 Nov 2024 (v1.0)")</f>
        <v>42847922MDD3003---Relevant Communications-19 Nov 2024 (v1.0)</v>
      </c>
      <c r="B1260" s="3" t="inlineStr">
        <is>
          <t>Trial Management</t>
        </is>
      </c>
      <c r="C1260" s="3" t="inlineStr">
        <is>
          <t>General</t>
        </is>
      </c>
      <c r="D1260" s="3" t="inlineStr">
        <is>
          <t>Relevant Communications</t>
        </is>
      </c>
      <c r="E1260" s="3" t="inlineStr">
        <is>
          <t>News Post-Labcorp Kit Clarification for Part 2 Open Label BL-18 Nov 2024</t>
        </is>
      </c>
      <c r="F1260" s="2" t="str">
        <f>HYPERLINK("https://vtmf.veevavault.com/ui/#doc_info/30632544/1/0", "VTMF-24683292")</f>
        <v>VTMF-24683292</v>
      </c>
      <c r="G1260" s="3" t="inlineStr">
        <is>
          <t/>
        </is>
      </c>
      <c r="H1260" s="3" t="inlineStr">
        <is>
          <t>System</t>
        </is>
      </c>
      <c r="I1260" s="3" t="inlineStr">
        <is>
          <t>DrugDev API Account</t>
        </is>
      </c>
      <c r="J1260" s="4" t="n">
        <v>46009.16149305556</v>
      </c>
      <c r="K1260" s="5" t="n">
        <v>46010.0</v>
      </c>
      <c r="L1260" s="5" t="n">
        <v>45615.0</v>
      </c>
      <c r="M1260" s="3" t="inlineStr">
        <is>
          <t>Approved</t>
        </is>
      </c>
      <c r="N1260" s="3" t="inlineStr">
        <is>
          <t>Country Close, Site Close, Study Close</t>
        </is>
      </c>
      <c r="O1260" s="3" t="inlineStr">
        <is>
          <t>42847922MDD3003</t>
        </is>
      </c>
    </row>
    <row r="1261">
      <c r="A1261" s="2" t="str">
        <f>HYPERLINK("https://vtmf.veevavault.com/ui/#doc_info/29990665/1/0", "42847922MDD3003---Relevant Communications-19 Sep 2025 (v1.0)")</f>
        <v>42847922MDD3003---Relevant Communications-19 Sep 2025 (v1.0)</v>
      </c>
      <c r="B1261" s="3" t="inlineStr">
        <is>
          <t>Trial Management</t>
        </is>
      </c>
      <c r="C1261" s="3" t="inlineStr">
        <is>
          <t>General</t>
        </is>
      </c>
      <c r="D1261" s="3" t="inlineStr">
        <is>
          <t>Relevant Communications</t>
        </is>
      </c>
      <c r="E1261" s="3" t="inlineStr">
        <is>
          <t>42847922MDD3003_Beacon PAL ID Reminders to Sites</t>
        </is>
      </c>
      <c r="F1261" s="2" t="str">
        <f>HYPERLINK("https://vtmf.veevavault.com/ui/#doc_info/29990665/1/0", "VTMF-24145509")</f>
        <v>VTMF-24145509</v>
      </c>
      <c r="G1261" s="3" t="inlineStr">
        <is>
          <t/>
        </is>
      </c>
      <c r="H1261" s="3" t="inlineStr">
        <is>
          <t>System</t>
        </is>
      </c>
      <c r="I1261" s="3" t="inlineStr">
        <is>
          <t>Arlean Worthy</t>
        </is>
      </c>
      <c r="J1261" s="4" t="n">
        <v>45919.96909722222</v>
      </c>
      <c r="K1261" s="5" t="n">
        <v>45919.0</v>
      </c>
      <c r="L1261" s="5" t="n">
        <v>45919.0</v>
      </c>
      <c r="M1261" s="3" t="inlineStr">
        <is>
          <t>Approved</t>
        </is>
      </c>
      <c r="N1261" s="3" t="inlineStr">
        <is>
          <t>Country Close, Site Close, Study Close</t>
        </is>
      </c>
      <c r="O1261" s="3" t="inlineStr">
        <is>
          <t>42847922MDD3003</t>
        </is>
      </c>
    </row>
    <row r="1262">
      <c r="A1262" s="2" t="str">
        <f>HYPERLINK("https://vtmf.veevavault.com/ui/#doc_info/30032703/1/0", "42847922MDD3003---Relevant Communications-19 Sep 2025 (v1.0)")</f>
        <v>42847922MDD3003---Relevant Communications-19 Sep 2025 (v1.0)</v>
      </c>
      <c r="B1262" s="3" t="inlineStr">
        <is>
          <t>Trial Management</t>
        </is>
      </c>
      <c r="C1262" s="3" t="inlineStr">
        <is>
          <t>General</t>
        </is>
      </c>
      <c r="D1262" s="3" t="inlineStr">
        <is>
          <t>Relevant Communications</t>
        </is>
      </c>
      <c r="E1262" s="3" t="inlineStr">
        <is>
          <t>News Post-OARS-7:  Clarification for Relapse Scenarios -19 Sep 2025</t>
        </is>
      </c>
      <c r="F1262" s="2" t="str">
        <f>HYPERLINK("https://vtmf.veevavault.com/ui/#doc_info/30032703/1/0", "VTMF-24176819")</f>
        <v>VTMF-24176819</v>
      </c>
      <c r="G1262" s="3" t="inlineStr">
        <is>
          <t/>
        </is>
      </c>
      <c r="H1262" s="3" t="inlineStr">
        <is>
          <t>System</t>
        </is>
      </c>
      <c r="I1262" s="3" t="inlineStr">
        <is>
          <t>DrugDev API Account</t>
        </is>
      </c>
      <c r="J1262" s="4" t="n">
        <v>45925.8862037037</v>
      </c>
      <c r="K1262" s="5" t="n">
        <v>45926.0</v>
      </c>
      <c r="L1262" s="5" t="n">
        <v>45919.0</v>
      </c>
      <c r="M1262" s="3" t="inlineStr">
        <is>
          <t>Approved</t>
        </is>
      </c>
      <c r="N1262" s="3" t="inlineStr">
        <is>
          <t>Country Close, Site Close, Study Close</t>
        </is>
      </c>
      <c r="O1262" s="3" t="inlineStr">
        <is>
          <t>42847922MDD3003</t>
        </is>
      </c>
    </row>
    <row r="1263">
      <c r="A1263" s="2" t="str">
        <f>HYPERLINK("https://vtmf.veevavault.com/ui/#doc_info/27193793/1/0", "42847922MDD3003---Relevant Communications-20 Aug 2024 (v1.0)")</f>
        <v>42847922MDD3003---Relevant Communications-20 Aug 2024 (v1.0)</v>
      </c>
      <c r="B1263" s="3" t="inlineStr">
        <is>
          <t>Central Trial Documents</t>
        </is>
      </c>
      <c r="C1263" s="3" t="inlineStr">
        <is>
          <t>General</t>
        </is>
      </c>
      <c r="D1263" s="3" t="inlineStr">
        <is>
          <t>Relevant Communications</t>
        </is>
      </c>
      <c r="E1263" s="3" t="inlineStr">
        <is>
          <t>Email, US10106 PI Baber subject 10106-0003 SAFER 1 pass and clinical team update</t>
        </is>
      </c>
      <c r="F1263" s="2" t="str">
        <f>HYPERLINK("https://vtmf.veevavault.com/ui/#doc_info/27193793/1/0", "VTMF-21805205")</f>
        <v>VTMF-21805205</v>
      </c>
      <c r="G1263" s="3" t="inlineStr">
        <is>
          <t/>
        </is>
      </c>
      <c r="H1263" s="3" t="inlineStr">
        <is>
          <t>Anthony Suarez (veeva.com)</t>
        </is>
      </c>
      <c r="I1263" s="3" t="inlineStr">
        <is>
          <t>Gina Stefanelli</t>
        </is>
      </c>
      <c r="J1263" s="4" t="n">
        <v>45568.918020833335</v>
      </c>
      <c r="K1263" s="5" t="n">
        <v>45568.0</v>
      </c>
      <c r="L1263" s="5" t="n">
        <v>45524.0</v>
      </c>
      <c r="M1263" s="3" t="inlineStr">
        <is>
          <t>Approved</t>
        </is>
      </c>
      <c r="N1263" s="3" t="inlineStr">
        <is>
          <t>Country Close, Site Close, Study Close</t>
        </is>
      </c>
      <c r="O1263" s="3" t="inlineStr">
        <is>
          <t>42847922MDD3003</t>
        </is>
      </c>
    </row>
    <row r="1264">
      <c r="A1264" s="2" t="str">
        <f>HYPERLINK("https://vtmf.veevavault.com/ui/#doc_info/30830464/1/0", "42847922MDD3003---Relevant Communications-20 Jan 2026 (v1.0)")</f>
        <v>42847922MDD3003---Relevant Communications-20 Jan 2026 (v1.0)</v>
      </c>
      <c r="B1264" s="3" t="inlineStr">
        <is>
          <t>Trial Management</t>
        </is>
      </c>
      <c r="C1264" s="3" t="inlineStr">
        <is>
          <t>General</t>
        </is>
      </c>
      <c r="D1264" s="3" t="inlineStr">
        <is>
          <t>Relevant Communications</t>
        </is>
      </c>
      <c r="E1264" s="3" t="inlineStr">
        <is>
          <t>GPTP v9.0 Notification to Study Team_20Jan2026</t>
        </is>
      </c>
      <c r="F1264" s="2" t="str">
        <f>HYPERLINK("https://vtmf.veevavault.com/ui/#doc_info/30830464/1/0", "VTMF-24854925")</f>
        <v>VTMF-24854925</v>
      </c>
      <c r="G1264" s="3" t="inlineStr">
        <is>
          <t/>
        </is>
      </c>
      <c r="H1264" s="3" t="inlineStr">
        <is>
          <t>System</t>
        </is>
      </c>
      <c r="I1264" s="3" t="inlineStr">
        <is>
          <t>System</t>
        </is>
      </c>
      <c r="J1264" s="4" t="n">
        <v>46044.92503472222</v>
      </c>
      <c r="K1264" s="5" t="n">
        <v>46045.0</v>
      </c>
      <c r="L1264" s="5" t="n">
        <v>46042.0</v>
      </c>
      <c r="M1264" s="3" t="inlineStr">
        <is>
          <t>Approved</t>
        </is>
      </c>
      <c r="N1264" s="3" t="inlineStr">
        <is>
          <t>Country Close, Site Close, Study Close</t>
        </is>
      </c>
      <c r="O1264" s="3" t="inlineStr">
        <is>
          <t>42847922MDD3003</t>
        </is>
      </c>
    </row>
    <row r="1265">
      <c r="A1265" s="2" t="str">
        <f>HYPERLINK("https://vtmf.veevavault.com/ui/#doc_info/30709162/1/0", "42847922MDD3003---Relevant Communications-20 Nov 2025 (v1.0)")</f>
        <v>42847922MDD3003---Relevant Communications-20 Nov 2025 (v1.0)</v>
      </c>
      <c r="B1265" s="3" t="inlineStr">
        <is>
          <t>Site Management</t>
        </is>
      </c>
      <c r="C1265" s="3" t="inlineStr">
        <is>
          <t>General</t>
        </is>
      </c>
      <c r="D1265" s="3" t="inlineStr">
        <is>
          <t>Relevant Communications</t>
        </is>
      </c>
      <c r="E1265" s="3" t="inlineStr">
        <is>
          <t>PI_ Rastislav Korba _ Site_S10-SK10005_Subject_SK100050002_IQVIA Eligibility Review_ Approved</t>
        </is>
      </c>
      <c r="F1265" s="2" t="str">
        <f>HYPERLINK("https://vtmf.veevavault.com/ui/#doc_info/30709162/1/0", "VTMF-24744632")</f>
        <v>VTMF-24744632</v>
      </c>
      <c r="G1265" s="3" t="inlineStr">
        <is>
          <t/>
        </is>
      </c>
      <c r="H1265" s="3" t="inlineStr">
        <is>
          <t>System</t>
        </is>
      </c>
      <c r="I1265" s="3" t="inlineStr">
        <is>
          <t>Gina Stefanelli</t>
        </is>
      </c>
      <c r="J1265" s="4" t="n">
        <v>46024.72099537037</v>
      </c>
      <c r="K1265" s="5" t="n">
        <v>46024.0</v>
      </c>
      <c r="L1265" s="5" t="n">
        <v>45981.0</v>
      </c>
      <c r="M1265" s="3" t="inlineStr">
        <is>
          <t>Approved</t>
        </is>
      </c>
      <c r="N1265" s="3" t="inlineStr">
        <is>
          <t>Available for Distribution, Country Close, Site Close, Study Close</t>
        </is>
      </c>
      <c r="O1265" s="3" t="inlineStr">
        <is>
          <t>42847922MDD3003</t>
        </is>
      </c>
    </row>
    <row r="1266">
      <c r="A1266" s="2" t="str">
        <f>HYPERLINK("https://vtmf.veevavault.com/ui/#doc_info/27113764/1/0", "42847922MDD3003---Relevant Communications-20 Sep 2024 (v1.0)")</f>
        <v>42847922MDD3003---Relevant Communications-20 Sep 2024 (v1.0)</v>
      </c>
      <c r="B1266" s="3" t="inlineStr">
        <is>
          <t>Trial Management</t>
        </is>
      </c>
      <c r="C1266" s="3" t="inlineStr">
        <is>
          <t>General</t>
        </is>
      </c>
      <c r="D1266" s="3" t="inlineStr">
        <is>
          <t>Relevant Communications</t>
        </is>
      </c>
      <c r="E1266" s="3" t="inlineStr">
        <is>
          <t>Clario System Maintenance Memo</t>
        </is>
      </c>
      <c r="F1266" s="2" t="str">
        <f>HYPERLINK("https://vtmf.veevavault.com/ui/#doc_info/27113764/1/0", "VTMF-21735625")</f>
        <v>VTMF-21735625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Gina Stefanelli</t>
        </is>
      </c>
      <c r="J1266" s="4" t="n">
        <v>45555.662094907406</v>
      </c>
      <c r="K1266" s="5" t="n">
        <v>45555.0</v>
      </c>
      <c r="L1266" s="5" t="n">
        <v>45555.0</v>
      </c>
      <c r="M1266" s="3" t="inlineStr">
        <is>
          <t>Approved</t>
        </is>
      </c>
      <c r="N1266" s="3" t="inlineStr">
        <is>
          <t>Country Close, Site Close, Study Close</t>
        </is>
      </c>
      <c r="O1266" s="3" t="inlineStr">
        <is>
          <t>42847922MDD3003</t>
        </is>
      </c>
    </row>
    <row r="1267">
      <c r="A1267" s="2" t="str">
        <f>HYPERLINK("https://vtmf.veevavault.com/ui/#doc_info/31042125/1/0", "42847922MDD3003---Relevant Communications-20 Sep 2024 (v1.0)")</f>
        <v>42847922MDD3003---Relevant Communications-20 Sep 2024 (v1.0)</v>
      </c>
      <c r="B1267" s="3" t="inlineStr">
        <is>
          <t>Trial Management</t>
        </is>
      </c>
      <c r="C1267" s="3" t="inlineStr">
        <is>
          <t>General</t>
        </is>
      </c>
      <c r="D1267" s="3" t="inlineStr">
        <is>
          <t>Relevant Communications</t>
        </is>
      </c>
      <c r="E1267" s="3" t="inlineStr">
        <is>
          <t>Monthly Medical Review and handover SRP</t>
        </is>
      </c>
      <c r="F1267" s="2" t="str">
        <f>HYPERLINK("https://vtmf.veevavault.com/ui/#doc_info/31042125/1/0", "VTMF-25024742")</f>
        <v>VTMF-25024742</v>
      </c>
      <c r="G1267" s="3" t="inlineStr">
        <is>
          <t/>
        </is>
      </c>
      <c r="H1267" s="3" t="inlineStr">
        <is>
          <t>System</t>
        </is>
      </c>
      <c r="I1267" s="3" t="inlineStr">
        <is>
          <t>Gabriela Dluska</t>
        </is>
      </c>
      <c r="J1267" s="4" t="n">
        <v>46076.729583333334</v>
      </c>
      <c r="K1267" s="5" t="n">
        <v>46076.0</v>
      </c>
      <c r="L1267" s="5" t="n">
        <v>45555.0</v>
      </c>
      <c r="M1267" s="3" t="inlineStr">
        <is>
          <t>Approved</t>
        </is>
      </c>
      <c r="N1267" s="3" t="inlineStr">
        <is>
          <t>Country Close, Site Close, Study Close</t>
        </is>
      </c>
      <c r="O1267" s="3" t="inlineStr">
        <is>
          <t>42847922MDD3003</t>
        </is>
      </c>
    </row>
    <row r="1268">
      <c r="A1268" s="2" t="str">
        <f>HYPERLINK("https://vtmf.veevavault.com/ui/#doc_info/28118559/1/0", "42847922MDD3003---Relevant Communications-21 Jan 2025 (v1.0)")</f>
        <v>42847922MDD3003---Relevant Communications-21 Jan 2025 (v1.0)</v>
      </c>
      <c r="B1268" s="3" t="inlineStr">
        <is>
          <t>Site Management</t>
        </is>
      </c>
      <c r="C1268" s="3" t="inlineStr">
        <is>
          <t>General</t>
        </is>
      </c>
      <c r="D1268" s="3" t="inlineStr">
        <is>
          <t>Relevant Communications</t>
        </is>
      </c>
      <c r="E1268" s="3" t="inlineStr">
        <is>
          <t>42847922MDD3003_Enrollment cap increase_S10-US10040 Dr Daniel Rutrick_21Jan2025</t>
        </is>
      </c>
      <c r="F1268" s="2" t="str">
        <f>HYPERLINK("https://vtmf.veevavault.com/ui/#doc_info/28118559/1/0", "VTMF-22551403")</f>
        <v>VTMF-22551403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Gina Stefanelli</t>
        </is>
      </c>
      <c r="J1268" s="4" t="n">
        <v>45678.6090625</v>
      </c>
      <c r="K1268" s="5" t="n">
        <v>45678.0</v>
      </c>
      <c r="L1268" s="5" t="n">
        <v>45678.0</v>
      </c>
      <c r="M1268" s="3" t="inlineStr">
        <is>
          <t>Approved</t>
        </is>
      </c>
      <c r="N1268" s="3" t="inlineStr">
        <is>
          <t>Available for Distribution, Country Close, Site Close, Study Close</t>
        </is>
      </c>
      <c r="O1268" s="3" t="inlineStr">
        <is>
          <t>42847922MDD3003</t>
        </is>
      </c>
    </row>
    <row r="1269">
      <c r="A1269" s="2" t="str">
        <f>HYPERLINK("https://vtmf.veevavault.com/ui/#doc_info/30971746/1/0", "42847922MDD3003---Relevant Communications-21 Nov 2025 (v1.0)")</f>
        <v>42847922MDD3003---Relevant Communications-21 Nov 2025 (v1.0)</v>
      </c>
      <c r="B1269" s="3" t="inlineStr">
        <is>
          <t>Third Parties</t>
        </is>
      </c>
      <c r="C1269" s="3" t="inlineStr">
        <is>
          <t>General</t>
        </is>
      </c>
      <c r="D1269" s="3" t="inlineStr">
        <is>
          <t>Relevant Communications</t>
        </is>
      </c>
      <c r="E1269" s="3" t="inlineStr">
        <is>
          <t>NTF_Training Requirement Complete_Site US10002</t>
        </is>
      </c>
      <c r="F1269" s="2" t="str">
        <f>HYPERLINK("https://vtmf.veevavault.com/ui/#doc_info/30971746/1/0", "VTMF-24964767")</f>
        <v>VTMF-24964767</v>
      </c>
      <c r="G1269" s="3" t="inlineStr">
        <is>
          <t/>
        </is>
      </c>
      <c r="H1269" s="3" t="inlineStr">
        <is>
          <t>System</t>
        </is>
      </c>
      <c r="I1269" s="3" t="inlineStr">
        <is>
          <t>Debhora Garcia</t>
        </is>
      </c>
      <c r="J1269" s="4" t="n">
        <v>46064.99002314815</v>
      </c>
      <c r="K1269" s="5" t="n">
        <v>46065.0</v>
      </c>
      <c r="L1269" s="5" t="n">
        <v>45982.0</v>
      </c>
      <c r="M1269" s="3" t="inlineStr">
        <is>
          <t>Approved</t>
        </is>
      </c>
      <c r="N1269" s="3" t="inlineStr">
        <is>
          <t>Country Close, Site Close, Study Close</t>
        </is>
      </c>
      <c r="O1269" s="3" t="inlineStr">
        <is>
          <t>42847922MDD3003, 42847922MDD3014</t>
        </is>
      </c>
    </row>
    <row r="1270">
      <c r="A1270" s="2" t="str">
        <f>HYPERLINK("https://vtmf.veevavault.com/ui/#doc_info/29815979/1/0", "42847922MDD3003---Relevant Communications-22 Aug 2025 (v1.0)")</f>
        <v>42847922MDD3003---Relevant Communications-22 Aug 2025 (v1.0)</v>
      </c>
      <c r="B1270" s="3" t="inlineStr">
        <is>
          <t>Safety Reporting</t>
        </is>
      </c>
      <c r="C1270" s="3" t="inlineStr">
        <is>
          <t>General</t>
        </is>
      </c>
      <c r="D1270" s="3" t="inlineStr">
        <is>
          <t>Relevant Communications</t>
        </is>
      </c>
      <c r="E1270" s="3" t="inlineStr">
        <is>
          <t>20250818666_0 Blinded - Notification to Study Level user</t>
        </is>
      </c>
      <c r="F1270" s="2" t="str">
        <f>HYPERLINK("https://vtmf.veevavault.com/ui/#doc_info/29815979/1/0", "VTMF-23995243")</f>
        <v>VTMF-23995243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45892.33961805556</v>
      </c>
      <c r="K1270" s="5" t="n">
        <v>45891.0</v>
      </c>
      <c r="L1270" s="5" t="n">
        <v>45891.0</v>
      </c>
      <c r="M1270" s="3" t="inlineStr">
        <is>
          <t>Approved</t>
        </is>
      </c>
      <c r="N1270" s="3" t="inlineStr">
        <is>
          <t>Country Close, Site Close, Study Close</t>
        </is>
      </c>
      <c r="O1270" s="3" t="inlineStr">
        <is>
          <t>42847922MDD3003</t>
        </is>
      </c>
    </row>
    <row r="1271">
      <c r="A1271" s="2" t="str">
        <f>HYPERLINK("https://vtmf.veevavault.com/ui/#doc_info/30679195/1/0", "42847922MDD3003---Relevant Communications-22 Dec 2025 (v1.0)")</f>
        <v>42847922MDD3003---Relevant Communications-22 Dec 2025 (v1.0)</v>
      </c>
      <c r="B1271" s="3" t="inlineStr">
        <is>
          <t>Trial Management</t>
        </is>
      </c>
      <c r="C1271" s="3" t="inlineStr">
        <is>
          <t>General</t>
        </is>
      </c>
      <c r="D1271" s="3" t="inlineStr">
        <is>
          <t>Relevant Communications</t>
        </is>
      </c>
      <c r="E1271" s="3" t="inlineStr">
        <is>
          <t>News Post-OARS-7: MGH-CTNI 2025-2026 Holiday Availability -22 Dec 2025</t>
        </is>
      </c>
      <c r="F1271" s="2" t="str">
        <f>HYPERLINK("https://vtmf.veevavault.com/ui/#doc_info/30679195/1/0", "VTMF-24722374")</f>
        <v>VTMF-24722374</v>
      </c>
      <c r="G1271" s="3" t="inlineStr">
        <is>
          <t/>
        </is>
      </c>
      <c r="H1271" s="3" t="inlineStr">
        <is>
          <t>System</t>
        </is>
      </c>
      <c r="I1271" s="3" t="inlineStr">
        <is>
          <t>DrugDev API Account</t>
        </is>
      </c>
      <c r="J1271" s="4" t="n">
        <v>46016.89634259259</v>
      </c>
      <c r="K1271" s="5" t="n">
        <v>46017.0</v>
      </c>
      <c r="L1271" s="5" t="n">
        <v>46013.0</v>
      </c>
      <c r="M1271" s="3" t="inlineStr">
        <is>
          <t>Approved</t>
        </is>
      </c>
      <c r="N1271" s="3" t="inlineStr">
        <is>
          <t>Country Close, Site Close, Study Close</t>
        </is>
      </c>
      <c r="O1271" s="3" t="inlineStr">
        <is>
          <t>42847922MDD3003</t>
        </is>
      </c>
    </row>
    <row r="1272">
      <c r="A1272" s="2" t="str">
        <f>HYPERLINK("https://vtmf.veevavault.com/ui/#doc_info/30999757/1/0", "42847922MDD3003---Relevant Communications-22 Jan 2026 (v1.0)")</f>
        <v>42847922MDD3003---Relevant Communications-22 Jan 2026 (v1.0)</v>
      </c>
      <c r="B1272" s="3" t="inlineStr">
        <is>
          <t>Third Parties</t>
        </is>
      </c>
      <c r="C1272" s="3" t="inlineStr">
        <is>
          <t>General</t>
        </is>
      </c>
      <c r="D1272" s="3" t="inlineStr">
        <is>
          <t>Relevant Communications</t>
        </is>
      </c>
      <c r="E1272" s="3" t="inlineStr">
        <is>
          <t>NTF_Participant ID Correction_Site US10212_22Jan2026.docx - audit</t>
        </is>
      </c>
      <c r="F1272" s="2" t="str">
        <f>HYPERLINK("https://vtmf.veevavault.com/ui/#doc_info/30999757/1/0", "VTMF-24988347")</f>
        <v>VTMF-24988347</v>
      </c>
      <c r="G1272" s="3" t="inlineStr">
        <is>
          <t/>
        </is>
      </c>
      <c r="H1272" s="3" t="inlineStr">
        <is>
          <t>System</t>
        </is>
      </c>
      <c r="I1272" s="3" t="inlineStr">
        <is>
          <t>Debhora Garcia</t>
        </is>
      </c>
      <c r="J1272" s="4" t="n">
        <v>46069.87799768519</v>
      </c>
      <c r="K1272" s="5" t="n">
        <v>46069.0</v>
      </c>
      <c r="L1272" s="5" t="n">
        <v>46044.0</v>
      </c>
      <c r="M1272" s="3" t="inlineStr">
        <is>
          <t>Approved</t>
        </is>
      </c>
      <c r="N1272" s="3" t="inlineStr">
        <is>
          <t>Country Close, Site Close, Study Close</t>
        </is>
      </c>
      <c r="O1272" s="3" t="inlineStr">
        <is>
          <t>42847922MDD3003</t>
        </is>
      </c>
    </row>
    <row r="1273">
      <c r="A1273" s="2" t="str">
        <f>HYPERLINK("https://vtmf.veevavault.com/ui/#doc_info/30999759/1/0", "42847922MDD3003---Relevant Communications-22 Jan 2026 (v1.0)")</f>
        <v>42847922MDD3003---Relevant Communications-22 Jan 2026 (v1.0)</v>
      </c>
      <c r="B1273" s="3" t="inlineStr">
        <is>
          <t>Third Parties</t>
        </is>
      </c>
      <c r="C1273" s="3" t="inlineStr">
        <is>
          <t>General</t>
        </is>
      </c>
      <c r="D1273" s="3" t="inlineStr">
        <is>
          <t>Relevant Communications</t>
        </is>
      </c>
      <c r="E1273" s="3" t="inlineStr">
        <is>
          <t>NTF_Participant ID Correction_Site US10212_22Jan2026.docx (part 1) - signed</t>
        </is>
      </c>
      <c r="F1273" s="2" t="str">
        <f>HYPERLINK("https://vtmf.veevavault.com/ui/#doc_info/30999759/1/0", "VTMF-24988350")</f>
        <v>VTMF-24988350</v>
      </c>
      <c r="G1273" s="3" t="inlineStr">
        <is>
          <t/>
        </is>
      </c>
      <c r="H1273" s="3" t="inlineStr">
        <is>
          <t>System</t>
        </is>
      </c>
      <c r="I1273" s="3" t="inlineStr">
        <is>
          <t>Debhora Garcia</t>
        </is>
      </c>
      <c r="J1273" s="4" t="n">
        <v>46069.87871527778</v>
      </c>
      <c r="K1273" s="5" t="n">
        <v>46069.0</v>
      </c>
      <c r="L1273" s="5" t="n">
        <v>46044.0</v>
      </c>
      <c r="M1273" s="3" t="inlineStr">
        <is>
          <t>Approved</t>
        </is>
      </c>
      <c r="N1273" s="3" t="inlineStr">
        <is>
          <t>Country Close, Site Close, Study Close</t>
        </is>
      </c>
      <c r="O1273" s="3" t="inlineStr">
        <is>
          <t>42847922MDD3003</t>
        </is>
      </c>
    </row>
    <row r="1274">
      <c r="A1274" s="2" t="str">
        <f>HYPERLINK("https://vtmf.veevavault.com/ui/#doc_info/26756496/1/0", "42847922MDD3003---Relevant Communications-22 Jul 2024 (v1.0)")</f>
        <v>42847922MDD3003---Relevant Communications-22 Jul 2024 (v1.0)</v>
      </c>
      <c r="B1274" s="3" t="inlineStr">
        <is>
          <t>Trial Management</t>
        </is>
      </c>
      <c r="C1274" s="3" t="inlineStr">
        <is>
          <t>General</t>
        </is>
      </c>
      <c r="D1274" s="3" t="inlineStr">
        <is>
          <t>Relevant Communications</t>
        </is>
      </c>
      <c r="E1274" s="3" t="inlineStr">
        <is>
          <t>42847922MDD3003_Communication Regarding Decision to Allow Screening in US starting July 24</t>
        </is>
      </c>
      <c r="F1274" s="2" t="str">
        <f>HYPERLINK("https://vtmf.veevavault.com/ui/#doc_info/26756496/1/0", "VTMF-21441610")</f>
        <v>VTMF-21441610</v>
      </c>
      <c r="G1274" s="3" t="inlineStr">
        <is>
          <t/>
        </is>
      </c>
      <c r="H1274" s="3" t="inlineStr">
        <is>
          <t>Anthony Suarez (veeva.com)</t>
        </is>
      </c>
      <c r="I1274" s="3" t="inlineStr">
        <is>
          <t>Debhora Garcia</t>
        </is>
      </c>
      <c r="J1274" s="4" t="n">
        <v>45496.77429398148</v>
      </c>
      <c r="K1274" s="5" t="n">
        <v>45496.0</v>
      </c>
      <c r="L1274" s="5" t="n">
        <v>45495.0</v>
      </c>
      <c r="M1274" s="3" t="inlineStr">
        <is>
          <t>Approved</t>
        </is>
      </c>
      <c r="N1274" s="3" t="inlineStr">
        <is>
          <t>Country Close, Site Close, Study Close</t>
        </is>
      </c>
      <c r="O1274" s="3" t="inlineStr">
        <is>
          <t>42847922MDD3003</t>
        </is>
      </c>
    </row>
    <row r="1275">
      <c r="A1275" s="2" t="str">
        <f>HYPERLINK("https://vtmf.veevavault.com/ui/#doc_info/27717960/1/0", "42847922MDD3003---Relevant Communications-22 Nov 2024 (v1.0)")</f>
        <v>42847922MDD3003---Relevant Communications-22 Nov 2024 (v1.0)</v>
      </c>
      <c r="B1275" s="3" t="inlineStr">
        <is>
          <t>Trial Management</t>
        </is>
      </c>
      <c r="C1275" s="3" t="inlineStr">
        <is>
          <t>General</t>
        </is>
      </c>
      <c r="D1275" s="3" t="inlineStr">
        <is>
          <t>Relevant Communications</t>
        </is>
      </c>
      <c r="E1275" s="3" t="inlineStr">
        <is>
          <t>Email, MADRS Recording Consent Process Across MDD Trials</t>
        </is>
      </c>
      <c r="F1275" s="2" t="str">
        <f>HYPERLINK("https://vtmf.veevavault.com/ui/#doc_info/27717960/1/0", "VTMF-22234136")</f>
        <v>VTMF-22234136</v>
      </c>
      <c r="G1275" s="3" t="inlineStr">
        <is>
          <t/>
        </is>
      </c>
      <c r="H1275" s="3" t="inlineStr">
        <is>
          <t>Anthony Suarez (veeva.com)</t>
        </is>
      </c>
      <c r="I1275" s="3" t="inlineStr">
        <is>
          <t>Flavia Di Molfetta</t>
        </is>
      </c>
      <c r="J1275" s="4" t="n">
        <v>45618.74863425926</v>
      </c>
      <c r="K1275" s="5" t="n">
        <v>45618.0</v>
      </c>
      <c r="L1275" s="5" t="n">
        <v>45618.0</v>
      </c>
      <c r="M1275" s="3" t="inlineStr">
        <is>
          <t>Approved</t>
        </is>
      </c>
      <c r="N1275" s="3" t="inlineStr">
        <is>
          <t>Country Close, Site Close, Study Close</t>
        </is>
      </c>
      <c r="O1275" s="3" t="inlineStr">
        <is>
          <t>42847922MDD3003, 67953964MDD3005, 67953964MDD3007</t>
        </is>
      </c>
    </row>
    <row r="1276">
      <c r="A1276" s="2" t="str">
        <f>HYPERLINK("https://vtmf.veevavault.com/ui/#doc_info/27719317/1/0", "42847922MDD3003---Relevant Communications-22 Nov 2024 (v1.0)")</f>
        <v>42847922MDD3003---Relevant Communications-22 Nov 2024 (v1.0)</v>
      </c>
      <c r="B1276" s="3" t="inlineStr">
        <is>
          <t>Trial Management</t>
        </is>
      </c>
      <c r="C1276" s="3" t="inlineStr">
        <is>
          <t>General</t>
        </is>
      </c>
      <c r="D1276" s="3" t="inlineStr">
        <is>
          <t>Relevant Communications</t>
        </is>
      </c>
      <c r="E1276" s="3" t="inlineStr">
        <is>
          <t>Email, MADRS recording vs Participant ICF agreement.</t>
        </is>
      </c>
      <c r="F1276" s="2" t="str">
        <f>HYPERLINK("https://vtmf.veevavault.com/ui/#doc_info/27719317/1/0", "VTMF-22234416")</f>
        <v>VTMF-22234416</v>
      </c>
      <c r="G1276" s="3" t="inlineStr">
        <is>
          <t/>
        </is>
      </c>
      <c r="H1276" s="3" t="inlineStr">
        <is>
          <t>Anthony Suarez (veeva.com)</t>
        </is>
      </c>
      <c r="I1276" s="3" t="inlineStr">
        <is>
          <t>Gina Stefanelli</t>
        </is>
      </c>
      <c r="J1276" s="4" t="n">
        <v>45618.805185185185</v>
      </c>
      <c r="K1276" s="5" t="n">
        <v>45618.0</v>
      </c>
      <c r="L1276" s="5" t="n">
        <v>45618.0</v>
      </c>
      <c r="M1276" s="3" t="inlineStr">
        <is>
          <t>Approved</t>
        </is>
      </c>
      <c r="N1276" s="3" t="inlineStr">
        <is>
          <t>Country Close, Site Close, Study Close</t>
        </is>
      </c>
      <c r="O1276" s="3" t="inlineStr">
        <is>
          <t>42847922MDD3003</t>
        </is>
      </c>
    </row>
    <row r="1277">
      <c r="A1277" s="2" t="str">
        <f>HYPERLINK("https://vtmf.veevavault.com/ui/#doc_info/27992667/1/0", "42847922MDD3003---Relevant Communications-22 Oct 2024 (v1.0)")</f>
        <v>42847922MDD3003---Relevant Communications-22 Oct 2024 (v1.0)</v>
      </c>
      <c r="B1277" s="3" t="inlineStr">
        <is>
          <t>Central Trial Documents</t>
        </is>
      </c>
      <c r="C1277" s="3" t="inlineStr">
        <is>
          <t>General</t>
        </is>
      </c>
      <c r="D1277" s="3" t="inlineStr">
        <is>
          <t>Relevant Communications</t>
        </is>
      </c>
      <c r="E1277" s="3" t="inlineStr">
        <is>
          <t>Email, Janssen Seltorexant MDD3003 exclusion criteria question regarding experimental pharmacologic therapies (investigational drug.</t>
        </is>
      </c>
      <c r="F1277" s="2" t="str">
        <f>HYPERLINK("https://vtmf.veevavault.com/ui/#doc_info/27992667/1/0", "VTMF-22446136")</f>
        <v>VTMF-22446136</v>
      </c>
      <c r="G1277" s="3" t="inlineStr">
        <is>
          <t/>
        </is>
      </c>
      <c r="H1277" s="3" t="inlineStr">
        <is>
          <t>Anthony Suarez (veeva.com)</t>
        </is>
      </c>
      <c r="I1277" s="3" t="inlineStr">
        <is>
          <t>Gina Stefanelli</t>
        </is>
      </c>
      <c r="J1277" s="4" t="n">
        <v>45656.702939814815</v>
      </c>
      <c r="K1277" s="5" t="n">
        <v>45656.0</v>
      </c>
      <c r="L1277" s="5" t="n">
        <v>45587.0</v>
      </c>
      <c r="M1277" s="3" t="inlineStr">
        <is>
          <t>Approved</t>
        </is>
      </c>
      <c r="N1277" s="3" t="inlineStr">
        <is>
          <t>Country Close, Site Close, Study Close</t>
        </is>
      </c>
      <c r="O1277" s="3" t="inlineStr">
        <is>
          <t>42847922MDD3003</t>
        </is>
      </c>
    </row>
    <row r="1278">
      <c r="A1278" s="2" t="str">
        <f>HYPERLINK("https://vtmf.veevavault.com/ui/#doc_info/30641355/1/0", "42847922MDD3003---Relevant Communications-22 Sep 2025 (v1.0)")</f>
        <v>42847922MDD3003---Relevant Communications-22 Sep 2025 (v1.0)</v>
      </c>
      <c r="B1278" s="3" t="inlineStr">
        <is>
          <t>Trial Management</t>
        </is>
      </c>
      <c r="C1278" s="3" t="inlineStr">
        <is>
          <t>General</t>
        </is>
      </c>
      <c r="D1278" s="3" t="inlineStr">
        <is>
          <t>Relevant Communications</t>
        </is>
      </c>
      <c r="E1278" s="3" t="inlineStr">
        <is>
          <t>News Post-OARS-7:  DREEM PAL ID-22 Sep 2025</t>
        </is>
      </c>
      <c r="F1278" s="2" t="str">
        <f>HYPERLINK("https://vtmf.veevavault.com/ui/#doc_info/30641355/1/0", "VTMF-24690775")</f>
        <v>VTMF-24690775</v>
      </c>
      <c r="G1278" s="3" t="inlineStr">
        <is>
          <t/>
        </is>
      </c>
      <c r="H1278" s="3" t="inlineStr">
        <is>
          <t>System</t>
        </is>
      </c>
      <c r="I1278" s="3" t="inlineStr">
        <is>
          <t>DrugDev API Account</t>
        </is>
      </c>
      <c r="J1278" s="4" t="n">
        <v>46009.80065972222</v>
      </c>
      <c r="K1278" s="5" t="n">
        <v>46010.0</v>
      </c>
      <c r="L1278" s="5" t="n">
        <v>45922.0</v>
      </c>
      <c r="M1278" s="3" t="inlineStr">
        <is>
          <t>Approved</t>
        </is>
      </c>
      <c r="N1278" s="3" t="inlineStr">
        <is>
          <t>Country Close, Site Close, Study Close</t>
        </is>
      </c>
      <c r="O1278" s="3" t="inlineStr">
        <is>
          <t>42847922MDD3003</t>
        </is>
      </c>
    </row>
    <row r="1279">
      <c r="A1279" s="2" t="str">
        <f>HYPERLINK("https://vtmf.veevavault.com/ui/#doc_info/31519607/1/0", "42847922MDD3003---Relevant Communications-23 Apr 2026 (v1.0)")</f>
        <v>42847922MDD3003---Relevant Communications-23 Apr 2026 (v1.0)</v>
      </c>
      <c r="B1279" s="3" t="inlineStr">
        <is>
          <t>Trial Management</t>
        </is>
      </c>
      <c r="C1279" s="3" t="inlineStr">
        <is>
          <t>General</t>
        </is>
      </c>
      <c r="D1279" s="3" t="inlineStr">
        <is>
          <t>Relevant Communications</t>
        </is>
      </c>
      <c r="E1279" s="3" t="inlineStr">
        <is>
          <t>News Post-OARS-7: Important - Use of Public Beacon App for DREEM Recordings-17 Apr 2026</t>
        </is>
      </c>
      <c r="F1279" s="2" t="str">
        <f>HYPERLINK("https://vtmf.veevavault.com/ui/#doc_info/31519607/1/0", "VTMF-25434760")</f>
        <v>VTMF-25434760</v>
      </c>
      <c r="G1279" s="3" t="inlineStr">
        <is>
          <t/>
        </is>
      </c>
      <c r="H1279" s="3" t="inlineStr">
        <is>
          <t>System</t>
        </is>
      </c>
      <c r="I1279" s="3" t="inlineStr">
        <is>
          <t>DrugDev API Account</t>
        </is>
      </c>
      <c r="J1279" s="4" t="n">
        <v>46135.93792824074</v>
      </c>
      <c r="K1279" s="5" t="n">
        <v>46135.0</v>
      </c>
      <c r="L1279" s="5" t="n">
        <v>46135.0</v>
      </c>
      <c r="M1279" s="3" t="inlineStr">
        <is>
          <t>Approved</t>
        </is>
      </c>
      <c r="N1279" s="3" t="inlineStr">
        <is>
          <t>Country Close, Site Close, Study Close</t>
        </is>
      </c>
      <c r="O1279" s="3" t="inlineStr">
        <is>
          <t>42847922MDD3003</t>
        </is>
      </c>
    </row>
    <row r="1280">
      <c r="A1280" s="2" t="str">
        <f>HYPERLINK("https://vtmf.veevavault.com/ui/#doc_info/31519626/1/0", "42847922MDD3003---Relevant Communications-23 Apr 2026 (v1.0)")</f>
        <v>42847922MDD3003---Relevant Communications-23 Apr 2026 (v1.0)</v>
      </c>
      <c r="B1280" s="3" t="inlineStr">
        <is>
          <t>Trial Management</t>
        </is>
      </c>
      <c r="C1280" s="3" t="inlineStr">
        <is>
          <t>General</t>
        </is>
      </c>
      <c r="D1280" s="3" t="inlineStr">
        <is>
          <t>Relevant Communications</t>
        </is>
      </c>
      <c r="E1280" s="3" t="inlineStr">
        <is>
          <t>News Post-OARS-7: Reminder - Best Practices for PRO Administration-22 Apr 2026</t>
        </is>
      </c>
      <c r="F1280" s="2" t="str">
        <f>HYPERLINK("https://vtmf.veevavault.com/ui/#doc_info/31519626/1/0", "VTMF-25434779")</f>
        <v>VTMF-25434779</v>
      </c>
      <c r="G1280" s="3" t="inlineStr">
        <is>
          <t/>
        </is>
      </c>
      <c r="H1280" s="3" t="inlineStr">
        <is>
          <t>System</t>
        </is>
      </c>
      <c r="I1280" s="3" t="inlineStr">
        <is>
          <t>DrugDev API Account</t>
        </is>
      </c>
      <c r="J1280" s="4" t="n">
        <v>46135.93792824074</v>
      </c>
      <c r="K1280" s="5" t="n">
        <v>46135.0</v>
      </c>
      <c r="L1280" s="5" t="n">
        <v>46135.0</v>
      </c>
      <c r="M1280" s="3" t="inlineStr">
        <is>
          <t>Approved</t>
        </is>
      </c>
      <c r="N1280" s="3" t="inlineStr">
        <is>
          <t>Country Close, Site Close, Study Close</t>
        </is>
      </c>
      <c r="O1280" s="3" t="inlineStr">
        <is>
          <t>42847922MDD3003</t>
        </is>
      </c>
    </row>
    <row r="1281">
      <c r="A1281" s="2" t="str">
        <f>HYPERLINK("https://vtmf.veevavault.com/ui/#doc_info/30840669/1/0", "42847922MDD3003---Relevant Communications-23 Jan 2026 (v1.0)")</f>
        <v>42847922MDD3003---Relevant Communications-23 Jan 2026 (v1.0)</v>
      </c>
      <c r="B1281" s="3" t="inlineStr">
        <is>
          <t>Trial Management</t>
        </is>
      </c>
      <c r="C1281" s="3" t="inlineStr">
        <is>
          <t>General</t>
        </is>
      </c>
      <c r="D1281" s="3" t="inlineStr">
        <is>
          <t>Relevant Communications</t>
        </is>
      </c>
      <c r="E1281" s="3" t="inlineStr">
        <is>
          <t>Part 2 Direct entry_site communication</t>
        </is>
      </c>
      <c r="F1281" s="2" t="str">
        <f>HYPERLINK("https://vtmf.veevavault.com/ui/#doc_info/30840669/1/0", "VTMF-24853980")</f>
        <v>VTMF-24853980</v>
      </c>
      <c r="G1281" s="3" t="inlineStr">
        <is>
          <t/>
        </is>
      </c>
      <c r="H1281" s="3" t="inlineStr">
        <is>
          <t>Kristina Ruzinska</t>
        </is>
      </c>
      <c r="I1281" s="3" t="inlineStr">
        <is>
          <t>Debhora Garcia</t>
        </is>
      </c>
      <c r="J1281" s="4" t="n">
        <v>46045.844305555554</v>
      </c>
      <c r="K1281" s="5" t="n">
        <v>46045.0</v>
      </c>
      <c r="L1281" s="5" t="n">
        <v>46045.0</v>
      </c>
      <c r="M1281" s="3" t="inlineStr">
        <is>
          <t>Approved</t>
        </is>
      </c>
      <c r="N1281" s="3" t="inlineStr">
        <is>
          <t>Country Close, Site Close, Study Close</t>
        </is>
      </c>
      <c r="O1281" s="3" t="inlineStr">
        <is>
          <t>42847922MDD3003</t>
        </is>
      </c>
    </row>
    <row r="1282">
      <c r="A1282" s="2" t="str">
        <f>HYPERLINK("https://vtmf.veevavault.com/ui/#doc_info/30963350/1/0", "42847922MDD3003---Relevant Communications-23 Jan 2026 (v1.0)")</f>
        <v>42847922MDD3003---Relevant Communications-23 Jan 2026 (v1.0)</v>
      </c>
      <c r="B1282" s="3" t="inlineStr">
        <is>
          <t>Third Parties</t>
        </is>
      </c>
      <c r="C1282" s="3" t="inlineStr">
        <is>
          <t>General</t>
        </is>
      </c>
      <c r="D1282" s="3" t="inlineStr">
        <is>
          <t>Relevant Communications</t>
        </is>
      </c>
      <c r="E1282" s="3" t="inlineStr">
        <is>
          <t>NTF_Participant ID Correction_Site US10049</t>
        </is>
      </c>
      <c r="F1282" s="2" t="str">
        <f>HYPERLINK("https://vtmf.veevavault.com/ui/#doc_info/30963350/1/0", "VTMF-24957820")</f>
        <v>VTMF-24957820</v>
      </c>
      <c r="G1282" s="3" t="inlineStr">
        <is>
          <t/>
        </is>
      </c>
      <c r="H1282" s="3" t="inlineStr">
        <is>
          <t>System</t>
        </is>
      </c>
      <c r="I1282" s="3" t="inlineStr">
        <is>
          <t>Debhora Garcia</t>
        </is>
      </c>
      <c r="J1282" s="4" t="n">
        <v>46064.12678240741</v>
      </c>
      <c r="K1282" s="5" t="n">
        <v>46063.0</v>
      </c>
      <c r="L1282" s="5" t="n">
        <v>46045.0</v>
      </c>
      <c r="M1282" s="3" t="inlineStr">
        <is>
          <t>Approved</t>
        </is>
      </c>
      <c r="N1282" s="3" t="inlineStr">
        <is>
          <t>Country Close, Site Close, Study Close</t>
        </is>
      </c>
      <c r="O1282" s="3" t="inlineStr">
        <is>
          <t>42847922MDD3003</t>
        </is>
      </c>
    </row>
    <row r="1283">
      <c r="A1283" s="2" t="str">
        <f>HYPERLINK("https://vtmf.veevavault.com/ui/#doc_info/30963353/1/0", "42847922MDD3003---Relevant Communications-23 Jan 2026 (v1.0)")</f>
        <v>42847922MDD3003---Relevant Communications-23 Jan 2026 (v1.0)</v>
      </c>
      <c r="B1283" s="3" t="inlineStr">
        <is>
          <t>Third Parties</t>
        </is>
      </c>
      <c r="C1283" s="3" t="inlineStr">
        <is>
          <t>General</t>
        </is>
      </c>
      <c r="D1283" s="3" t="inlineStr">
        <is>
          <t>Relevant Communications</t>
        </is>
      </c>
      <c r="E1283" s="3" t="inlineStr">
        <is>
          <t>NTF_Participant ID Correction_Site US10049</t>
        </is>
      </c>
      <c r="F1283" s="2" t="str">
        <f>HYPERLINK("https://vtmf.veevavault.com/ui/#doc_info/30963353/1/0", "VTMF-24957824")</f>
        <v>VTMF-24957824</v>
      </c>
      <c r="G1283" s="3" t="inlineStr">
        <is>
          <t/>
        </is>
      </c>
      <c r="H1283" s="3" t="inlineStr">
        <is>
          <t>System</t>
        </is>
      </c>
      <c r="I1283" s="3" t="inlineStr">
        <is>
          <t>Debhora Garcia</t>
        </is>
      </c>
      <c r="J1283" s="4" t="n">
        <v>46064.128229166665</v>
      </c>
      <c r="K1283" s="5" t="n">
        <v>46063.0</v>
      </c>
      <c r="L1283" s="5" t="n">
        <v>46045.0</v>
      </c>
      <c r="M1283" s="3" t="inlineStr">
        <is>
          <t>Approved</t>
        </is>
      </c>
      <c r="N1283" s="3" t="inlineStr">
        <is>
          <t>Country Close, Site Close, Study Close</t>
        </is>
      </c>
      <c r="O1283" s="3" t="inlineStr">
        <is>
          <t>42847922MDD3003</t>
        </is>
      </c>
    </row>
    <row r="1284">
      <c r="A1284" s="2" t="str">
        <f>HYPERLINK("https://vtmf.veevavault.com/ui/#doc_info/29693455/1/0", "42847922MDD3003---Relevant Communications-23 Jul 2025 (v1.0)")</f>
        <v>42847922MDD3003---Relevant Communications-23 Jul 2025 (v1.0)</v>
      </c>
      <c r="B1284" s="3" t="inlineStr">
        <is>
          <t>Site Management</t>
        </is>
      </c>
      <c r="C1284" s="3" t="inlineStr">
        <is>
          <t>General</t>
        </is>
      </c>
      <c r="D1284" s="3" t="inlineStr">
        <is>
          <t>Relevant Communications</t>
        </is>
      </c>
      <c r="E1284" s="3" t="inlineStr">
        <is>
          <t>Request for Evaluation and Approval of Participant Screening for Study OARS-7 – Patient with History of Cervical Cancer</t>
        </is>
      </c>
      <c r="F1284" s="2" t="str">
        <f>HYPERLINK("https://vtmf.veevavault.com/ui/#doc_info/29693455/1/0", "VTMF-23890081")</f>
        <v>VTMF-23890081</v>
      </c>
      <c r="G1284" s="3" t="inlineStr">
        <is>
          <t/>
        </is>
      </c>
      <c r="H1284" s="3" t="inlineStr">
        <is>
          <t>System</t>
        </is>
      </c>
      <c r="I1284" s="3" t="inlineStr">
        <is>
          <t>Gina Stefanelli</t>
        </is>
      </c>
      <c r="J1284" s="4" t="n">
        <v>45873.65201388889</v>
      </c>
      <c r="K1284" s="5" t="n">
        <v>45873.0</v>
      </c>
      <c r="L1284" s="5" t="n">
        <v>45861.0</v>
      </c>
      <c r="M1284" s="3" t="inlineStr">
        <is>
          <t>Approved</t>
        </is>
      </c>
      <c r="N1284" s="3" t="inlineStr">
        <is>
          <t>Available for Distribution, Country Close, Site Close, Study Close</t>
        </is>
      </c>
      <c r="O1284" s="3" t="inlineStr">
        <is>
          <t>42847922MDD3003</t>
        </is>
      </c>
    </row>
    <row r="1285">
      <c r="A1285" s="2" t="str">
        <f>HYPERLINK("https://vtmf.veevavault.com/ui/#doc_info/29426584/1/0", "42847922MDD3003---Relevant Communications-23 Jun 2025 (v1.0)")</f>
        <v>42847922MDD3003---Relevant Communications-23 Jun 2025 (v1.0)</v>
      </c>
      <c r="B1285" s="3" t="inlineStr">
        <is>
          <t>Safety Reporting</t>
        </is>
      </c>
      <c r="C1285" s="3" t="inlineStr">
        <is>
          <t>General</t>
        </is>
      </c>
      <c r="D1285" s="3" t="inlineStr">
        <is>
          <t>Relevant Communications</t>
        </is>
      </c>
      <c r="E1285" s="3" t="inlineStr">
        <is>
          <t>DSUR_seltorexant_Blinded_05May2024-04May2025 - Notification to Study Level user</t>
        </is>
      </c>
      <c r="F1285" s="2" t="str">
        <f>HYPERLINK("https://vtmf.veevavault.com/ui/#doc_info/29426584/1/0", "VTMF-23662613")</f>
        <v>VTMF-23662613</v>
      </c>
      <c r="G1285" s="3" t="inlineStr">
        <is>
          <t/>
        </is>
      </c>
      <c r="H1285" s="3" t="inlineStr">
        <is>
          <t>System</t>
        </is>
      </c>
      <c r="I1285" s="3" t="inlineStr">
        <is>
          <t>eSusar Integration Service Account</t>
        </is>
      </c>
      <c r="J1285" s="4" t="n">
        <v>45832.33908564815</v>
      </c>
      <c r="K1285" s="5" t="n">
        <v>45831.0</v>
      </c>
      <c r="L1285" s="5" t="n">
        <v>45831.0</v>
      </c>
      <c r="M1285" s="3" t="inlineStr">
        <is>
          <t>Approved</t>
        </is>
      </c>
      <c r="N1285" s="3" t="inlineStr">
        <is>
          <t>Country Close, Site Close, Study Close</t>
        </is>
      </c>
      <c r="O1285" s="3" t="inlineStr">
        <is>
          <t>42847922MDD3003</t>
        </is>
      </c>
    </row>
    <row r="1286">
      <c r="A1286" s="2" t="str">
        <f>HYPERLINK("https://vtmf.veevavault.com/ui/#doc_info/29426585/1/0", "42847922MDD3003---Relevant Communications-23 Jun 2025 (v1.0)")</f>
        <v>42847922MDD3003---Relevant Communications-23 Jun 2025 (v1.0)</v>
      </c>
      <c r="B1286" s="3" t="inlineStr">
        <is>
          <t>Safety Reporting</t>
        </is>
      </c>
      <c r="C1286" s="3" t="inlineStr">
        <is>
          <t>General</t>
        </is>
      </c>
      <c r="D1286" s="3" t="inlineStr">
        <is>
          <t>Relevant Communications</t>
        </is>
      </c>
      <c r="E1286" s="3" t="inlineStr">
        <is>
          <t>SSR_seltorexant_Blinded_05Nov2024-04May2025 - Notification to Study Level user</t>
        </is>
      </c>
      <c r="F1286" s="2" t="str">
        <f>HYPERLINK("https://vtmf.veevavault.com/ui/#doc_info/29426585/1/0", "VTMF-23662614")</f>
        <v>VTMF-23662614</v>
      </c>
      <c r="G1286" s="3" t="inlineStr">
        <is>
          <t/>
        </is>
      </c>
      <c r="H1286" s="3" t="inlineStr">
        <is>
          <t>System</t>
        </is>
      </c>
      <c r="I1286" s="3" t="inlineStr">
        <is>
          <t>eSusar Integration Service Account</t>
        </is>
      </c>
      <c r="J1286" s="4" t="n">
        <v>45832.33908564815</v>
      </c>
      <c r="K1286" s="5" t="n">
        <v>45831.0</v>
      </c>
      <c r="L1286" s="5" t="n">
        <v>45831.0</v>
      </c>
      <c r="M1286" s="3" t="inlineStr">
        <is>
          <t>Approved</t>
        </is>
      </c>
      <c r="N1286" s="3" t="inlineStr">
        <is>
          <t>Country Close, Site Close, Study Close</t>
        </is>
      </c>
      <c r="O1286" s="3" t="inlineStr">
        <is>
          <t>42847922MDD3003</t>
        </is>
      </c>
    </row>
    <row r="1287">
      <c r="A1287" s="2" t="str">
        <f>HYPERLINK("https://vtmf.veevavault.com/ui/#doc_info/26391469/1/0", "42847922MDD3003---Relevant Communications-23 May 2024 (v1.0)")</f>
        <v>42847922MDD3003---Relevant Communications-23 May 2024 (v1.0)</v>
      </c>
      <c r="B1287" s="3" t="inlineStr">
        <is>
          <t>Third Parties</t>
        </is>
      </c>
      <c r="C1287" s="3" t="inlineStr">
        <is>
          <t>General</t>
        </is>
      </c>
      <c r="D1287" s="3" t="inlineStr">
        <is>
          <t>Relevant Communications</t>
        </is>
      </c>
      <c r="E1287" s="3" t="inlineStr">
        <is>
          <t>4G Clinical  Release_to_Production_Memo_v2.0</t>
        </is>
      </c>
      <c r="F1287" s="2" t="str">
        <f>HYPERLINK("https://vtmf.veevavault.com/ui/#doc_info/26391469/1/0", "VTMF-21121832")</f>
        <v>VTMF-21121832</v>
      </c>
      <c r="G1287" s="3" t="inlineStr">
        <is>
          <t/>
        </is>
      </c>
      <c r="H1287" s="3" t="inlineStr">
        <is>
          <t>Gina Stefanelli</t>
        </is>
      </c>
      <c r="I1287" s="3" t="inlineStr">
        <is>
          <t>Gina Stefanelli</t>
        </is>
      </c>
      <c r="J1287" s="4" t="n">
        <v>45436.59931712963</v>
      </c>
      <c r="K1287" s="5" t="n">
        <v>45436.0</v>
      </c>
      <c r="L1287" s="5" t="n">
        <v>45435.0</v>
      </c>
      <c r="M1287" s="3" t="inlineStr">
        <is>
          <t>Approved</t>
        </is>
      </c>
      <c r="N1287" s="3" t="inlineStr">
        <is>
          <t>Country Close, Site Close, Study Close</t>
        </is>
      </c>
      <c r="O1287" s="3" t="inlineStr">
        <is>
          <t>42847922MDD3003</t>
        </is>
      </c>
    </row>
    <row r="1288">
      <c r="A1288" s="2" t="str">
        <f>HYPERLINK("https://vtmf.veevavault.com/ui/#doc_info/27992666/1/0", "42847922MDD3003---Relevant Communications-23 Oct 2024 (v1.0)")</f>
        <v>42847922MDD3003---Relevant Communications-23 Oct 2024 (v1.0)</v>
      </c>
      <c r="B1288" s="3" t="inlineStr">
        <is>
          <t>Central Trial Documents</t>
        </is>
      </c>
      <c r="C1288" s="3" t="inlineStr">
        <is>
          <t>General</t>
        </is>
      </c>
      <c r="D1288" s="3" t="inlineStr">
        <is>
          <t>Relevant Communications</t>
        </is>
      </c>
      <c r="E1288" s="3" t="inlineStr">
        <is>
          <t>Email, Janssen Seltorexant MDD3003 Site question _Background AD prescription.</t>
        </is>
      </c>
      <c r="F1288" s="2" t="str">
        <f>HYPERLINK("https://vtmf.veevavault.com/ui/#doc_info/27992666/1/0", "VTMF-22446135")</f>
        <v>VTMF-22446135</v>
      </c>
      <c r="G1288" s="3" t="inlineStr">
        <is>
          <t/>
        </is>
      </c>
      <c r="H1288" s="3" t="inlineStr">
        <is>
          <t>Anthony Suarez (veeva.com)</t>
        </is>
      </c>
      <c r="I1288" s="3" t="inlineStr">
        <is>
          <t>Gina Stefanelli</t>
        </is>
      </c>
      <c r="J1288" s="4" t="n">
        <v>45656.70224537037</v>
      </c>
      <c r="K1288" s="5" t="n">
        <v>45656.0</v>
      </c>
      <c r="L1288" s="5" t="n">
        <v>45588.0</v>
      </c>
      <c r="M1288" s="3" t="inlineStr">
        <is>
          <t>Approved</t>
        </is>
      </c>
      <c r="N1288" s="3" t="inlineStr">
        <is>
          <t>Country Close, Site Close, Study Close</t>
        </is>
      </c>
      <c r="O1288" s="3" t="inlineStr">
        <is>
          <t>42847922MDD3003</t>
        </is>
      </c>
    </row>
    <row r="1289">
      <c r="A1289" s="2" t="str">
        <f>HYPERLINK("https://vtmf.veevavault.com/ui/#doc_info/27993154/1/0", "42847922MDD3003---Relevant Communications-23 Oct 2024 (v1.0)")</f>
        <v>42847922MDD3003---Relevant Communications-23 Oct 2024 (v1.0)</v>
      </c>
      <c r="B1289" s="3" t="inlineStr">
        <is>
          <t>Trial Management</t>
        </is>
      </c>
      <c r="C1289" s="3" t="inlineStr">
        <is>
          <t>General</t>
        </is>
      </c>
      <c r="D1289" s="3" t="inlineStr">
        <is>
          <t>Relevant Communications</t>
        </is>
      </c>
      <c r="E1289" s="3" t="inlineStr">
        <is>
          <t>Email, Janssen 42847922MDD3003 Cyclobenzaprine use for Q&amp;A Log</t>
        </is>
      </c>
      <c r="F1289" s="2" t="str">
        <f>HYPERLINK("https://vtmf.veevavault.com/ui/#doc_info/27993154/1/0", "VTMF-22446578")</f>
        <v>VTMF-22446578</v>
      </c>
      <c r="G1289" s="3" t="inlineStr">
        <is>
          <t/>
        </is>
      </c>
      <c r="H1289" s="3" t="inlineStr">
        <is>
          <t>Anthony Suarez (veeva.com)</t>
        </is>
      </c>
      <c r="I1289" s="3" t="inlineStr">
        <is>
          <t>Gina Stefanelli</t>
        </is>
      </c>
      <c r="J1289" s="4" t="n">
        <v>45656.81621527778</v>
      </c>
      <c r="K1289" s="5" t="n">
        <v>45656.0</v>
      </c>
      <c r="L1289" s="5" t="n">
        <v>45588.0</v>
      </c>
      <c r="M1289" s="3" t="inlineStr">
        <is>
          <t>Approved</t>
        </is>
      </c>
      <c r="N1289" s="3" t="inlineStr">
        <is>
          <t>Country Close, Site Close, Study Close</t>
        </is>
      </c>
      <c r="O1289" s="3" t="inlineStr">
        <is>
          <t>42847922MDD3003</t>
        </is>
      </c>
    </row>
    <row r="1290">
      <c r="A1290" s="2" t="str">
        <f>HYPERLINK("https://vtmf.veevavault.com/ui/#doc_info/27133826/1/0", "42847922MDD3003---Relevant Communications-23 Sep 2024 (v1.0)")</f>
        <v>42847922MDD3003---Relevant Communications-23 Sep 2024 (v1.0)</v>
      </c>
      <c r="B1290" s="3" t="inlineStr">
        <is>
          <t>Trial Management</t>
        </is>
      </c>
      <c r="C1290" s="3" t="inlineStr">
        <is>
          <t>General</t>
        </is>
      </c>
      <c r="D1290" s="3" t="inlineStr">
        <is>
          <t>Relevant Communications</t>
        </is>
      </c>
      <c r="E1290" s="3" t="inlineStr">
        <is>
          <t>Mood Strategy_CRONOS_Training completions at site level tip</t>
        </is>
      </c>
      <c r="F1290" s="2" t="str">
        <f>HYPERLINK("https://vtmf.veevavault.com/ui/#doc_info/27133826/1/0", "VTMF-21752855")</f>
        <v>VTMF-21752855</v>
      </c>
      <c r="G1290" s="3" t="inlineStr">
        <is>
          <t/>
        </is>
      </c>
      <c r="H1290" s="3" t="inlineStr">
        <is>
          <t>Anthony Suarez (veeva.com)</t>
        </is>
      </c>
      <c r="I1290" s="3" t="inlineStr">
        <is>
          <t>Gina Stefanelli</t>
        </is>
      </c>
      <c r="J1290" s="4" t="n">
        <v>45559.824525462966</v>
      </c>
      <c r="K1290" s="5" t="n">
        <v>45559.0</v>
      </c>
      <c r="L1290" s="5" t="n">
        <v>45558.0</v>
      </c>
      <c r="M1290" s="3" t="inlineStr">
        <is>
          <t>Approved</t>
        </is>
      </c>
      <c r="N1290" s="3" t="inlineStr">
        <is>
          <t>Country Close, Site Close, Study Close</t>
        </is>
      </c>
      <c r="O1290" s="3" t="inlineStr">
        <is>
          <t>42847922MDD3003, 67953964MDD3005, 67953964MDD3007</t>
        </is>
      </c>
    </row>
    <row r="1291">
      <c r="A1291" s="2" t="str">
        <f>HYPERLINK("https://vtmf.veevavault.com/ui/#doc_info/26202545/1/0", "42847922MDD3003---Relevant Communications-24 Apr 2024 (v1.0)")</f>
        <v>42847922MDD3003---Relevant Communications-24 Apr 2024 (v1.0)</v>
      </c>
      <c r="B1291" s="3" t="inlineStr">
        <is>
          <t>Safety Reporting</t>
        </is>
      </c>
      <c r="C1291" s="3" t="inlineStr">
        <is>
          <t>General</t>
        </is>
      </c>
      <c r="D1291" s="3" t="inlineStr">
        <is>
          <t>Relevant Communications</t>
        </is>
      </c>
      <c r="E1291" s="3" t="inlineStr">
        <is>
          <t>20231115859_9 Blinded - Notification to Study Level user</t>
        </is>
      </c>
      <c r="F1291" s="2" t="str">
        <f>HYPERLINK("https://vtmf.veevavault.com/ui/#doc_info/26202545/1/0", "VTMF-20957048")</f>
        <v>VTMF-20957048</v>
      </c>
      <c r="G1291" s="3" t="inlineStr">
        <is>
          <t/>
        </is>
      </c>
      <c r="H1291" s="3" t="inlineStr">
        <is>
          <t>System</t>
        </is>
      </c>
      <c r="I1291" s="3" t="inlineStr">
        <is>
          <t>eSusar Integration Service Account</t>
        </is>
      </c>
      <c r="J1291" s="4" t="n">
        <v>45407.34380787037</v>
      </c>
      <c r="K1291" s="5" t="n">
        <v>45406.0</v>
      </c>
      <c r="L1291" s="5" t="n">
        <v>45406.0</v>
      </c>
      <c r="M1291" s="3" t="inlineStr">
        <is>
          <t>Approved</t>
        </is>
      </c>
      <c r="N1291" s="3" t="inlineStr">
        <is>
          <t>Country Close, Site Close, Study Close</t>
        </is>
      </c>
      <c r="O1291" s="3" t="inlineStr">
        <is>
          <t>42847922MDD3003</t>
        </is>
      </c>
    </row>
    <row r="1292">
      <c r="A1292" s="2" t="str">
        <f>HYPERLINK("https://vtmf.veevavault.com/ui/#doc_info/26779198/1/0", "42847922MDD3003---Relevant Communications-24 Jul 2024 (v1.0)")</f>
        <v>42847922MDD3003---Relevant Communications-24 Jul 2024 (v1.0)</v>
      </c>
      <c r="B1292" s="3" t="inlineStr">
        <is>
          <t>Third Parties</t>
        </is>
      </c>
      <c r="C1292" s="3" t="inlineStr">
        <is>
          <t>General</t>
        </is>
      </c>
      <c r="D1292" s="3" t="inlineStr">
        <is>
          <t>Relevant Communications</t>
        </is>
      </c>
      <c r="E1292" s="3" t="inlineStr">
        <is>
          <t>42847922MDD3003_Handheld Software Download Memo_v02.02</t>
        </is>
      </c>
      <c r="F1292" s="2" t="str">
        <f>HYPERLINK("https://vtmf.veevavault.com/ui/#doc_info/26779198/1/0", "VTMF-21461047")</f>
        <v>VTMF-21461047</v>
      </c>
      <c r="G1292" s="3" t="inlineStr">
        <is>
          <t/>
        </is>
      </c>
      <c r="H1292" s="3" t="inlineStr">
        <is>
          <t>Anthony Suarez (veeva.com)</t>
        </is>
      </c>
      <c r="I1292" s="3" t="inlineStr">
        <is>
          <t>Debhora Garcia</t>
        </is>
      </c>
      <c r="J1292" s="4" t="n">
        <v>45499.722407407404</v>
      </c>
      <c r="K1292" s="5" t="n">
        <v>45499.0</v>
      </c>
      <c r="L1292" s="5" t="n">
        <v>45497.0</v>
      </c>
      <c r="M1292" s="3" t="inlineStr">
        <is>
          <t>Approved</t>
        </is>
      </c>
      <c r="N1292" s="3" t="inlineStr">
        <is>
          <t>Country Close, Site Close, Study Close</t>
        </is>
      </c>
      <c r="O1292" s="3" t="inlineStr">
        <is>
          <t>42847922MDD3003</t>
        </is>
      </c>
    </row>
    <row r="1293">
      <c r="A1293" s="2" t="str">
        <f>HYPERLINK("https://vtmf.veevavault.com/ui/#doc_info/29652939/1/0", "42847922MDD3003---Relevant Communications-24 Jul 2025 (v1.0)")</f>
        <v>42847922MDD3003---Relevant Communications-24 Jul 2025 (v1.0)</v>
      </c>
      <c r="B1293" s="3" t="inlineStr">
        <is>
          <t>Trial Management</t>
        </is>
      </c>
      <c r="C1293" s="3" t="inlineStr">
        <is>
          <t>General</t>
        </is>
      </c>
      <c r="D1293" s="3" t="inlineStr">
        <is>
          <t>Relevant Communications</t>
        </is>
      </c>
      <c r="E1293" s="3" t="inlineStr">
        <is>
          <t>GPTP v8.0 Notification to Study Team_24Jul2025</t>
        </is>
      </c>
      <c r="F1293" s="2" t="str">
        <f>HYPERLINK("https://vtmf.veevavault.com/ui/#doc_info/29652939/1/0", "VTMF-23857149")</f>
        <v>VTMF-23857149</v>
      </c>
      <c r="G1293" s="3" t="inlineStr">
        <is>
          <t/>
        </is>
      </c>
      <c r="H1293" s="3" t="inlineStr">
        <is>
          <t>System</t>
        </is>
      </c>
      <c r="I1293" s="3" t="inlineStr">
        <is>
          <t>System</t>
        </is>
      </c>
      <c r="J1293" s="4" t="n">
        <v>45867.790497685186</v>
      </c>
      <c r="K1293" s="5" t="n">
        <v>45867.0</v>
      </c>
      <c r="L1293" s="5" t="n">
        <v>45862.0</v>
      </c>
      <c r="M1293" s="3" t="inlineStr">
        <is>
          <t>Approved</t>
        </is>
      </c>
      <c r="N1293" s="3" t="inlineStr">
        <is>
          <t>Country Close, Site Close, Study Close</t>
        </is>
      </c>
      <c r="O1293" s="3" t="inlineStr">
        <is>
          <t>42847922MDD3003</t>
        </is>
      </c>
    </row>
    <row r="1294">
      <c r="A1294" s="2" t="str">
        <f>HYPERLINK("https://vtmf.veevavault.com/ui/#doc_info/26394294/1/0", "42847922MDD3003---Relevant Communications-24 May 2024 (v1.0)")</f>
        <v>42847922MDD3003---Relevant Communications-24 May 2024 (v1.0)</v>
      </c>
      <c r="B1294" s="3" t="inlineStr">
        <is>
          <t>Third Parties</t>
        </is>
      </c>
      <c r="C1294" s="3" t="inlineStr">
        <is>
          <t>General</t>
        </is>
      </c>
      <c r="D1294" s="3" t="inlineStr">
        <is>
          <t>Relevant Communications</t>
        </is>
      </c>
      <c r="E1294" s="3" t="inlineStr">
        <is>
          <t>4G IRT Go Live Announcement and Support HO</t>
        </is>
      </c>
      <c r="F1294" s="2" t="str">
        <f>HYPERLINK("https://vtmf.veevavault.com/ui/#doc_info/26394294/1/0", "VTMF-21124162")</f>
        <v>VTMF-21124162</v>
      </c>
      <c r="G1294" s="3" t="inlineStr">
        <is>
          <t/>
        </is>
      </c>
      <c r="H1294" s="3" t="inlineStr">
        <is>
          <t>Gina Stefanelli</t>
        </is>
      </c>
      <c r="I1294" s="3" t="inlineStr">
        <is>
          <t>Gina Stefanelli</t>
        </is>
      </c>
      <c r="J1294" s="4" t="n">
        <v>45436.825277777774</v>
      </c>
      <c r="K1294" s="5" t="n">
        <v>45436.0</v>
      </c>
      <c r="L1294" s="5" t="n">
        <v>45436.0</v>
      </c>
      <c r="M1294" s="3" t="inlineStr">
        <is>
          <t>Approved</t>
        </is>
      </c>
      <c r="N1294" s="3" t="inlineStr">
        <is>
          <t>Country Close, Site Close, Study Close</t>
        </is>
      </c>
      <c r="O1294" s="3" t="inlineStr">
        <is>
          <t>42847922MDD3003</t>
        </is>
      </c>
    </row>
    <row r="1295">
      <c r="A1295" s="2" t="str">
        <f>HYPERLINK("https://vtmf.veevavault.com/ui/#doc_info/27132393/1/0", "42847922MDD3003---Relevant Communications-24 Sep 2024 (v1.0)")</f>
        <v>42847922MDD3003---Relevant Communications-24 Sep 2024 (v1.0)</v>
      </c>
      <c r="B1295" s="3" t="inlineStr">
        <is>
          <t>Trial Management</t>
        </is>
      </c>
      <c r="C1295" s="3" t="inlineStr">
        <is>
          <t>General</t>
        </is>
      </c>
      <c r="D1295" s="3" t="inlineStr">
        <is>
          <t>Relevant Communications</t>
        </is>
      </c>
      <c r="E1295" s="3" t="inlineStr">
        <is>
          <t>BYOD Handheld Software Update Notification Memos</t>
        </is>
      </c>
      <c r="F1295" s="2" t="str">
        <f>HYPERLINK("https://vtmf.veevavault.com/ui/#doc_info/27132393/1/0", "VTMF-21751706")</f>
        <v>VTMF-21751706</v>
      </c>
      <c r="G1295" s="3" t="inlineStr">
        <is>
          <t/>
        </is>
      </c>
      <c r="H1295" s="3" t="inlineStr">
        <is>
          <t>Anthony Suarez (veeva.com)</t>
        </is>
      </c>
      <c r="I1295" s="3" t="inlineStr">
        <is>
          <t>Gina Stefanelli</t>
        </is>
      </c>
      <c r="J1295" s="4" t="n">
        <v>45559.675104166665</v>
      </c>
      <c r="K1295" s="5" t="n">
        <v>45559.0</v>
      </c>
      <c r="L1295" s="5" t="n">
        <v>45559.0</v>
      </c>
      <c r="M1295" s="3" t="inlineStr">
        <is>
          <t>Approved</t>
        </is>
      </c>
      <c r="N1295" s="3" t="inlineStr">
        <is>
          <t>Country Close, Site Close, Study Close</t>
        </is>
      </c>
      <c r="O1295" s="3" t="inlineStr">
        <is>
          <t>42847922MDD3003</t>
        </is>
      </c>
    </row>
    <row r="1296">
      <c r="A1296" s="2" t="str">
        <f>HYPERLINK("https://vtmf.veevavault.com/ui/#doc_info/30641315/1/0", "42847922MDD3003---Relevant Communications-25 Aug 2025 (v1.0)")</f>
        <v>42847922MDD3003---Relevant Communications-25 Aug 2025 (v1.0)</v>
      </c>
      <c r="B1296" s="3" t="inlineStr">
        <is>
          <t>Trial Management</t>
        </is>
      </c>
      <c r="C1296" s="3" t="inlineStr">
        <is>
          <t>General</t>
        </is>
      </c>
      <c r="D1296" s="3" t="inlineStr">
        <is>
          <t>Relevant Communications</t>
        </is>
      </c>
      <c r="E1296" s="3" t="inlineStr">
        <is>
          <t>News Post-OARS-7: Correct Footnote “m” in Part 1 Schedule of Assessment (SOA) on Page #22 and Footnote “p” in Part 2 Schedule of Assessment (SOA) on Page #30-25 Aug 2025</t>
        </is>
      </c>
      <c r="F1296" s="2" t="str">
        <f>HYPERLINK("https://vtmf.veevavault.com/ui/#doc_info/30641315/1/0", "VTMF-24690735")</f>
        <v>VTMF-24690735</v>
      </c>
      <c r="G1296" s="3" t="inlineStr">
        <is>
          <t/>
        </is>
      </c>
      <c r="H1296" s="3" t="inlineStr">
        <is>
          <t>System</t>
        </is>
      </c>
      <c r="I1296" s="3" t="inlineStr">
        <is>
          <t>DrugDev API Account</t>
        </is>
      </c>
      <c r="J1296" s="4" t="n">
        <v>46009.80065972222</v>
      </c>
      <c r="K1296" s="5" t="n">
        <v>46010.0</v>
      </c>
      <c r="L1296" s="5" t="n">
        <v>45894.0</v>
      </c>
      <c r="M1296" s="3" t="inlineStr">
        <is>
          <t>Approved</t>
        </is>
      </c>
      <c r="N1296" s="3" t="inlineStr">
        <is>
          <t>Country Close, Site Close, Study Close</t>
        </is>
      </c>
      <c r="O1296" s="3" t="inlineStr">
        <is>
          <t>42847922MDD3003</t>
        </is>
      </c>
    </row>
    <row r="1297">
      <c r="A1297" s="2" t="str">
        <f>HYPERLINK("https://vtmf.veevavault.com/ui/#doc_info/31545046/1/0", "42847922MDD3003---Relevant Communications-25 Aug 2025 (v1.0)")</f>
        <v>42847922MDD3003---Relevant Communications-25 Aug 2025 (v1.0)</v>
      </c>
      <c r="B1297" s="3" t="inlineStr">
        <is>
          <t>Trial Management</t>
        </is>
      </c>
      <c r="C1297" s="3" t="inlineStr">
        <is>
          <t>General</t>
        </is>
      </c>
      <c r="D1297" s="3" t="inlineStr">
        <is>
          <t>Relevant Communications</t>
        </is>
      </c>
      <c r="E1297" s="3" t="inlineStr">
        <is>
          <t>OARS-7 Teckro Alert</t>
        </is>
      </c>
      <c r="F1297" s="2" t="str">
        <f>HYPERLINK("https://vtmf.veevavault.com/ui/#doc_info/31545046/1/0", "VTMF-25456659")</f>
        <v>VTMF-25456659</v>
      </c>
      <c r="G1297" s="3" t="inlineStr">
        <is>
          <t/>
        </is>
      </c>
      <c r="H1297" s="3" t="inlineStr">
        <is>
          <t>System</t>
        </is>
      </c>
      <c r="I1297" s="3" t="inlineStr">
        <is>
          <t>Katelyn Long</t>
        </is>
      </c>
      <c r="J1297" s="4" t="n">
        <v>46140.746886574074</v>
      </c>
      <c r="K1297" s="5" t="n">
        <v>46140.0</v>
      </c>
      <c r="L1297" s="5" t="n">
        <v>45894.0</v>
      </c>
      <c r="M1297" s="3" t="inlineStr">
        <is>
          <t>Approved</t>
        </is>
      </c>
      <c r="N1297" s="3" t="inlineStr">
        <is>
          <t>Country Close, Site Close, Study Close</t>
        </is>
      </c>
      <c r="O1297" s="3" t="inlineStr">
        <is>
          <t>42847922MDD3003</t>
        </is>
      </c>
    </row>
    <row r="1298">
      <c r="A1298" s="2" t="str">
        <f>HYPERLINK("https://vtmf.veevavault.com/ui/#doc_info/28585427/1/0", "42847922MDD3003---Relevant Communications-25 Feb 2025 (v1.0)")</f>
        <v>42847922MDD3003---Relevant Communications-25 Feb 2025 (v1.0)</v>
      </c>
      <c r="B1298" s="3" t="inlineStr">
        <is>
          <t>Third Parties</t>
        </is>
      </c>
      <c r="C1298" s="3" t="inlineStr">
        <is>
          <t>General</t>
        </is>
      </c>
      <c r="D1298" s="3" t="inlineStr">
        <is>
          <t>Relevant Communications</t>
        </is>
      </c>
      <c r="E1298" s="3" t="inlineStr">
        <is>
          <t>Email, LabCorp Lat America site tiers</t>
        </is>
      </c>
      <c r="F1298" s="2" t="str">
        <f>HYPERLINK("https://vtmf.veevavault.com/ui/#doc_info/28585427/1/0", "VTMF-22956960")</f>
        <v>VTMF-22956960</v>
      </c>
      <c r="G1298" s="3" t="inlineStr">
        <is>
          <t/>
        </is>
      </c>
      <c r="H1298" s="3" t="inlineStr">
        <is>
          <t>Anthony Suarez (veeva.com)</t>
        </is>
      </c>
      <c r="I1298" s="3" t="inlineStr">
        <is>
          <t>Gina Stefanelli</t>
        </is>
      </c>
      <c r="J1298" s="4" t="n">
        <v>45719.72106481482</v>
      </c>
      <c r="K1298" s="5" t="n">
        <v>45719.0</v>
      </c>
      <c r="L1298" s="5" t="n">
        <v>45713.0</v>
      </c>
      <c r="M1298" s="3" t="inlineStr">
        <is>
          <t>Approved</t>
        </is>
      </c>
      <c r="N1298" s="3" t="inlineStr">
        <is>
          <t>Country Close, Site Close, Study Close</t>
        </is>
      </c>
      <c r="O1298" s="3" t="inlineStr">
        <is>
          <t>42847922MDD3003</t>
        </is>
      </c>
    </row>
    <row r="1299">
      <c r="A1299" s="2" t="str">
        <f>HYPERLINK("https://vtmf.veevavault.com/ui/#doc_info/28585434/1/0", "42847922MDD3003---Relevant Communications-25 Feb 2025 (v1.0)")</f>
        <v>42847922MDD3003---Relevant Communications-25 Feb 2025 (v1.0)</v>
      </c>
      <c r="B1299" s="3" t="inlineStr">
        <is>
          <t>Third Parties</t>
        </is>
      </c>
      <c r="C1299" s="3" t="inlineStr">
        <is>
          <t>General</t>
        </is>
      </c>
      <c r="D1299" s="3" t="inlineStr">
        <is>
          <t>Relevant Communications</t>
        </is>
      </c>
      <c r="E1299" s="3" t="inlineStr">
        <is>
          <t>Email, LabCorp Lat America site tiers</t>
        </is>
      </c>
      <c r="F1299" s="2" t="str">
        <f>HYPERLINK("https://vtmf.veevavault.com/ui/#doc_info/28585434/1/0", "VTMF-22956978")</f>
        <v>VTMF-22956978</v>
      </c>
      <c r="G1299" s="3" t="inlineStr">
        <is>
          <t/>
        </is>
      </c>
      <c r="H1299" s="3" t="inlineStr">
        <is>
          <t>Anthony Suarez (veeva.com)</t>
        </is>
      </c>
      <c r="I1299" s="3" t="inlineStr">
        <is>
          <t>Gina Stefanelli</t>
        </is>
      </c>
      <c r="J1299" s="4" t="n">
        <v>45719.72252314815</v>
      </c>
      <c r="K1299" s="5" t="n">
        <v>45719.0</v>
      </c>
      <c r="L1299" s="5" t="n">
        <v>45713.0</v>
      </c>
      <c r="M1299" s="3" t="inlineStr">
        <is>
          <t>Approved</t>
        </is>
      </c>
      <c r="N1299" s="3" t="inlineStr">
        <is>
          <t>Country Close, Site Close, Study Close</t>
        </is>
      </c>
      <c r="O1299" s="3" t="inlineStr">
        <is>
          <t>42847922MDD3003</t>
        </is>
      </c>
    </row>
    <row r="1300">
      <c r="A1300" s="2" t="str">
        <f>HYPERLINK("https://vtmf.veevavault.com/ui/#doc_info/29675043/1/0", "42847922MDD3003---Relevant Communications-25 Jul 2025 (v1.0)")</f>
        <v>42847922MDD3003---Relevant Communications-25 Jul 2025 (v1.0)</v>
      </c>
      <c r="B1300" s="3" t="inlineStr">
        <is>
          <t>Trial Management</t>
        </is>
      </c>
      <c r="C1300" s="3" t="inlineStr">
        <is>
          <t>General</t>
        </is>
      </c>
      <c r="D1300" s="3" t="inlineStr">
        <is>
          <t>Relevant Communications</t>
        </is>
      </c>
      <c r="E1300" s="3" t="inlineStr">
        <is>
          <t>News Post-OARS-7: Participant Journey Part 2 for Rollover Participants-25 Jul 2025</t>
        </is>
      </c>
      <c r="F1300" s="2" t="str">
        <f>HYPERLINK("https://vtmf.veevavault.com/ui/#doc_info/29675043/1/0", "VTMF-23874512")</f>
        <v>VTMF-23874512</v>
      </c>
      <c r="G1300" s="3" t="inlineStr">
        <is>
          <t/>
        </is>
      </c>
      <c r="H1300" s="3" t="inlineStr">
        <is>
          <t>System</t>
        </is>
      </c>
      <c r="I1300" s="3" t="inlineStr">
        <is>
          <t>DrugDev API Account</t>
        </is>
      </c>
      <c r="J1300" s="4" t="n">
        <v>45869.89644675926</v>
      </c>
      <c r="K1300" s="5" t="n">
        <v>45870.0</v>
      </c>
      <c r="L1300" s="5" t="n">
        <v>45863.0</v>
      </c>
      <c r="M1300" s="3" t="inlineStr">
        <is>
          <t>Approved</t>
        </is>
      </c>
      <c r="N1300" s="3" t="inlineStr">
        <is>
          <t>Country Close, Site Close, Study Close</t>
        </is>
      </c>
      <c r="O1300" s="3" t="inlineStr">
        <is>
          <t>42847922MDD3003</t>
        </is>
      </c>
    </row>
    <row r="1301">
      <c r="A1301" s="2" t="str">
        <f>HYPERLINK("https://vtmf.veevavault.com/ui/#doc_info/26594410/1/0", "42847922MDD3003---Relevant Communications-25 Jun 2024 (v1.0)")</f>
        <v>42847922MDD3003---Relevant Communications-25 Jun 2024 (v1.0)</v>
      </c>
      <c r="B1301" s="3" t="inlineStr">
        <is>
          <t>Safety Reporting</t>
        </is>
      </c>
      <c r="C1301" s="3" t="inlineStr">
        <is>
          <t>General</t>
        </is>
      </c>
      <c r="D1301" s="3" t="inlineStr">
        <is>
          <t>Relevant Communications</t>
        </is>
      </c>
      <c r="E1301" s="3" t="inlineStr">
        <is>
          <t>SSR_seltorexant_Blinded_05Nov2023-04May2024 - Notification to Study Level user</t>
        </is>
      </c>
      <c r="F1301" s="2" t="str">
        <f>HYPERLINK("https://vtmf.veevavault.com/ui/#doc_info/26594410/1/0", "VTMF-21300333")</f>
        <v>VTMF-21300333</v>
      </c>
      <c r="G1301" s="3" t="inlineStr">
        <is>
          <t/>
        </is>
      </c>
      <c r="H1301" s="3" t="inlineStr">
        <is>
          <t>System</t>
        </is>
      </c>
      <c r="I1301" s="3" t="inlineStr">
        <is>
          <t>eSusar Integration Service Account</t>
        </is>
      </c>
      <c r="J1301" s="4" t="n">
        <v>45469.33721064815</v>
      </c>
      <c r="K1301" s="5" t="n">
        <v>45468.0</v>
      </c>
      <c r="L1301" s="5" t="n">
        <v>45468.0</v>
      </c>
      <c r="M1301" s="3" t="inlineStr">
        <is>
          <t>Approved</t>
        </is>
      </c>
      <c r="N1301" s="3" t="inlineStr">
        <is>
          <t>Country Close, Site Close, Study Close</t>
        </is>
      </c>
      <c r="O1301" s="3" t="inlineStr">
        <is>
          <t>42847922MDD3003</t>
        </is>
      </c>
    </row>
    <row r="1302">
      <c r="A1302" s="2" t="str">
        <f>HYPERLINK("https://vtmf.veevavault.com/ui/#doc_info/26594411/1/0", "42847922MDD3003---Relevant Communications-25 Jun 2024 (v1.0)")</f>
        <v>42847922MDD3003---Relevant Communications-25 Jun 2024 (v1.0)</v>
      </c>
      <c r="B1302" s="3" t="inlineStr">
        <is>
          <t>Safety Reporting</t>
        </is>
      </c>
      <c r="C1302" s="3" t="inlineStr">
        <is>
          <t>General</t>
        </is>
      </c>
      <c r="D1302" s="3" t="inlineStr">
        <is>
          <t>Relevant Communications</t>
        </is>
      </c>
      <c r="E1302" s="3" t="inlineStr">
        <is>
          <t>DSUR_seltorexant_Blinded_05May2023-04May2024 - Notification to Study Level user</t>
        </is>
      </c>
      <c r="F1302" s="2" t="str">
        <f>HYPERLINK("https://vtmf.veevavault.com/ui/#doc_info/26594411/1/0", "VTMF-21300334")</f>
        <v>VTMF-21300334</v>
      </c>
      <c r="G1302" s="3" t="inlineStr">
        <is>
          <t/>
        </is>
      </c>
      <c r="H1302" s="3" t="inlineStr">
        <is>
          <t>System</t>
        </is>
      </c>
      <c r="I1302" s="3" t="inlineStr">
        <is>
          <t>eSusar Integration Service Account</t>
        </is>
      </c>
      <c r="J1302" s="4" t="n">
        <v>45469.33721064815</v>
      </c>
      <c r="K1302" s="5" t="n">
        <v>45468.0</v>
      </c>
      <c r="L1302" s="5" t="n">
        <v>45468.0</v>
      </c>
      <c r="M1302" s="3" t="inlineStr">
        <is>
          <t>Approved</t>
        </is>
      </c>
      <c r="N1302" s="3" t="inlineStr">
        <is>
          <t>Country Close, Site Close, Study Close</t>
        </is>
      </c>
      <c r="O1302" s="3" t="inlineStr">
        <is>
          <t>42847922MDD3003</t>
        </is>
      </c>
    </row>
    <row r="1303">
      <c r="A1303" s="2" t="str">
        <f>HYPERLINK("https://vtmf.veevavault.com/ui/#doc_info/30641159/1/0", "42847922MDD3003---Relevant Communications-25 Jun 2025 (v1.0)")</f>
        <v>42847922MDD3003---Relevant Communications-25 Jun 2025 (v1.0)</v>
      </c>
      <c r="B1303" s="3" t="inlineStr">
        <is>
          <t>Trial Management</t>
        </is>
      </c>
      <c r="C1303" s="3" t="inlineStr">
        <is>
          <t>General</t>
        </is>
      </c>
      <c r="D1303" s="3" t="inlineStr">
        <is>
          <t>Relevant Communications</t>
        </is>
      </c>
      <c r="E1303" s="3" t="inlineStr">
        <is>
          <t>News Post-OARS-7:  Newsletter Issue 4 Now Available!-25 Jun 2025</t>
        </is>
      </c>
      <c r="F1303" s="2" t="str">
        <f>HYPERLINK("https://vtmf.veevavault.com/ui/#doc_info/30641159/1/0", "VTMF-24690491")</f>
        <v>VTMF-24690491</v>
      </c>
      <c r="G1303" s="3" t="inlineStr">
        <is>
          <t/>
        </is>
      </c>
      <c r="H1303" s="3" t="inlineStr">
        <is>
          <t>System</t>
        </is>
      </c>
      <c r="I1303" s="3" t="inlineStr">
        <is>
          <t>DrugDev API Account</t>
        </is>
      </c>
      <c r="J1303" s="4" t="n">
        <v>46009.78670138889</v>
      </c>
      <c r="K1303" s="5" t="n">
        <v>46010.0</v>
      </c>
      <c r="L1303" s="5" t="n">
        <v>45833.0</v>
      </c>
      <c r="M1303" s="3" t="inlineStr">
        <is>
          <t>Approved</t>
        </is>
      </c>
      <c r="N1303" s="3" t="inlineStr">
        <is>
          <t>Country Close, Site Close, Study Close</t>
        </is>
      </c>
      <c r="O1303" s="3" t="inlineStr">
        <is>
          <t>42847922MDD3003</t>
        </is>
      </c>
    </row>
    <row r="1304">
      <c r="A1304" s="2" t="str">
        <f>HYPERLINK("https://vtmf.veevavault.com/ui/#doc_info/30632485/1/0", "42847922MDD3003---Relevant Communications-25 Oct 2024 (v1.0)")</f>
        <v>42847922MDD3003---Relevant Communications-25 Oct 2024 (v1.0)</v>
      </c>
      <c r="B1304" s="3" t="inlineStr">
        <is>
          <t>Trial Management</t>
        </is>
      </c>
      <c r="C1304" s="3" t="inlineStr">
        <is>
          <t>General</t>
        </is>
      </c>
      <c r="D1304" s="3" t="inlineStr">
        <is>
          <t>Relevant Communications</t>
        </is>
      </c>
      <c r="E1304" s="3" t="inlineStr">
        <is>
          <t>News Post-OARS-7: Newsletter Edition 1 Now Available!-25 Oct 2024</t>
        </is>
      </c>
      <c r="F1304" s="2" t="str">
        <f>HYPERLINK("https://vtmf.veevavault.com/ui/#doc_info/30632485/1/0", "VTMF-24683233")</f>
        <v>VTMF-24683233</v>
      </c>
      <c r="G1304" s="3" t="inlineStr">
        <is>
          <t/>
        </is>
      </c>
      <c r="H1304" s="3" t="inlineStr">
        <is>
          <t>System</t>
        </is>
      </c>
      <c r="I1304" s="3" t="inlineStr">
        <is>
          <t>DrugDev API Account</t>
        </is>
      </c>
      <c r="J1304" s="4" t="n">
        <v>46009.16149305556</v>
      </c>
      <c r="K1304" s="5" t="n">
        <v>46010.0</v>
      </c>
      <c r="L1304" s="5" t="n">
        <v>45590.0</v>
      </c>
      <c r="M1304" s="3" t="inlineStr">
        <is>
          <t>Approved</t>
        </is>
      </c>
      <c r="N1304" s="3" t="inlineStr">
        <is>
          <t>Country Close, Site Close, Study Close</t>
        </is>
      </c>
      <c r="O1304" s="3" t="inlineStr">
        <is>
          <t>42847922MDD3003</t>
        </is>
      </c>
    </row>
    <row r="1305">
      <c r="A1305" s="2" t="str">
        <f>HYPERLINK("https://vtmf.veevavault.com/ui/#doc_info/27052165/1/0", "42847922MDD3003---Relevant Communications-26 Aug 2024 (v1.0)")</f>
        <v>42847922MDD3003---Relevant Communications-26 Aug 2024 (v1.0)</v>
      </c>
      <c r="B1305" s="3" t="inlineStr">
        <is>
          <t>Site Management</t>
        </is>
      </c>
      <c r="C1305" s="3" t="inlineStr">
        <is>
          <t>General</t>
        </is>
      </c>
      <c r="D1305" s="3" t="inlineStr">
        <is>
          <t>Relevant Communications</t>
        </is>
      </c>
      <c r="E1305" s="3" t="inlineStr">
        <is>
          <t>42847922MDD3003 SCID-CT clarification memo</t>
        </is>
      </c>
      <c r="F1305" s="2" t="str">
        <f>HYPERLINK("https://vtmf.veevavault.com/ui/#doc_info/27052165/1/0", "VTMF-21683794")</f>
        <v>VTMF-21683794</v>
      </c>
      <c r="G1305" s="3" t="inlineStr">
        <is>
          <t/>
        </is>
      </c>
      <c r="H1305" s="3" t="inlineStr">
        <is>
          <t>Anthony Suarez (veeva.com)</t>
        </is>
      </c>
      <c r="I1305" s="3" t="inlineStr">
        <is>
          <t>Debhora Garcia</t>
        </is>
      </c>
      <c r="J1305" s="4" t="n">
        <v>45545.8559837963</v>
      </c>
      <c r="K1305" s="5" t="n">
        <v>45545.0</v>
      </c>
      <c r="L1305" s="5" t="n">
        <v>45530.0</v>
      </c>
      <c r="M1305" s="3" t="inlineStr">
        <is>
          <t>Approved</t>
        </is>
      </c>
      <c r="N1305" s="3" t="inlineStr">
        <is>
          <t>Available for Distribution, Country Close, Site Close, Study Close</t>
        </is>
      </c>
      <c r="O1305" s="3" t="inlineStr">
        <is>
          <t>42847922MDD3003</t>
        </is>
      </c>
    </row>
    <row r="1306">
      <c r="A1306" s="2" t="str">
        <f>HYPERLINK("https://vtmf.veevavault.com/ui/#doc_info/30959096/1/0", "42847922MDD3003---Relevant Communications-26 Aug 2024 (v1.0)")</f>
        <v>42847922MDD3003---Relevant Communications-26 Aug 2024 (v1.0)</v>
      </c>
      <c r="B1306" s="3" t="inlineStr">
        <is>
          <t>Trial Management</t>
        </is>
      </c>
      <c r="C1306" s="3" t="inlineStr">
        <is>
          <t>General</t>
        </is>
      </c>
      <c r="D1306" s="3" t="inlineStr">
        <is>
          <t>Relevant Communications</t>
        </is>
      </c>
      <c r="E1306" s="3" t="inlineStr">
        <is>
          <t>MDD3003, eligibility-related question re con-meds GLP1 RA e.g. Semaglutide, Liraglutide, Tirzepatide etc taken for Weight Loss/Obesity are Not prohibited</t>
        </is>
      </c>
      <c r="F1306" s="2" t="str">
        <f>HYPERLINK("https://vtmf.veevavault.com/ui/#doc_info/30959096/1/0", "VTMF-24954075")</f>
        <v>VTMF-24954075</v>
      </c>
      <c r="G1306" s="3" t="inlineStr">
        <is>
          <t/>
        </is>
      </c>
      <c r="H1306" s="3" t="inlineStr">
        <is>
          <t>Gabriela Dluska</t>
        </is>
      </c>
      <c r="I1306" s="3" t="inlineStr">
        <is>
          <t>Gabriela Dluska</t>
        </is>
      </c>
      <c r="J1306" s="4" t="n">
        <v>46063.59819444444</v>
      </c>
      <c r="K1306" s="5" t="n">
        <v>46063.0</v>
      </c>
      <c r="L1306" s="5" t="n">
        <v>45530.0</v>
      </c>
      <c r="M1306" s="3" t="inlineStr">
        <is>
          <t>Approved</t>
        </is>
      </c>
      <c r="N1306" s="3" t="inlineStr">
        <is>
          <t>Country Close, Site Close, Study Close</t>
        </is>
      </c>
      <c r="O1306" s="3" t="inlineStr">
        <is>
          <t>42847922MDD3003</t>
        </is>
      </c>
    </row>
    <row r="1307">
      <c r="A1307" s="2" t="str">
        <f>HYPERLINK("https://vtmf.veevavault.com/ui/#doc_info/28568088/1/0", "42847922MDD3003---Relevant Communications-26 Feb 2025 (v1.0)")</f>
        <v>42847922MDD3003---Relevant Communications-26 Feb 2025 (v1.0)</v>
      </c>
      <c r="B1307" s="3" t="inlineStr">
        <is>
          <t>Third Parties</t>
        </is>
      </c>
      <c r="C1307" s="3" t="inlineStr">
        <is>
          <t>General</t>
        </is>
      </c>
      <c r="D1307" s="3" t="inlineStr">
        <is>
          <t>Relevant Communications</t>
        </is>
      </c>
      <c r="E1307" s="3" t="inlineStr">
        <is>
          <t>Clario eCOA BYOD Software Update Memo_v05.00</t>
        </is>
      </c>
      <c r="F1307" s="2" t="str">
        <f>HYPERLINK("https://vtmf.veevavault.com/ui/#doc_info/28568088/1/0", "VTMF-22941968")</f>
        <v>VTMF-22941968</v>
      </c>
      <c r="G1307" s="3" t="inlineStr">
        <is>
          <t/>
        </is>
      </c>
      <c r="H1307" s="3" t="inlineStr">
        <is>
          <t>Anthony Suarez (veeva.com)</t>
        </is>
      </c>
      <c r="I1307" s="3" t="inlineStr">
        <is>
          <t>Debhora Garcia</t>
        </is>
      </c>
      <c r="J1307" s="4" t="n">
        <v>45716.18641203704</v>
      </c>
      <c r="K1307" s="5" t="n">
        <v>45716.0</v>
      </c>
      <c r="L1307" s="5" t="n">
        <v>45714.0</v>
      </c>
      <c r="M1307" s="3" t="inlineStr">
        <is>
          <t>Approved</t>
        </is>
      </c>
      <c r="N1307" s="3" t="inlineStr">
        <is>
          <t>Country Close, Site Close, Study Close</t>
        </is>
      </c>
      <c r="O1307" s="3" t="inlineStr">
        <is>
          <t>42847922MDD3003</t>
        </is>
      </c>
    </row>
    <row r="1308">
      <c r="A1308" s="2" t="str">
        <f>HYPERLINK("https://vtmf.veevavault.com/ui/#doc_info/28568100/1/0", "42847922MDD3003---Relevant Communications-26 Feb 2025 (v1.0)")</f>
        <v>42847922MDD3003---Relevant Communications-26 Feb 2025 (v1.0)</v>
      </c>
      <c r="B1308" s="3" t="inlineStr">
        <is>
          <t>Third Parties</t>
        </is>
      </c>
      <c r="C1308" s="3" t="inlineStr">
        <is>
          <t>General</t>
        </is>
      </c>
      <c r="D1308" s="3" t="inlineStr">
        <is>
          <t>Relevant Communications</t>
        </is>
      </c>
      <c r="E1308" s="3" t="inlineStr">
        <is>
          <t>Memo, Clario eCOA Handheld Software Download _v05.00</t>
        </is>
      </c>
      <c r="F1308" s="2" t="str">
        <f>HYPERLINK("https://vtmf.veevavault.com/ui/#doc_info/28568100/1/0", "VTMF-22941987")</f>
        <v>VTMF-22941987</v>
      </c>
      <c r="G1308" s="3" t="inlineStr">
        <is>
          <t/>
        </is>
      </c>
      <c r="H1308" s="3" t="inlineStr">
        <is>
          <t>Anthony Suarez (veeva.com)</t>
        </is>
      </c>
      <c r="I1308" s="3" t="inlineStr">
        <is>
          <t>Debhora Garcia</t>
        </is>
      </c>
      <c r="J1308" s="4" t="n">
        <v>45716.19016203703</v>
      </c>
      <c r="K1308" s="5" t="n">
        <v>45716.0</v>
      </c>
      <c r="L1308" s="5" t="n">
        <v>45714.0</v>
      </c>
      <c r="M1308" s="3" t="inlineStr">
        <is>
          <t>Approved</t>
        </is>
      </c>
      <c r="N1308" s="3" t="inlineStr">
        <is>
          <t>Country Close, Site Close, Study Close</t>
        </is>
      </c>
      <c r="O1308" s="3" t="inlineStr">
        <is>
          <t>42847922MDD3003</t>
        </is>
      </c>
    </row>
    <row r="1309">
      <c r="A1309" s="2" t="str">
        <f>HYPERLINK("https://vtmf.veevavault.com/ui/#doc_info/28587829/1/0", "42847922MDD3003---Relevant Communications-26 Feb 2025 (v1.0)")</f>
        <v>42847922MDD3003---Relevant Communications-26 Feb 2025 (v1.0)</v>
      </c>
      <c r="B1309" s="3" t="inlineStr">
        <is>
          <t>Site Management</t>
        </is>
      </c>
      <c r="C1309" s="3" t="inlineStr">
        <is>
          <t>General</t>
        </is>
      </c>
      <c r="D1309" s="3" t="inlineStr">
        <is>
          <t>Relevant Communications</t>
        </is>
      </c>
      <c r="E1309" s="3" t="inlineStr">
        <is>
          <t>Email, Notification_JANSSEN_42847922MDD3003_PI_ Dr_ Jorge Betancourt M_D__Site_ US10219(United States)_Subject ID_ US102190004_F_Visit: Part 2 OL Induction Day 29 _Alert: Lymphocytes</t>
        </is>
      </c>
      <c r="F1309" s="2" t="str">
        <f>HYPERLINK("https://vtmf.veevavault.com/ui/#doc_info/28587829/1/0", "VTMF-22959174")</f>
        <v>VTMF-22959174</v>
      </c>
      <c r="G1309" s="3" t="inlineStr">
        <is>
          <t/>
        </is>
      </c>
      <c r="H1309" s="3" t="inlineStr">
        <is>
          <t>Anthony Suarez (veeva.com)</t>
        </is>
      </c>
      <c r="I1309" s="3" t="inlineStr">
        <is>
          <t>Gina Stefanelli</t>
        </is>
      </c>
      <c r="J1309" s="4" t="n">
        <v>45720.084386574075</v>
      </c>
      <c r="K1309" s="5" t="n">
        <v>45719.0</v>
      </c>
      <c r="L1309" s="5" t="n">
        <v>45714.0</v>
      </c>
      <c r="M1309" s="3" t="inlineStr">
        <is>
          <t>Approved</t>
        </is>
      </c>
      <c r="N1309" s="3" t="inlineStr">
        <is>
          <t>Available for Distribution, Country Close, Site Close, Study Close</t>
        </is>
      </c>
      <c r="O1309" s="3" t="inlineStr">
        <is>
          <t>42847922MDD3003</t>
        </is>
      </c>
    </row>
    <row r="1310">
      <c r="A1310" s="2" t="str">
        <f>HYPERLINK("https://vtmf.veevavault.com/ui/#doc_info/31079614/1/0", "42847922MDD3003---Relevant Communications-26 Feb 2026 (v1.0)")</f>
        <v>42847922MDD3003---Relevant Communications-26 Feb 2026 (v1.0)</v>
      </c>
      <c r="B1310" s="3" t="inlineStr">
        <is>
          <t>Trial Management</t>
        </is>
      </c>
      <c r="C1310" s="3" t="inlineStr">
        <is>
          <t>General</t>
        </is>
      </c>
      <c r="D1310" s="3" t="inlineStr">
        <is>
          <t>Relevant Communications</t>
        </is>
      </c>
      <c r="E1310" s="3" t="inlineStr">
        <is>
          <t>Part 2 Direct entry_screening extended</t>
        </is>
      </c>
      <c r="F1310" s="2" t="str">
        <f>HYPERLINK("https://vtmf.veevavault.com/ui/#doc_info/31079614/1/0", "VTMF-25056592")</f>
        <v>VTMF-25056592</v>
      </c>
      <c r="G1310" s="3" t="inlineStr">
        <is>
          <t/>
        </is>
      </c>
      <c r="H1310" s="3" t="inlineStr">
        <is>
          <t>System</t>
        </is>
      </c>
      <c r="I1310" s="3" t="inlineStr">
        <is>
          <t>Gina Stefanelli</t>
        </is>
      </c>
      <c r="J1310" s="4" t="n">
        <v>46080.56398148148</v>
      </c>
      <c r="K1310" s="5" t="n">
        <v>46080.0</v>
      </c>
      <c r="L1310" s="5" t="n">
        <v>46079.0</v>
      </c>
      <c r="M1310" s="3" t="inlineStr">
        <is>
          <t>Approved</t>
        </is>
      </c>
      <c r="N1310" s="3" t="inlineStr">
        <is>
          <t>Country Close, Site Close, Study Close</t>
        </is>
      </c>
      <c r="O1310" s="3" t="inlineStr">
        <is>
          <t>42847922MDD3003</t>
        </is>
      </c>
    </row>
    <row r="1311">
      <c r="A1311" s="2" t="str">
        <f>HYPERLINK("https://vtmf.veevavault.com/ui/#doc_info/31282024/1/0", "42847922MDD3003---Relevant Communications-26 Mar 2026 (v1.0)")</f>
        <v>42847922MDD3003---Relevant Communications-26 Mar 2026 (v1.0)</v>
      </c>
      <c r="B1311" s="3" t="inlineStr">
        <is>
          <t>Trial Management</t>
        </is>
      </c>
      <c r="C1311" s="3" t="inlineStr">
        <is>
          <t>General</t>
        </is>
      </c>
      <c r="D1311" s="3" t="inlineStr">
        <is>
          <t>Relevant Communications</t>
        </is>
      </c>
      <c r="E1311" s="3" t="inlineStr">
        <is>
          <t>News Post-OARS-7: Protocol Clarification - Patient Journey-20 Mar 2026</t>
        </is>
      </c>
      <c r="F1311" s="2" t="str">
        <f>HYPERLINK("https://vtmf.veevavault.com/ui/#doc_info/31282024/1/0", "VTMF-25228649")</f>
        <v>VTMF-25228649</v>
      </c>
      <c r="G1311" s="3" t="inlineStr">
        <is>
          <t/>
        </is>
      </c>
      <c r="H1311" s="3" t="inlineStr">
        <is>
          <t>System</t>
        </is>
      </c>
      <c r="I1311" s="3" t="inlineStr">
        <is>
          <t>DrugDev API Account</t>
        </is>
      </c>
      <c r="J1311" s="4" t="n">
        <v>46107.8840625</v>
      </c>
      <c r="K1311" s="5" t="n">
        <v>46107.0</v>
      </c>
      <c r="L1311" s="5" t="n">
        <v>46107.0</v>
      </c>
      <c r="M1311" s="3" t="inlineStr">
        <is>
          <t>Approved</t>
        </is>
      </c>
      <c r="N1311" s="3" t="inlineStr">
        <is>
          <t>Country Close, Site Close, Study Close</t>
        </is>
      </c>
      <c r="O1311" s="3" t="inlineStr">
        <is>
          <t>42847922MDD3003</t>
        </is>
      </c>
    </row>
    <row r="1312">
      <c r="A1312" s="2" t="str">
        <f>HYPERLINK("https://vtmf.veevavault.com/ui/#doc_info/31282090/1/0", "42847922MDD3003---Relevant Communications-26 Mar 2026 (v1.0)")</f>
        <v>42847922MDD3003---Relevant Communications-26 Mar 2026 (v1.0)</v>
      </c>
      <c r="B1312" s="3" t="inlineStr">
        <is>
          <t>Trial Management</t>
        </is>
      </c>
      <c r="C1312" s="3" t="inlineStr">
        <is>
          <t>General</t>
        </is>
      </c>
      <c r="D1312" s="3" t="inlineStr">
        <is>
          <t>Relevant Communications</t>
        </is>
      </c>
      <c r="E1312" s="3" t="inlineStr">
        <is>
          <t>News Post-OARS-7: End of Enrollment Part 1-25 Mar 2026</t>
        </is>
      </c>
      <c r="F1312" s="2" t="str">
        <f>HYPERLINK("https://vtmf.veevavault.com/ui/#doc_info/31282090/1/0", "VTMF-25228715")</f>
        <v>VTMF-25228715</v>
      </c>
      <c r="G1312" s="3" t="inlineStr">
        <is>
          <t/>
        </is>
      </c>
      <c r="H1312" s="3" t="inlineStr">
        <is>
          <t>System</t>
        </is>
      </c>
      <c r="I1312" s="3" t="inlineStr">
        <is>
          <t>DrugDev API Account</t>
        </is>
      </c>
      <c r="J1312" s="4" t="n">
        <v>46107.8840625</v>
      </c>
      <c r="K1312" s="5" t="n">
        <v>46107.0</v>
      </c>
      <c r="L1312" s="5" t="n">
        <v>46107.0</v>
      </c>
      <c r="M1312" s="3" t="inlineStr">
        <is>
          <t>Approved</t>
        </is>
      </c>
      <c r="N1312" s="3" t="inlineStr">
        <is>
          <t>Country Close, Site Close, Study Close</t>
        </is>
      </c>
      <c r="O1312" s="3" t="inlineStr">
        <is>
          <t>42847922MDD3003</t>
        </is>
      </c>
    </row>
    <row r="1313">
      <c r="A1313" s="2" t="str">
        <f>HYPERLINK("https://vtmf.veevavault.com/ui/#doc_info/30507291/1/0", "42847922MDD3003---Relevant Communications-26 Nov 2025 (v1.0)")</f>
        <v>42847922MDD3003---Relevant Communications-26 Nov 2025 (v1.0)</v>
      </c>
      <c r="B1313" s="3" t="inlineStr">
        <is>
          <t>Third Parties</t>
        </is>
      </c>
      <c r="C1313" s="3" t="inlineStr">
        <is>
          <t>General</t>
        </is>
      </c>
      <c r="D1313" s="3" t="inlineStr">
        <is>
          <t>Relevant Communications</t>
        </is>
      </c>
      <c r="E1313" s="3" t="inlineStr">
        <is>
          <t>LabCorp Access Revoke Requests</t>
        </is>
      </c>
      <c r="F1313" s="2" t="str">
        <f>HYPERLINK("https://vtmf.veevavault.com/ui/#doc_info/30507291/1/0", "VTMF-24579156")</f>
        <v>VTMF-24579156</v>
      </c>
      <c r="G1313" s="3" t="inlineStr">
        <is>
          <t/>
        </is>
      </c>
      <c r="H1313" s="3" t="inlineStr">
        <is>
          <t>System</t>
        </is>
      </c>
      <c r="I1313" s="3" t="inlineStr">
        <is>
          <t>Gina Stefanelli</t>
        </is>
      </c>
      <c r="J1313" s="4" t="n">
        <v>45992.87689814815</v>
      </c>
      <c r="K1313" s="5" t="n">
        <v>45992.0</v>
      </c>
      <c r="L1313" s="5" t="n">
        <v>45987.0</v>
      </c>
      <c r="M1313" s="3" t="inlineStr">
        <is>
          <t>Approved</t>
        </is>
      </c>
      <c r="N1313" s="3" t="inlineStr">
        <is>
          <t>Country Close, Site Close, Study Close</t>
        </is>
      </c>
      <c r="O1313" s="3" t="inlineStr">
        <is>
          <t>42847922MDD3003</t>
        </is>
      </c>
    </row>
    <row r="1314">
      <c r="A1314" s="2" t="str">
        <f>HYPERLINK("https://vtmf.veevavault.com/ui/#doc_info/30038556/1/0", "42847922MDD3003---Relevant Communications-26 Sep 2025 (v1.0)")</f>
        <v>42847922MDD3003---Relevant Communications-26 Sep 2025 (v1.0)</v>
      </c>
      <c r="B1314" s="3" t="inlineStr">
        <is>
          <t>Third Parties</t>
        </is>
      </c>
      <c r="C1314" s="3" t="inlineStr">
        <is>
          <t>General</t>
        </is>
      </c>
      <c r="D1314" s="3" t="inlineStr">
        <is>
          <t>Relevant Communications</t>
        </is>
      </c>
      <c r="E1314" s="3" t="inlineStr">
        <is>
          <t>MGH CTNI SAFER Interview 10 Tips for smooth collaboration</t>
        </is>
      </c>
      <c r="F1314" s="2" t="str">
        <f>HYPERLINK("https://vtmf.veevavault.com/ui/#doc_info/30038556/1/0", "VTMF-24182021")</f>
        <v>VTMF-24182021</v>
      </c>
      <c r="G1314" s="3" t="inlineStr">
        <is>
          <t/>
        </is>
      </c>
      <c r="H1314" s="3" t="inlineStr">
        <is>
          <t>System</t>
        </is>
      </c>
      <c r="I1314" s="3" t="inlineStr">
        <is>
          <t>Gina Stefanelli</t>
        </is>
      </c>
      <c r="J1314" s="4" t="n">
        <v>45926.609085648146</v>
      </c>
      <c r="K1314" s="5" t="n">
        <v>45926.0</v>
      </c>
      <c r="L1314" s="5" t="n">
        <v>45926.0</v>
      </c>
      <c r="M1314" s="3" t="inlineStr">
        <is>
          <t>Approved</t>
        </is>
      </c>
      <c r="N1314" s="3" t="inlineStr">
        <is>
          <t>Country Close, Site Close, Study Close</t>
        </is>
      </c>
      <c r="O1314" s="3" t="inlineStr">
        <is>
          <t>42847922MDD3003</t>
        </is>
      </c>
    </row>
    <row r="1315">
      <c r="A1315" s="2" t="str">
        <f>HYPERLINK("https://vtmf.veevavault.com/ui/#doc_info/30959094/1/0", "42847922MDD3003---Relevant Communications-27 Aug 2024 (v1.0)")</f>
        <v>42847922MDD3003---Relevant Communications-27 Aug 2024 (v1.0)</v>
      </c>
      <c r="B1315" s="3" t="inlineStr">
        <is>
          <t>Trial Management</t>
        </is>
      </c>
      <c r="C1315" s="3" t="inlineStr">
        <is>
          <t>General</t>
        </is>
      </c>
      <c r="D1315" s="3" t="inlineStr">
        <is>
          <t>Relevant Communications</t>
        </is>
      </c>
      <c r="E1315" s="3" t="inlineStr">
        <is>
          <t>MDD3003 SCID-CT clarification memo</t>
        </is>
      </c>
      <c r="F1315" s="2" t="str">
        <f>HYPERLINK("https://vtmf.veevavault.com/ui/#doc_info/30959094/1/0", "VTMF-24954073")</f>
        <v>VTMF-24954073</v>
      </c>
      <c r="G1315" s="3" t="inlineStr">
        <is>
          <t/>
        </is>
      </c>
      <c r="H1315" s="3" t="inlineStr">
        <is>
          <t>Gabriela Dluska</t>
        </is>
      </c>
      <c r="I1315" s="3" t="inlineStr">
        <is>
          <t>Gabriela Dluska</t>
        </is>
      </c>
      <c r="J1315" s="4" t="n">
        <v>46063.59819444444</v>
      </c>
      <c r="K1315" s="5" t="n">
        <v>46063.0</v>
      </c>
      <c r="L1315" s="5" t="n">
        <v>45531.0</v>
      </c>
      <c r="M1315" s="3" t="inlineStr">
        <is>
          <t>Approved</t>
        </is>
      </c>
      <c r="N1315" s="3" t="inlineStr">
        <is>
          <t>Country Close, Site Close, Study Close</t>
        </is>
      </c>
      <c r="O1315" s="3" t="inlineStr">
        <is>
          <t>42847922MDD3003</t>
        </is>
      </c>
    </row>
    <row r="1316">
      <c r="A1316" s="2" t="str">
        <f>HYPERLINK("https://vtmf.veevavault.com/ui/#doc_info/31545045/1/0", "42847922MDD3003---Relevant Communications-27 Aug 2025 (v1.0)")</f>
        <v>42847922MDD3003---Relevant Communications-27 Aug 2025 (v1.0)</v>
      </c>
      <c r="B1316" s="3" t="inlineStr">
        <is>
          <t>Trial Management</t>
        </is>
      </c>
      <c r="C1316" s="3" t="inlineStr">
        <is>
          <t>General</t>
        </is>
      </c>
      <c r="D1316" s="3" t="inlineStr">
        <is>
          <t>Relevant Communications</t>
        </is>
      </c>
      <c r="E1316" s="3" t="inlineStr">
        <is>
          <t>OARS-7 Teckro Alert</t>
        </is>
      </c>
      <c r="F1316" s="2" t="str">
        <f>HYPERLINK("https://vtmf.veevavault.com/ui/#doc_info/31545045/1/0", "VTMF-25456658")</f>
        <v>VTMF-25456658</v>
      </c>
      <c r="G1316" s="3" t="inlineStr">
        <is>
          <t/>
        </is>
      </c>
      <c r="H1316" s="3" t="inlineStr">
        <is>
          <t>System</t>
        </is>
      </c>
      <c r="I1316" s="3" t="inlineStr">
        <is>
          <t>Katelyn Long</t>
        </is>
      </c>
      <c r="J1316" s="4" t="n">
        <v>46140.746886574074</v>
      </c>
      <c r="K1316" s="5" t="n">
        <v>46140.0</v>
      </c>
      <c r="L1316" s="5" t="n">
        <v>45896.0</v>
      </c>
      <c r="M1316" s="3" t="inlineStr">
        <is>
          <t>Approved</t>
        </is>
      </c>
      <c r="N1316" s="3" t="inlineStr">
        <is>
          <t>Country Close, Site Close, Study Close</t>
        </is>
      </c>
      <c r="O1316" s="3" t="inlineStr">
        <is>
          <t>42847922MDD3003</t>
        </is>
      </c>
    </row>
    <row r="1317">
      <c r="A1317" s="2" t="str">
        <f>HYPERLINK("https://vtmf.veevavault.com/ui/#doc_info/30640167/1/0", "42847922MDD3003---Relevant Communications-27 Mar 2025 (v1.0)")</f>
        <v>42847922MDD3003---Relevant Communications-27 Mar 2025 (v1.0)</v>
      </c>
      <c r="B1317" s="3" t="inlineStr">
        <is>
          <t>Trial Management</t>
        </is>
      </c>
      <c r="C1317" s="3" t="inlineStr">
        <is>
          <t>General</t>
        </is>
      </c>
      <c r="D1317" s="3" t="inlineStr">
        <is>
          <t>Relevant Communications</t>
        </is>
      </c>
      <c r="E1317" s="3" t="inlineStr">
        <is>
          <t>News Post-OARS-7:  Newsletter Issue 3 Now Available!-27 Mar 2025</t>
        </is>
      </c>
      <c r="F1317" s="2" t="str">
        <f>HYPERLINK("https://vtmf.veevavault.com/ui/#doc_info/30640167/1/0", "VTMF-24689692")</f>
        <v>VTMF-24689692</v>
      </c>
      <c r="G1317" s="3" t="inlineStr">
        <is>
          <t/>
        </is>
      </c>
      <c r="H1317" s="3" t="inlineStr">
        <is>
          <t>System</t>
        </is>
      </c>
      <c r="I1317" s="3" t="inlineStr">
        <is>
          <t>DrugDev API Account</t>
        </is>
      </c>
      <c r="J1317" s="4" t="n">
        <v>46009.72644675926</v>
      </c>
      <c r="K1317" s="5" t="n">
        <v>46010.0</v>
      </c>
      <c r="L1317" s="5" t="n">
        <v>45743.0</v>
      </c>
      <c r="M1317" s="3" t="inlineStr">
        <is>
          <t>Approved</t>
        </is>
      </c>
      <c r="N1317" s="3" t="inlineStr">
        <is>
          <t>Country Close, Site Close, Study Close</t>
        </is>
      </c>
      <c r="O1317" s="3" t="inlineStr">
        <is>
          <t>42847922MDD3003</t>
        </is>
      </c>
    </row>
    <row r="1318">
      <c r="A1318" s="2" t="str">
        <f>HYPERLINK("https://vtmf.veevavault.com/ui/#doc_info/29211041/1/0", "42847922MDD3003---Relevant Communications-27 May 2025 (v1.0)")</f>
        <v>42847922MDD3003---Relevant Communications-27 May 2025 (v1.0)</v>
      </c>
      <c r="B1318" s="3" t="inlineStr">
        <is>
          <t>Trial Management</t>
        </is>
      </c>
      <c r="C1318" s="3" t="inlineStr">
        <is>
          <t>General</t>
        </is>
      </c>
      <c r="D1318" s="3" t="inlineStr">
        <is>
          <t>Relevant Communications</t>
        </is>
      </c>
      <c r="E1318" s="3" t="inlineStr">
        <is>
          <t>OARS-7 Labkits; 27May2025</t>
        </is>
      </c>
      <c r="F1318" s="2" t="str">
        <f>HYPERLINK("https://vtmf.veevavault.com/ui/#doc_info/29211041/1/0", "VTMF-23478727")</f>
        <v>VTMF-23478727</v>
      </c>
      <c r="G1318" s="3" t="inlineStr">
        <is>
          <t/>
        </is>
      </c>
      <c r="H1318" s="3" t="inlineStr">
        <is>
          <t>System</t>
        </is>
      </c>
      <c r="I1318" s="3" t="inlineStr">
        <is>
          <t>Debhora Garcia</t>
        </is>
      </c>
      <c r="J1318" s="4" t="n">
        <v>45805.07350694444</v>
      </c>
      <c r="K1318" s="5" t="n">
        <v>45804.0</v>
      </c>
      <c r="L1318" s="5" t="n">
        <v>45804.0</v>
      </c>
      <c r="M1318" s="3" t="inlineStr">
        <is>
          <t>Approved</t>
        </is>
      </c>
      <c r="N1318" s="3" t="inlineStr">
        <is>
          <t>Country Close, Site Close, Study Close</t>
        </is>
      </c>
      <c r="O1318" s="3" t="inlineStr">
        <is>
          <t>42847922MDD3003</t>
        </is>
      </c>
    </row>
    <row r="1319">
      <c r="A1319" s="2" t="str">
        <f>HYPERLINK("https://vtmf.veevavault.com/ui/#doc_info/27778939/1/0", "42847922MDD3003---Relevant Communications-27 Nov 2024 (v1.0)")</f>
        <v>42847922MDD3003---Relevant Communications-27 Nov 2024 (v1.0)</v>
      </c>
      <c r="B1319" s="3" t="inlineStr">
        <is>
          <t>Trial Management</t>
        </is>
      </c>
      <c r="C1319" s="3" t="inlineStr">
        <is>
          <t>General</t>
        </is>
      </c>
      <c r="D1319" s="3" t="inlineStr">
        <is>
          <t>Relevant Communications</t>
        </is>
      </c>
      <c r="E1319" s="3" t="inlineStr">
        <is>
          <t>Email, MADRS Recording Consent Process Across MDD Trials</t>
        </is>
      </c>
      <c r="F1319" s="2" t="str">
        <f>HYPERLINK("https://vtmf.veevavault.com/ui/#doc_info/27778939/1/0", "VTMF-22275055")</f>
        <v>VTMF-22275055</v>
      </c>
      <c r="G1319" s="3" t="inlineStr">
        <is>
          <t/>
        </is>
      </c>
      <c r="H1319" s="3" t="inlineStr">
        <is>
          <t>Anthony Suarez (veeva.com)</t>
        </is>
      </c>
      <c r="I1319" s="3" t="inlineStr">
        <is>
          <t>Flavia Di Molfetta</t>
        </is>
      </c>
      <c r="J1319" s="4" t="n">
        <v>45628.53912037037</v>
      </c>
      <c r="K1319" s="5" t="n">
        <v>45628.0</v>
      </c>
      <c r="L1319" s="5" t="n">
        <v>45623.0</v>
      </c>
      <c r="M1319" s="3" t="inlineStr">
        <is>
          <t>Approved</t>
        </is>
      </c>
      <c r="N1319" s="3" t="inlineStr">
        <is>
          <t>Country Close, Site Close, Study Close</t>
        </is>
      </c>
      <c r="O1319" s="3" t="inlineStr">
        <is>
          <t>42847922MDD3003, 67953964MDD3005, 67953964MDD3007</t>
        </is>
      </c>
    </row>
    <row r="1320">
      <c r="A1320" s="2" t="str">
        <f>HYPERLINK("https://vtmf.veevavault.com/ui/#doc_info/29895774/1/0", "42847922MDD3003---Relevant Communications-28 Aug 2025 (v1.0)")</f>
        <v>42847922MDD3003---Relevant Communications-28 Aug 2025 (v1.0)</v>
      </c>
      <c r="B1320" s="3" t="inlineStr">
        <is>
          <t>Trial Management</t>
        </is>
      </c>
      <c r="C1320" s="3" t="inlineStr">
        <is>
          <t>General</t>
        </is>
      </c>
      <c r="D1320" s="3" t="inlineStr">
        <is>
          <t>Relevant Communications</t>
        </is>
      </c>
      <c r="E1320" s="3" t="inlineStr">
        <is>
          <t>News Post-OARS-7: PROMIS-SD Collected at Screening-28 Aug 2025</t>
        </is>
      </c>
      <c r="F1320" s="2" t="str">
        <f>HYPERLINK("https://vtmf.veevavault.com/ui/#doc_info/29895774/1/0", "VTMF-24063970")</f>
        <v>VTMF-24063970</v>
      </c>
      <c r="G1320" s="3" t="inlineStr">
        <is>
          <t/>
        </is>
      </c>
      <c r="H1320" s="3" t="inlineStr">
        <is>
          <t>System</t>
        </is>
      </c>
      <c r="I1320" s="3" t="inlineStr">
        <is>
          <t>DrugDev API Account</t>
        </is>
      </c>
      <c r="J1320" s="4" t="n">
        <v>45904.89634259259</v>
      </c>
      <c r="K1320" s="5" t="n">
        <v>45905.0</v>
      </c>
      <c r="L1320" s="5" t="n">
        <v>45897.0</v>
      </c>
      <c r="M1320" s="3" t="inlineStr">
        <is>
          <t>Approved</t>
        </is>
      </c>
      <c r="N1320" s="3" t="inlineStr">
        <is>
          <t>Country Close, Site Close, Study Close</t>
        </is>
      </c>
      <c r="O1320" s="3" t="inlineStr">
        <is>
          <t>42847922MDD3003</t>
        </is>
      </c>
    </row>
    <row r="1321">
      <c r="A1321" s="2" t="str">
        <f>HYPERLINK("https://vtmf.veevavault.com/ui/#doc_info/30880922/1/0", "42847922MDD3003---Relevant Communications-28 Jan 2026 (v1.0)")</f>
        <v>42847922MDD3003---Relevant Communications-28 Jan 2026 (v1.0)</v>
      </c>
      <c r="B1321" s="3" t="inlineStr">
        <is>
          <t>Trial Management</t>
        </is>
      </c>
      <c r="C1321" s="3" t="inlineStr">
        <is>
          <t>General</t>
        </is>
      </c>
      <c r="D1321" s="3" t="inlineStr">
        <is>
          <t>Relevant Communications</t>
        </is>
      </c>
      <c r="E1321" s="3" t="inlineStr">
        <is>
          <t>News Post-OARS-7: Timelines and Switch to Part 2 Direct Entry - Please Review!-29 Jan 2026</t>
        </is>
      </c>
      <c r="F1321" s="2" t="str">
        <f>HYPERLINK("https://vtmf.veevavault.com/ui/#doc_info/30880922/1/0", "VTMF-24888438")</f>
        <v>VTMF-24888438</v>
      </c>
      <c r="G1321" s="3" t="inlineStr">
        <is>
          <t/>
        </is>
      </c>
      <c r="H1321" s="3" t="inlineStr">
        <is>
          <t>System</t>
        </is>
      </c>
      <c r="I1321" s="3" t="inlineStr">
        <is>
          <t>DrugDev API Account</t>
        </is>
      </c>
      <c r="J1321" s="4" t="n">
        <v>46051.8962962963</v>
      </c>
      <c r="K1321" s="5" t="n">
        <v>46052.0</v>
      </c>
      <c r="L1321" s="5" t="n">
        <v>46050.0</v>
      </c>
      <c r="M1321" s="3" t="inlineStr">
        <is>
          <t>Approved</t>
        </is>
      </c>
      <c r="N1321" s="3" t="inlineStr">
        <is>
          <t>Country Close, Site Close, Study Close</t>
        </is>
      </c>
      <c r="O1321" s="3" t="inlineStr">
        <is>
          <t>42847922MDD3003</t>
        </is>
      </c>
    </row>
    <row r="1322">
      <c r="A1322" s="2" t="str">
        <f>HYPERLINK("https://vtmf.veevavault.com/ui/#doc_info/26624593/1/0", "42847922MDD3003---Relevant Communications-28 Jun 2024 (v1.0)")</f>
        <v>42847922MDD3003---Relevant Communications-28 Jun 2024 (v1.0)</v>
      </c>
      <c r="B1322" s="3" t="inlineStr">
        <is>
          <t>Trial Management</t>
        </is>
      </c>
      <c r="C1322" s="3" t="inlineStr">
        <is>
          <t>General</t>
        </is>
      </c>
      <c r="D1322" s="3" t="inlineStr">
        <is>
          <t>Relevant Communications</t>
        </is>
      </c>
      <c r="E1322" s="3" t="inlineStr">
        <is>
          <t>final site and central rater guidance document V1.0 Jun 24</t>
        </is>
      </c>
      <c r="F1322" s="2" t="str">
        <f>HYPERLINK("https://vtmf.veevavault.com/ui/#doc_info/26624593/1/0", "VTMF-21326854")</f>
        <v>VTMF-21326854</v>
      </c>
      <c r="G1322" s="3" t="inlineStr">
        <is>
          <t/>
        </is>
      </c>
      <c r="H1322" s="3" t="inlineStr">
        <is>
          <t>System</t>
        </is>
      </c>
      <c r="I1322" s="3" t="inlineStr">
        <is>
          <t>Gina Stefanelli</t>
        </is>
      </c>
      <c r="J1322" s="4" t="n">
        <v>45474.59197916667</v>
      </c>
      <c r="K1322" s="5" t="n">
        <v>45474.0</v>
      </c>
      <c r="L1322" s="5" t="n">
        <v>45471.0</v>
      </c>
      <c r="M1322" s="3" t="inlineStr">
        <is>
          <t>Approved</t>
        </is>
      </c>
      <c r="N1322" s="3" t="inlineStr">
        <is>
          <t>Country Close, Site Close, Study Close</t>
        </is>
      </c>
      <c r="O1322" s="3" t="inlineStr">
        <is>
          <t>42847922MDD3003, 67953964MDD3005, 67953964MDD3007</t>
        </is>
      </c>
    </row>
    <row r="1323">
      <c r="A1323" s="2" t="str">
        <f>HYPERLINK("https://vtmf.veevavault.com/ui/#doc_info/27847073/1/0", "42847922MDD3003---Relevant Communications-28 Oct 2024 (v1.0)")</f>
        <v>42847922MDD3003---Relevant Communications-28 Oct 2024 (v1.0)</v>
      </c>
      <c r="B1323" s="3" t="inlineStr">
        <is>
          <t>Site Management</t>
        </is>
      </c>
      <c r="C1323" s="3" t="inlineStr">
        <is>
          <t>General</t>
        </is>
      </c>
      <c r="D1323" s="3" t="inlineStr">
        <is>
          <t>Relevant Communications</t>
        </is>
      </c>
      <c r="E1323" s="3" t="inlineStr">
        <is>
          <t>Email, JANSSEN_MDD3003_PI_ Betancourt_ Site_US10219_Subject_US102190001_IQVIA Eligibility Review_ Approved</t>
        </is>
      </c>
      <c r="F1323" s="2" t="str">
        <f>HYPERLINK("https://vtmf.veevavault.com/ui/#doc_info/27847073/1/0", "VTMF-22329878")</f>
        <v>VTMF-22329878</v>
      </c>
      <c r="G1323" s="3" t="inlineStr">
        <is>
          <t/>
        </is>
      </c>
      <c r="H1323" s="3" t="inlineStr">
        <is>
          <t>Anthony Suarez (veeva.com)</t>
        </is>
      </c>
      <c r="I1323" s="3" t="inlineStr">
        <is>
          <t>Gina Stefanelli</t>
        </is>
      </c>
      <c r="J1323" s="4" t="n">
        <v>45637.69112268519</v>
      </c>
      <c r="K1323" s="5" t="n">
        <v>45637.0</v>
      </c>
      <c r="L1323" s="5" t="n">
        <v>45593.0</v>
      </c>
      <c r="M1323" s="3" t="inlineStr">
        <is>
          <t>Approved</t>
        </is>
      </c>
      <c r="N1323" s="3" t="inlineStr">
        <is>
          <t>Available for Distribution, Country Close, Site Close, Study Close</t>
        </is>
      </c>
      <c r="O1323" s="3" t="inlineStr">
        <is>
          <t>42847922MDD3003</t>
        </is>
      </c>
    </row>
    <row r="1324">
      <c r="A1324" s="2" t="str">
        <f>HYPERLINK("https://vtmf.veevavault.com/ui/#doc_info/30272230/1/0", "42847922MDD3003---Relevant Communications-28 Oct 2025 (v1.0)")</f>
        <v>42847922MDD3003---Relevant Communications-28 Oct 2025 (v1.0)</v>
      </c>
      <c r="B1324" s="3" t="inlineStr">
        <is>
          <t>Trial Management</t>
        </is>
      </c>
      <c r="C1324" s="3" t="inlineStr">
        <is>
          <t>General</t>
        </is>
      </c>
      <c r="D1324" s="3" t="inlineStr">
        <is>
          <t>Relevant Communications</t>
        </is>
      </c>
      <c r="E1324" s="3" t="inlineStr">
        <is>
          <t>News Post-OARS-7: Critical SIGMA-MADRS Administration and Scoring Reminders-29 Oct 2025</t>
        </is>
      </c>
      <c r="F1324" s="2" t="str">
        <f>HYPERLINK("https://vtmf.veevavault.com/ui/#doc_info/30272230/1/0", "VTMF-24376141")</f>
        <v>VTMF-24376141</v>
      </c>
      <c r="G1324" s="3" t="inlineStr">
        <is>
          <t/>
        </is>
      </c>
      <c r="H1324" s="3" t="inlineStr">
        <is>
          <t>System</t>
        </is>
      </c>
      <c r="I1324" s="3" t="inlineStr">
        <is>
          <t>DrugDev API Account</t>
        </is>
      </c>
      <c r="J1324" s="4" t="n">
        <v>45960.85454861111</v>
      </c>
      <c r="K1324" s="5" t="n">
        <v>45961.0</v>
      </c>
      <c r="L1324" s="5" t="n">
        <v>45958.0</v>
      </c>
      <c r="M1324" s="3" t="inlineStr">
        <is>
          <t>Approved</t>
        </is>
      </c>
      <c r="N1324" s="3" t="inlineStr">
        <is>
          <t>Country Close, Site Close, Study Close</t>
        </is>
      </c>
      <c r="O1324" s="3" t="inlineStr">
        <is>
          <t>42847922MDD3003</t>
        </is>
      </c>
    </row>
    <row r="1325">
      <c r="A1325" s="2" t="str">
        <f>HYPERLINK("https://vtmf.veevavault.com/ui/#doc_info/30641026/1/0", "42847922MDD3003---Relevant Communications-29 Apr 2025 (v1.0)")</f>
        <v>42847922MDD3003---Relevant Communications-29 Apr 2025 (v1.0)</v>
      </c>
      <c r="B1325" s="3" t="inlineStr">
        <is>
          <t>Trial Management</t>
        </is>
      </c>
      <c r="C1325" s="3" t="inlineStr">
        <is>
          <t>General</t>
        </is>
      </c>
      <c r="D1325" s="3" t="inlineStr">
        <is>
          <t>Relevant Communications</t>
        </is>
      </c>
      <c r="E1325" s="3" t="inlineStr">
        <is>
          <t>News Post-OARS-7:  Mental Health Awareness Month-29 Apr 2025</t>
        </is>
      </c>
      <c r="F1325" s="2" t="str">
        <f>HYPERLINK("https://vtmf.veevavault.com/ui/#doc_info/30641026/1/0", "VTMF-24690358")</f>
        <v>VTMF-24690358</v>
      </c>
      <c r="G1325" s="3" t="inlineStr">
        <is>
          <t/>
        </is>
      </c>
      <c r="H1325" s="3" t="inlineStr">
        <is>
          <t>System</t>
        </is>
      </c>
      <c r="I1325" s="3" t="inlineStr">
        <is>
          <t>DrugDev API Account</t>
        </is>
      </c>
      <c r="J1325" s="4" t="n">
        <v>46009.78670138889</v>
      </c>
      <c r="K1325" s="5" t="n">
        <v>46010.0</v>
      </c>
      <c r="L1325" s="5" t="n">
        <v>45776.0</v>
      </c>
      <c r="M1325" s="3" t="inlineStr">
        <is>
          <t>Approved</t>
        </is>
      </c>
      <c r="N1325" s="3" t="inlineStr">
        <is>
          <t>Country Close, Site Close, Study Close</t>
        </is>
      </c>
      <c r="O1325" s="3" t="inlineStr">
        <is>
          <t>42847922MDD3003</t>
        </is>
      </c>
    </row>
    <row r="1326">
      <c r="A1326" s="2" t="str">
        <f>HYPERLINK("https://vtmf.veevavault.com/ui/#doc_info/27053005/1/0", "42847922MDD3003---Relevant Communications-29 Aug 2024 (v1.0)")</f>
        <v>42847922MDD3003---Relevant Communications-29 Aug 2024 (v1.0)</v>
      </c>
      <c r="B1326" s="3" t="inlineStr">
        <is>
          <t>Third Parties</t>
        </is>
      </c>
      <c r="C1326" s="3" t="inlineStr">
        <is>
          <t>General</t>
        </is>
      </c>
      <c r="D1326" s="3" t="inlineStr">
        <is>
          <t>Relevant Communications</t>
        </is>
      </c>
      <c r="E1326" s="3" t="inlineStr">
        <is>
          <t>JNJ_42847922MDD3003- Google Chrome webview update_Memo (provisioned device)</t>
        </is>
      </c>
      <c r="F1326" s="2" t="str">
        <f>HYPERLINK("https://vtmf.veevavault.com/ui/#doc_info/27053005/1/0", "VTMF-21684260")</f>
        <v>VTMF-21684260</v>
      </c>
      <c r="G1326" s="3" t="inlineStr">
        <is>
          <t/>
        </is>
      </c>
      <c r="H1326" s="3" t="inlineStr">
        <is>
          <t>Anthony Suarez (veeva.com)</t>
        </is>
      </c>
      <c r="I1326" s="3" t="inlineStr">
        <is>
          <t>Debhora Garcia</t>
        </is>
      </c>
      <c r="J1326" s="4" t="n">
        <v>45545.944548611114</v>
      </c>
      <c r="K1326" s="5" t="n">
        <v>45545.0</v>
      </c>
      <c r="L1326" s="5" t="n">
        <v>45533.0</v>
      </c>
      <c r="M1326" s="3" t="inlineStr">
        <is>
          <t>Approved</t>
        </is>
      </c>
      <c r="N1326" s="3" t="inlineStr">
        <is>
          <t>Country Close, Site Close, Study Close</t>
        </is>
      </c>
      <c r="O1326" s="3" t="inlineStr">
        <is>
          <t>42847922MDD3003</t>
        </is>
      </c>
    </row>
    <row r="1327">
      <c r="A1327" s="2" t="str">
        <f>HYPERLINK("https://vtmf.veevavault.com/ui/#doc_info/29858241/1/0", "42847922MDD3003---Relevant Communications-29 Aug 2025 (v1.0)")</f>
        <v>42847922MDD3003---Relevant Communications-29 Aug 2025 (v1.0)</v>
      </c>
      <c r="B1327" s="3" t="inlineStr">
        <is>
          <t>Site Management</t>
        </is>
      </c>
      <c r="C1327" s="3" t="inlineStr">
        <is>
          <t>General</t>
        </is>
      </c>
      <c r="D1327" s="3" t="inlineStr">
        <is>
          <t>Relevant Communications</t>
        </is>
      </c>
      <c r="E1327" s="3" t="inlineStr">
        <is>
          <t>Enrollment cap increase_S10-US10212 Dr Zaidi</t>
        </is>
      </c>
      <c r="F1327" s="2" t="str">
        <f>HYPERLINK("https://vtmf.veevavault.com/ui/#doc_info/29858241/1/0", "VTMF-24031298")</f>
        <v>VTMF-24031298</v>
      </c>
      <c r="G1327" s="3" t="inlineStr">
        <is>
          <t/>
        </is>
      </c>
      <c r="H1327" s="3" t="inlineStr">
        <is>
          <t>Anthony Suarez (veeva.com)</t>
        </is>
      </c>
      <c r="I1327" s="3" t="inlineStr">
        <is>
          <t>Gina Stefanelli</t>
        </is>
      </c>
      <c r="J1327" s="4" t="n">
        <v>45898.68645833333</v>
      </c>
      <c r="K1327" s="5" t="n">
        <v>45898.0</v>
      </c>
      <c r="L1327" s="5" t="n">
        <v>45898.0</v>
      </c>
      <c r="M1327" s="3" t="inlineStr">
        <is>
          <t>Approved</t>
        </is>
      </c>
      <c r="N1327" s="3" t="inlineStr">
        <is>
          <t>Available for Distribution, Country Close, Site Close, Study Close</t>
        </is>
      </c>
      <c r="O1327" s="3" t="inlineStr">
        <is>
          <t>42847922MDD3003</t>
        </is>
      </c>
    </row>
    <row r="1328">
      <c r="A1328" s="2" t="str">
        <f>HYPERLINK("https://vtmf.veevavault.com/ui/#doc_info/30971928/1/0", "42847922MDD3003---Relevant Communications-29 Jan 2026 (v1.0)")</f>
        <v>42847922MDD3003---Relevant Communications-29 Jan 2026 (v1.0)</v>
      </c>
      <c r="B1328" s="3" t="inlineStr">
        <is>
          <t>Third Parties</t>
        </is>
      </c>
      <c r="C1328" s="3" t="inlineStr">
        <is>
          <t>General</t>
        </is>
      </c>
      <c r="D1328" s="3" t="inlineStr">
        <is>
          <t>Relevant Communications</t>
        </is>
      </c>
      <c r="E1328" s="3" t="inlineStr">
        <is>
          <t>NTF_Training Requirement Complete_Site US10009</t>
        </is>
      </c>
      <c r="F1328" s="2" t="str">
        <f>HYPERLINK("https://vtmf.veevavault.com/ui/#doc_info/30971928/1/0", "VTMF-24964919")</f>
        <v>VTMF-24964919</v>
      </c>
      <c r="G1328" s="3" t="inlineStr">
        <is>
          <t/>
        </is>
      </c>
      <c r="H1328" s="3" t="inlineStr">
        <is>
          <t>System</t>
        </is>
      </c>
      <c r="I1328" s="3" t="inlineStr">
        <is>
          <t>Debhora Garcia</t>
        </is>
      </c>
      <c r="J1328" s="4" t="n">
        <v>46065.02866898148</v>
      </c>
      <c r="K1328" s="5" t="n">
        <v>46064.0</v>
      </c>
      <c r="L1328" s="5" t="n">
        <v>46051.0</v>
      </c>
      <c r="M1328" s="3" t="inlineStr">
        <is>
          <t>Approved</t>
        </is>
      </c>
      <c r="N1328" s="3" t="inlineStr">
        <is>
          <t>Country Close, Site Close, Study Close</t>
        </is>
      </c>
      <c r="O1328" s="3" t="inlineStr">
        <is>
          <t>42847922MDD3003, 42847922MDD3014</t>
        </is>
      </c>
    </row>
    <row r="1329">
      <c r="A1329" s="2" t="str">
        <f>HYPERLINK("https://vtmf.veevavault.com/ui/#doc_info/30086889/1/0", "42847922MDD3003---Relevant Communications-29 Sep 2025 (v1.0)")</f>
        <v>42847922MDD3003---Relevant Communications-29 Sep 2025 (v1.0)</v>
      </c>
      <c r="B1329" s="3" t="inlineStr">
        <is>
          <t>Trial Management</t>
        </is>
      </c>
      <c r="C1329" s="3" t="inlineStr">
        <is>
          <t>General</t>
        </is>
      </c>
      <c r="D1329" s="3" t="inlineStr">
        <is>
          <t>Relevant Communications</t>
        </is>
      </c>
      <c r="E1329" s="3" t="inlineStr">
        <is>
          <t>News Post-OARS-7: 10 CTNI Tips for SAFER Success-29 Sep 2025</t>
        </is>
      </c>
      <c r="F1329" s="2" t="str">
        <f>HYPERLINK("https://vtmf.veevavault.com/ui/#doc_info/30086889/1/0", "VTMF-24218370")</f>
        <v>VTMF-24218370</v>
      </c>
      <c r="G1329" s="3" t="inlineStr">
        <is>
          <t/>
        </is>
      </c>
      <c r="H1329" s="3" t="inlineStr">
        <is>
          <t>System</t>
        </is>
      </c>
      <c r="I1329" s="3" t="inlineStr">
        <is>
          <t>DrugDev API Account</t>
        </is>
      </c>
      <c r="J1329" s="4" t="n">
        <v>45932.896365740744</v>
      </c>
      <c r="K1329" s="5" t="n">
        <v>45933.0</v>
      </c>
      <c r="L1329" s="5" t="n">
        <v>45929.0</v>
      </c>
      <c r="M1329" s="3" t="inlineStr">
        <is>
          <t>Approved</t>
        </is>
      </c>
      <c r="N1329" s="3" t="inlineStr">
        <is>
          <t>Country Close, Site Close, Study Close</t>
        </is>
      </c>
      <c r="O1329" s="3" t="inlineStr">
        <is>
          <t>42847922MDD3003</t>
        </is>
      </c>
    </row>
    <row r="1330">
      <c r="A1330" s="2" t="str">
        <f>HYPERLINK("https://vtmf.veevavault.com/ui/#doc_info/31569321/1/0", "42847922MDD3003---Relevant Communications-30 Apr 2026 (v1.0)")</f>
        <v>42847922MDD3003---Relevant Communications-30 Apr 2026 (v1.0)</v>
      </c>
      <c r="B1330" s="3" t="inlineStr">
        <is>
          <t>Trial Management</t>
        </is>
      </c>
      <c r="C1330" s="3" t="inlineStr">
        <is>
          <t>General</t>
        </is>
      </c>
      <c r="D1330" s="3" t="inlineStr">
        <is>
          <t>Relevant Communications</t>
        </is>
      </c>
      <c r="E1330" s="3" t="inlineStr">
        <is>
          <t>News Post-OARS-7: PCC Background ADT Compliance-23 Apr 2026</t>
        </is>
      </c>
      <c r="F1330" s="2" t="str">
        <f>HYPERLINK("https://vtmf.veevavault.com/ui/#doc_info/31569321/1/0", "VTMF-25477556")</f>
        <v>VTMF-25477556</v>
      </c>
      <c r="G1330" s="3" t="inlineStr">
        <is>
          <t/>
        </is>
      </c>
      <c r="H1330" s="3" t="inlineStr">
        <is>
          <t>System</t>
        </is>
      </c>
      <c r="I1330" s="3" t="inlineStr">
        <is>
          <t>DrugDev API Account</t>
        </is>
      </c>
      <c r="J1330" s="4" t="n">
        <v>46142.93798611111</v>
      </c>
      <c r="K1330" s="5" t="n">
        <v>46142.0</v>
      </c>
      <c r="L1330" s="5" t="n">
        <v>46142.0</v>
      </c>
      <c r="M1330" s="3" t="inlineStr">
        <is>
          <t>Approved</t>
        </is>
      </c>
      <c r="N1330" s="3" t="inlineStr">
        <is>
          <t>Country Close, Site Close, Study Close</t>
        </is>
      </c>
      <c r="O1330" s="3" t="inlineStr">
        <is>
          <t>42847922MDD3003</t>
        </is>
      </c>
    </row>
    <row r="1331">
      <c r="A1331" s="2" t="str">
        <f>HYPERLINK("https://vtmf.veevavault.com/ui/#doc_info/31569343/1/0", "42847922MDD3003---Relevant Communications-30 Apr 2026 (v1.0)")</f>
        <v>42847922MDD3003---Relevant Communications-30 Apr 2026 (v1.0)</v>
      </c>
      <c r="B1331" s="3" t="inlineStr">
        <is>
          <t>Trial Management</t>
        </is>
      </c>
      <c r="C1331" s="3" t="inlineStr">
        <is>
          <t>General</t>
        </is>
      </c>
      <c r="D1331" s="3" t="inlineStr">
        <is>
          <t>Relevant Communications</t>
        </is>
      </c>
      <c r="E1331" s="3" t="inlineStr">
        <is>
          <t>News Post-OARS-7: Updated ICF, v 7.0 dated 12Jan2026-27 Apr 2026</t>
        </is>
      </c>
      <c r="F1331" s="2" t="str">
        <f>HYPERLINK("https://vtmf.veevavault.com/ui/#doc_info/31569343/1/0", "VTMF-25477578")</f>
        <v>VTMF-25477578</v>
      </c>
      <c r="G1331" s="3" t="inlineStr">
        <is>
          <t/>
        </is>
      </c>
      <c r="H1331" s="3" t="inlineStr">
        <is>
          <t>System</t>
        </is>
      </c>
      <c r="I1331" s="3" t="inlineStr">
        <is>
          <t>DrugDev API Account</t>
        </is>
      </c>
      <c r="J1331" s="4" t="n">
        <v>46142.93798611111</v>
      </c>
      <c r="K1331" s="5" t="n">
        <v>46142.0</v>
      </c>
      <c r="L1331" s="5" t="n">
        <v>46142.0</v>
      </c>
      <c r="M1331" s="3" t="inlineStr">
        <is>
          <t>Approved</t>
        </is>
      </c>
      <c r="N1331" s="3" t="inlineStr">
        <is>
          <t>Country Close, Site Close, Study Close</t>
        </is>
      </c>
      <c r="O1331" s="3" t="inlineStr">
        <is>
          <t>42847922MDD3003</t>
        </is>
      </c>
    </row>
    <row r="1332">
      <c r="A1332" s="2" t="str">
        <f>HYPERLINK("https://vtmf.veevavault.com/ui/#doc_info/30640014/1/0", "42847922MDD3003---Relevant Communications-30 Jan 2025 (v1.0)")</f>
        <v>42847922MDD3003---Relevant Communications-30 Jan 2025 (v1.0)</v>
      </c>
      <c r="B1332" s="3" t="inlineStr">
        <is>
          <t>Trial Management</t>
        </is>
      </c>
      <c r="C1332" s="3" t="inlineStr">
        <is>
          <t>General</t>
        </is>
      </c>
      <c r="D1332" s="3" t="inlineStr">
        <is>
          <t>Relevant Communications</t>
        </is>
      </c>
      <c r="E1332" s="3" t="inlineStr">
        <is>
          <t>News Post-OARS-7: Colleague Referral Letter-30 Jan 2025</t>
        </is>
      </c>
      <c r="F1332" s="2" t="str">
        <f>HYPERLINK("https://vtmf.veevavault.com/ui/#doc_info/30640014/1/0", "VTMF-24689539")</f>
        <v>VTMF-24689539</v>
      </c>
      <c r="G1332" s="3" t="inlineStr">
        <is>
          <t/>
        </is>
      </c>
      <c r="H1332" s="3" t="inlineStr">
        <is>
          <t>System</t>
        </is>
      </c>
      <c r="I1332" s="3" t="inlineStr">
        <is>
          <t>DrugDev API Account</t>
        </is>
      </c>
      <c r="J1332" s="4" t="n">
        <v>46009.72644675926</v>
      </c>
      <c r="K1332" s="5" t="n">
        <v>46010.0</v>
      </c>
      <c r="L1332" s="5" t="n">
        <v>45687.0</v>
      </c>
      <c r="M1332" s="3" t="inlineStr">
        <is>
          <t>Approved</t>
        </is>
      </c>
      <c r="N1332" s="3" t="inlineStr">
        <is>
          <t>Country Close, Site Close, Study Close</t>
        </is>
      </c>
      <c r="O1332" s="3" t="inlineStr">
        <is>
          <t>42847922MDD3003</t>
        </is>
      </c>
    </row>
    <row r="1333">
      <c r="A1333" s="2" t="str">
        <f>HYPERLINK("https://vtmf.veevavault.com/ui/#doc_info/27170826/1/0", "42847922MDD3003---Relevant Communications-30 Sep 2024 (v1.0)")</f>
        <v>42847922MDD3003---Relevant Communications-30 Sep 2024 (v1.0)</v>
      </c>
      <c r="B1333" s="3" t="inlineStr">
        <is>
          <t>Third Parties</t>
        </is>
      </c>
      <c r="C1333" s="3" t="inlineStr">
        <is>
          <t>General</t>
        </is>
      </c>
      <c r="D1333" s="3" t="inlineStr">
        <is>
          <t>Relevant Communications</t>
        </is>
      </c>
      <c r="E1333" s="3" t="inlineStr">
        <is>
          <t>Communication to Study Team and LTMs regarding Clario eCOA issue with 29Sep24 Studyworks Update and Tablet Web Access</t>
        </is>
      </c>
      <c r="F1333" s="2" t="str">
        <f>HYPERLINK("https://vtmf.veevavault.com/ui/#doc_info/27170826/1/0", "VTMF-21785137")</f>
        <v>VTMF-21785137</v>
      </c>
      <c r="G1333" s="3" t="inlineStr">
        <is>
          <t/>
        </is>
      </c>
      <c r="H1333" s="3" t="inlineStr">
        <is>
          <t>Anthony Suarez (veeva.com)</t>
        </is>
      </c>
      <c r="I1333" s="3" t="inlineStr">
        <is>
          <t>Debhora Garcia</t>
        </is>
      </c>
      <c r="J1333" s="4" t="n">
        <v>45566.06549768519</v>
      </c>
      <c r="K1333" s="5" t="n">
        <v>45566.0</v>
      </c>
      <c r="L1333" s="5" t="n">
        <v>45565.0</v>
      </c>
      <c r="M1333" s="3" t="inlineStr">
        <is>
          <t>Approved</t>
        </is>
      </c>
      <c r="N1333" s="3" t="inlineStr">
        <is>
          <t>Country Close, Site Close, Study Close</t>
        </is>
      </c>
      <c r="O1333" s="3" t="inlineStr">
        <is>
          <t>42847922MDD3003</t>
        </is>
      </c>
    </row>
    <row r="1334">
      <c r="A1334" s="2" t="str">
        <f>HYPERLINK("https://vtmf.veevavault.com/ui/#doc_info/29071625/1/0", "42847922MDD3003---Report Setup Document-03 Jul 2024 (v1.0)")</f>
        <v>42847922MDD3003---Report Setup Document-03 Jul 2024 (v1.0)</v>
      </c>
      <c r="B1334" s="3" t="inlineStr">
        <is>
          <t>Data Management</t>
        </is>
      </c>
      <c r="C1334" s="3" t="inlineStr">
        <is>
          <t>Data Management Oversight</t>
        </is>
      </c>
      <c r="D1334" s="3" t="inlineStr">
        <is>
          <t>Report Setup Document</t>
        </is>
      </c>
      <c r="E1334" s="3" t="inlineStr">
        <is>
          <t>42847922MDD3003_TaggingExtract_20240703</t>
        </is>
      </c>
      <c r="F1334" s="2" t="str">
        <f>HYPERLINK("https://vtmf.veevavault.com/ui/#doc_info/29071625/1/0", "VTMF-23358494")</f>
        <v>VTMF-23358494</v>
      </c>
      <c r="G1334" s="3" t="inlineStr">
        <is>
          <t/>
        </is>
      </c>
      <c r="H1334" s="3" t="inlineStr">
        <is>
          <t>Anthony Suarez (veeva.com)</t>
        </is>
      </c>
      <c r="I1334" s="3" t="inlineStr">
        <is>
          <t>Adedokun Ademiluyi</t>
        </is>
      </c>
      <c r="J1334" s="4" t="n">
        <v>45785.74527777778</v>
      </c>
      <c r="K1334" s="5" t="n">
        <v>45790.0</v>
      </c>
      <c r="L1334" s="5" t="n">
        <v>45476.0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42847922MDD3003</t>
        </is>
      </c>
    </row>
    <row r="1335">
      <c r="A1335" s="2" t="str">
        <f>HYPERLINK("https://vtmf.veevavault.com/ui/#doc_info/31772106/3/0", "42847922MDD3003---Request for Database Lock/Unblinding-02 Jun 2026 (v3.0)")</f>
        <v>42847922MDD3003---Request for Database Lock/Unblinding-02 Jun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Request for Database Lock/Unblinding</t>
        </is>
      </c>
      <c r="E1335" s="3" t="inlineStr">
        <is>
          <t>Request for database Lock/Unblinding_DBL Part 1_2JUN26</t>
        </is>
      </c>
      <c r="F1335" s="2" t="str">
        <f>HYPERLINK("https://vtmf.veevavault.com/ui/#doc_info/31772106/3/0", "VTMF-25645010")</f>
        <v>VTMF-25645010</v>
      </c>
      <c r="G1335" s="3" t="inlineStr">
        <is>
          <t/>
        </is>
      </c>
      <c r="H1335" s="3" t="inlineStr">
        <is>
          <t>System</t>
        </is>
      </c>
      <c r="I1335" s="3" t="inlineStr">
        <is>
          <t>Ilona Panis</t>
        </is>
      </c>
      <c r="J1335" s="4" t="n">
        <v>46175.995300925926</v>
      </c>
      <c r="K1335" s="5" t="n">
        <v>46175.0</v>
      </c>
      <c r="L1335" s="5" t="n">
        <v>46175.0</v>
      </c>
      <c r="M1335" s="3" t="inlineStr">
        <is>
          <t>Approved</t>
        </is>
      </c>
      <c r="N1335" s="3" t="inlineStr">
        <is>
          <t>Study Close</t>
        </is>
      </c>
      <c r="O1335" s="3" t="inlineStr">
        <is>
          <t>42847922MDD3003</t>
        </is>
      </c>
    </row>
    <row r="1336">
      <c r="A1336" s="2" t="str">
        <f>HYPERLINK("https://vtmf.veevavault.com/ui/#doc_info/26755872/3/0", "42847922MDD3003---Risk Management Plan-17 Mar 2026 (v3.0)")</f>
        <v>42847922MDD3003---Risk Management Plan-17 Mar 2026 (v3.0)</v>
      </c>
      <c r="B1336" s="3" t="inlineStr">
        <is>
          <t>Trial Management</t>
        </is>
      </c>
      <c r="C1336" s="3" t="inlineStr">
        <is>
          <t>Trial Oversight</t>
        </is>
      </c>
      <c r="D1336" s="3" t="inlineStr">
        <is>
          <t>Risk Management Plan</t>
        </is>
      </c>
      <c r="E1336" s="3" t="inlineStr">
        <is>
          <t>Critical Data Oversight Plan (CDOP)_Version 3</t>
        </is>
      </c>
      <c r="F1336" s="2" t="str">
        <f>HYPERLINK("https://vtmf.veevavault.com/ui/#doc_info/26755872/3/0", "VTMF-21440975")</f>
        <v>VTMF-21440975</v>
      </c>
      <c r="G1336" s="3" t="inlineStr">
        <is>
          <t/>
        </is>
      </c>
      <c r="H1336" s="3" t="inlineStr">
        <is>
          <t>System</t>
        </is>
      </c>
      <c r="I1336" s="3" t="inlineStr">
        <is>
          <t>Shelby Lawrence</t>
        </is>
      </c>
      <c r="J1336" s="4" t="n">
        <v>46098.88303240741</v>
      </c>
      <c r="K1336" s="5" t="n">
        <v>46107.0</v>
      </c>
      <c r="L1336" s="5" t="n">
        <v>46098.0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42847922MDD3003</t>
        </is>
      </c>
    </row>
    <row r="1337">
      <c r="A1337" s="2" t="str">
        <f>HYPERLINK("https://vtmf.veevavault.com/ui/#doc_info/26497890/1/0", "42847922MDD3003---Roles and Responsibilities Matrix-10 Jun 2024 (v1.0)")</f>
        <v>42847922MDD3003---Roles and Responsibilities Matrix-10 Jun 2024 (v1.0)</v>
      </c>
      <c r="B1337" s="3" t="inlineStr">
        <is>
          <t>Third Parties</t>
        </is>
      </c>
      <c r="C1337" s="3" t="inlineStr">
        <is>
          <t>Third Party Set-up</t>
        </is>
      </c>
      <c r="D1337" s="3" t="inlineStr">
        <is>
          <t>Roles and Responsibilities Matrix</t>
        </is>
      </c>
      <c r="E1337" s="3" t="inlineStr">
        <is>
          <t>CTNI Safer Interview Implementation Plan</t>
        </is>
      </c>
      <c r="F1337" s="2" t="str">
        <f>HYPERLINK("https://vtmf.veevavault.com/ui/#doc_info/26497890/1/0", "VTMF-21216127")</f>
        <v>VTMF-21216127</v>
      </c>
      <c r="G1337" s="3" t="inlineStr">
        <is>
          <t/>
        </is>
      </c>
      <c r="H1337" s="3" t="inlineStr">
        <is>
          <t>System</t>
        </is>
      </c>
      <c r="I1337" s="3" t="inlineStr">
        <is>
          <t>Kristina Ruzinska</t>
        </is>
      </c>
      <c r="J1337" s="4" t="n">
        <v>45454.42805555555</v>
      </c>
      <c r="K1337" s="5" t="n">
        <v>45454.0</v>
      </c>
      <c r="L1337" s="5" t="n">
        <v>45453.0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42847922MDD3003</t>
        </is>
      </c>
    </row>
    <row r="1338">
      <c r="A1338" s="2" t="str">
        <f>HYPERLINK("https://vtmf.veevavault.com/ui/#doc_info/26625515/1/0", "42847922MDD3003---Roles and Responsibilities Matrix-28 Jun 2024 (v1.0)")</f>
        <v>42847922MDD3003---Roles and Responsibilities Matrix-28 Jun 2024 (v1.0)</v>
      </c>
      <c r="B1338" s="3" t="inlineStr">
        <is>
          <t>Third Parties</t>
        </is>
      </c>
      <c r="C1338" s="3" t="inlineStr">
        <is>
          <t>Third Party Set-up</t>
        </is>
      </c>
      <c r="D1338" s="3" t="inlineStr">
        <is>
          <t>Roles and Responsibilities Matrix</t>
        </is>
      </c>
      <c r="E1338" s="3" t="inlineStr">
        <is>
          <t>Cronos Sponsor Project Plan</t>
        </is>
      </c>
      <c r="F1338" s="2" t="str">
        <f>HYPERLINK("https://vtmf.veevavault.com/ui/#doc_info/26625515/1/0", "VTMF-21327501")</f>
        <v>VTMF-21327501</v>
      </c>
      <c r="G1338" s="3" t="inlineStr">
        <is>
          <t/>
        </is>
      </c>
      <c r="H1338" s="3" t="inlineStr">
        <is>
          <t>System</t>
        </is>
      </c>
      <c r="I1338" s="3" t="inlineStr">
        <is>
          <t>Kristina Ruzinska</t>
        </is>
      </c>
      <c r="J1338" s="4" t="n">
        <v>45474.658842592595</v>
      </c>
      <c r="K1338" s="5" t="n">
        <v>45474.0</v>
      </c>
      <c r="L1338" s="5" t="n">
        <v>45471.0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42847922MDD3003</t>
        </is>
      </c>
    </row>
    <row r="1339">
      <c r="A1339" s="2" t="str">
        <f>HYPERLINK("https://vtmf.veevavault.com/ui/#doc_info/26189973/1/0", "42847922MDD3003---RTSM System Integration/Transfer Specifications-22 Apr 2024 (v1.0)")</f>
        <v>42847922MDD3003---RTSM System Integration/Transfer Specifications-22 Apr 2024 (v1.0)</v>
      </c>
      <c r="B1339" s="3" t="inlineStr">
        <is>
          <t>IP and Trial Supplies</t>
        </is>
      </c>
      <c r="C1339" s="3" t="inlineStr">
        <is>
          <t>Interactive Response Technology</t>
        </is>
      </c>
      <c r="D1339" s="3" t="inlineStr">
        <is>
          <t>RTSM System Integration/Transfer Specifications</t>
        </is>
      </c>
      <c r="E1339" s="3" t="inlineStr">
        <is>
          <t>42847922MDD3003 _IRT Integration Study Requirements Specification V1.00_22APR2024</t>
        </is>
      </c>
      <c r="F1339" s="2" t="str">
        <f>HYPERLINK("https://vtmf.veevavault.com/ui/#doc_info/26189973/1/0", "VTMF-20946320")</f>
        <v>VTMF-20946320</v>
      </c>
      <c r="G1339" s="3" t="inlineStr">
        <is>
          <t/>
        </is>
      </c>
      <c r="H1339" s="3" t="inlineStr">
        <is>
          <t>Anthony Suarez (veeva.com)</t>
        </is>
      </c>
      <c r="I1339" s="3" t="inlineStr">
        <is>
          <t>Amrita Trueblood</t>
        </is>
      </c>
      <c r="J1339" s="4" t="n">
        <v>45405.71864583333</v>
      </c>
      <c r="K1339" s="5" t="n">
        <v>45406.0</v>
      </c>
      <c r="L1339" s="5" t="n">
        <v>45404.0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42847922MDD3003</t>
        </is>
      </c>
    </row>
    <row r="1340">
      <c r="A1340" s="2" t="str">
        <f>HYPERLINK("https://vtmf.veevavault.com/ui/#doc_info/31119663/1/0", "42847922MDD3003---RTSM System Integration/Transfer Specifications-25 Nov 2024 (v1.0)")</f>
        <v>42847922MDD3003---RTSM System Integration/Transfer Specifications-25 Nov 2024 (v1.0)</v>
      </c>
      <c r="B1340" s="3" t="inlineStr">
        <is>
          <t>IP and Trial Supplies</t>
        </is>
      </c>
      <c r="C1340" s="3" t="inlineStr">
        <is>
          <t>Interactive Response Technology</t>
        </is>
      </c>
      <c r="D1340" s="3" t="inlineStr">
        <is>
          <t>RTSM System Integration/Transfer Specifications</t>
        </is>
      </c>
      <c r="E1340" s="3" t="inlineStr">
        <is>
          <t>Finalized &amp; Signed 42847922MDD3003_4G Clinical-IQVIA SDO_ZR_tsDTA_Part1of2_Op_V2.0_25 Nov 2024 (1).pdf</t>
        </is>
      </c>
      <c r="F1340" s="2" t="str">
        <f>HYPERLINK("https://vtmf.veevavault.com/ui/#doc_info/31119663/1/0", "VTMF-25090091")</f>
        <v>VTMF-25090091</v>
      </c>
      <c r="G1340" s="3" t="inlineStr">
        <is>
          <t/>
        </is>
      </c>
      <c r="H1340" s="3" t="inlineStr">
        <is>
          <t>System</t>
        </is>
      </c>
      <c r="I1340" s="3" t="inlineStr">
        <is>
          <t>Victoria Kreiseler</t>
        </is>
      </c>
      <c r="J1340" s="4" t="n">
        <v>46086.455717592595</v>
      </c>
      <c r="K1340" s="5" t="n">
        <v>46086.0</v>
      </c>
      <c r="L1340" s="5" t="n">
        <v>45621.0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42847922MDD3003</t>
        </is>
      </c>
    </row>
    <row r="1341">
      <c r="A1341" s="2" t="str">
        <f>HYPERLINK("https://vtmf.veevavault.com/ui/#doc_info/26667694/1/0", "42847922MDD3003---RTSM System Live Project Data Review Planning Worksheet-10 Apr 2024 (v1.0)")</f>
        <v>42847922MDD3003---RTSM System Live Project Data Review Planning Worksheet-10 Apr 2024 (v1.0)</v>
      </c>
      <c r="B1341" s="3" t="inlineStr">
        <is>
          <t>IP and Trial Supplies</t>
        </is>
      </c>
      <c r="C1341" s="3" t="inlineStr">
        <is>
          <t>Interactive Response Technology</t>
        </is>
      </c>
      <c r="D1341" s="3" t="inlineStr">
        <is>
          <t>RTSM System Live Project Data Review Planning Worksheet</t>
        </is>
      </c>
      <c r="E1341" s="3" t="inlineStr">
        <is>
          <t>LPDR Planning Worksheet_v1.0_10APR2024</t>
        </is>
      </c>
      <c r="F1341" s="2" t="str">
        <f>HYPERLINK("https://vtmf.veevavault.com/ui/#doc_info/26667694/1/0", "VTMF-21364282")</f>
        <v>VTMF-21364282</v>
      </c>
      <c r="G1341" s="3" t="inlineStr">
        <is>
          <t/>
        </is>
      </c>
      <c r="H1341" s="3" t="inlineStr">
        <is>
          <t>Anthony Suarez (veeva.com)</t>
        </is>
      </c>
      <c r="I1341" s="3" t="inlineStr">
        <is>
          <t>Joseph Kinder</t>
        </is>
      </c>
      <c r="J1341" s="4" t="n">
        <v>45481.610081018516</v>
      </c>
      <c r="K1341" s="5" t="n">
        <v>45481.0</v>
      </c>
      <c r="L1341" s="5" t="n">
        <v>45392.0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42847922MDD3003</t>
        </is>
      </c>
    </row>
    <row r="1342">
      <c r="A1342" s="2" t="str">
        <f>HYPERLINK("https://vtmf.veevavault.com/ui/#doc_info/27141083/1/0", "42847922MDD3003---RTSM System Live Project Data Review Planning Worksheet-25 Sep 2024 (v1.0)")</f>
        <v>42847922MDD3003---RTSM System Live Project Data Review Planning Worksheet-25 Sep 2024 (v1.0)</v>
      </c>
      <c r="B1342" s="3" t="inlineStr">
        <is>
          <t>IP and Trial Supplies</t>
        </is>
      </c>
      <c r="C1342" s="3" t="inlineStr">
        <is>
          <t>Interactive Response Technology</t>
        </is>
      </c>
      <c r="D1342" s="3" t="inlineStr">
        <is>
          <t>RTSM System Live Project Data Review Planning Worksheet</t>
        </is>
      </c>
      <c r="E1342" s="3" t="inlineStr">
        <is>
          <t>42847922MDD3003 LPDR Planning Worksheet_v2_25SEPT2024</t>
        </is>
      </c>
      <c r="F1342" s="2" t="str">
        <f>HYPERLINK("https://vtmf.veevavault.com/ui/#doc_info/27141083/1/0", "VTMF-21759035")</f>
        <v>VTMF-21759035</v>
      </c>
      <c r="G1342" s="3" t="inlineStr">
        <is>
          <t/>
        </is>
      </c>
      <c r="H1342" s="3" t="inlineStr">
        <is>
          <t>Anthony Suarez (veeva.com)</t>
        </is>
      </c>
      <c r="I1342" s="3" t="inlineStr">
        <is>
          <t>Joseph Kinder</t>
        </is>
      </c>
      <c r="J1342" s="4" t="n">
        <v>45560.75356481481</v>
      </c>
      <c r="K1342" s="5" t="n">
        <v>45560.0</v>
      </c>
      <c r="L1342" s="5" t="n">
        <v>45560.0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42847922MDD3003</t>
        </is>
      </c>
    </row>
    <row r="1343">
      <c r="A1343" s="2" t="str">
        <f>HYPERLINK("https://vtmf.veevavault.com/ui/#doc_info/31010359/1/0", "42847922MDD3003---RTSM System Live Project Data Review-18 Feb 2026 (v1.0)")</f>
        <v>42847922MDD3003---RTSM System Live Project Data Review-18 Feb 2026 (v1.0)</v>
      </c>
      <c r="B1343" s="3" t="inlineStr">
        <is>
          <t>IP and Trial Supplies</t>
        </is>
      </c>
      <c r="C1343" s="3" t="inlineStr">
        <is>
          <t>Interactive Response Technology</t>
        </is>
      </c>
      <c r="D1343" s="3" t="inlineStr">
        <is>
          <t>RTSM System Live Project Data Review</t>
        </is>
      </c>
      <c r="E1343" s="3" t="inlineStr">
        <is>
          <t>42847922MDD3003 LPDR summary Initial.docx</t>
        </is>
      </c>
      <c r="F1343" s="2" t="str">
        <f>HYPERLINK("https://vtmf.veevavault.com/ui/#doc_info/31010359/1/0", "VTMF-24997373")</f>
        <v>VTMF-24997373</v>
      </c>
      <c r="G1343" s="3" t="inlineStr">
        <is>
          <t/>
        </is>
      </c>
      <c r="H1343" s="3" t="inlineStr">
        <is>
          <t>Victoria Kreiseler</t>
        </is>
      </c>
      <c r="I1343" s="3" t="inlineStr">
        <is>
          <t>Victoria Kreiseler</t>
        </is>
      </c>
      <c r="J1343" s="4" t="n">
        <v>46071.44856481482</v>
      </c>
      <c r="K1343" s="5" t="n">
        <v>46071.0</v>
      </c>
      <c r="L1343" s="5" t="n">
        <v>46071.0</v>
      </c>
      <c r="M1343" s="3" t="inlineStr">
        <is>
          <t>Approved</t>
        </is>
      </c>
      <c r="N1343" s="3" t="inlineStr">
        <is>
          <t>Not associated to a milestone</t>
        </is>
      </c>
      <c r="O1343" s="3" t="inlineStr">
        <is>
          <t>42847922MDD3003</t>
        </is>
      </c>
    </row>
    <row r="1344">
      <c r="A1344" s="2" t="str">
        <f>HYPERLINK("https://vtmf.veevavault.com/ui/#doc_info/31490359/1/0", "42847922MDD3003---RTSM System Live Project Data Review-20 Apr 2026 (v1.0)")</f>
        <v>42847922MDD3003---RTSM System Live Project Data Review-20 Apr 2026 (v1.0)</v>
      </c>
      <c r="B1344" s="3" t="inlineStr">
        <is>
          <t>IP and Trial Supplies</t>
        </is>
      </c>
      <c r="C1344" s="3" t="inlineStr">
        <is>
          <t>Interactive Response Technology</t>
        </is>
      </c>
      <c r="D1344" s="3" t="inlineStr">
        <is>
          <t>RTSM System Live Project Data Review</t>
        </is>
      </c>
      <c r="E1344" s="3" t="inlineStr">
        <is>
          <t>TV-FRM-07225_v4.0 LPDR Summary April 2026.docx Subsequent LPDR 20-Apr-2026</t>
        </is>
      </c>
      <c r="F1344" s="2" t="str">
        <f>HYPERLINK("https://vtmf.veevavault.com/ui/#doc_info/31490359/1/0", "VTMF-25411039")</f>
        <v>VTMF-25411039</v>
      </c>
      <c r="G1344" s="3" t="inlineStr">
        <is>
          <t/>
        </is>
      </c>
      <c r="H1344" s="3" t="inlineStr">
        <is>
          <t>System</t>
        </is>
      </c>
      <c r="I1344" s="3" t="inlineStr">
        <is>
          <t>Victoria Kreiseler</t>
        </is>
      </c>
      <c r="J1344" s="4" t="n">
        <v>46132.64824074074</v>
      </c>
      <c r="K1344" s="5" t="n">
        <v>46132.0</v>
      </c>
      <c r="L1344" s="5" t="n">
        <v>46132.0</v>
      </c>
      <c r="M1344" s="3" t="inlineStr">
        <is>
          <t>Approved</t>
        </is>
      </c>
      <c r="N1344" s="3" t="inlineStr">
        <is>
          <t>Not associated to a milestone</t>
        </is>
      </c>
      <c r="O1344" s="3" t="inlineStr">
        <is>
          <t>42847922MDD3003</t>
        </is>
      </c>
    </row>
    <row r="1345">
      <c r="A1345" s="2" t="str">
        <f>HYPERLINK("https://vtmf.veevavault.com/ui/#doc_info/26555710/1/0", "42847922MDD3003---RTSM System Supplier Communication Plan-29 May 2024 (v1.0)")</f>
        <v>42847922MDD3003---RTSM System Supplier Communication Plan-29 May 2024 (v1.0)</v>
      </c>
      <c r="B1345" s="3" t="inlineStr">
        <is>
          <t>IP and Trial Supplies</t>
        </is>
      </c>
      <c r="C1345" s="3" t="inlineStr">
        <is>
          <t>Interactive Response Technology</t>
        </is>
      </c>
      <c r="D1345" s="3" t="inlineStr">
        <is>
          <t>RTSM System Supplier Communication Plan</t>
        </is>
      </c>
      <c r="E1345" s="3" t="inlineStr">
        <is>
          <t>42847922MDD3003_Communication_Plan_29MAY2024</t>
        </is>
      </c>
      <c r="F1345" s="2" t="str">
        <f>HYPERLINK("https://vtmf.veevavault.com/ui/#doc_info/26555710/1/0", "VTMF-21266885")</f>
        <v>VTMF-21266885</v>
      </c>
      <c r="G1345" s="3" t="inlineStr">
        <is>
          <t/>
        </is>
      </c>
      <c r="H1345" s="3" t="inlineStr">
        <is>
          <t>Anthony Suarez (veeva.com)</t>
        </is>
      </c>
      <c r="I1345" s="3" t="inlineStr">
        <is>
          <t>Joseph Kinder</t>
        </is>
      </c>
      <c r="J1345" s="4" t="n">
        <v>45462.763344907406</v>
      </c>
      <c r="K1345" s="5" t="n">
        <v>45481.0</v>
      </c>
      <c r="L1345" s="5" t="n">
        <v>45441.0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42847922MDD3003</t>
        </is>
      </c>
    </row>
    <row r="1346">
      <c r="A1346" s="2" t="str">
        <f>HYPERLINK("https://vtmf.veevavault.com/ui/#doc_info/31568019/1/0", "42847922MDD3003---RTSM System Supplier UAT Approval Form-08 Jan 2026 (v1.0)")</f>
        <v>42847922MDD3003---RTSM System Supplier UAT Approval Form-08 Jan 2026 (v1.0)</v>
      </c>
      <c r="B1346" s="3" t="inlineStr">
        <is>
          <t>IP and Trial Supplies</t>
        </is>
      </c>
      <c r="C1346" s="3" t="inlineStr">
        <is>
          <t>Interactive Response Technology</t>
        </is>
      </c>
      <c r="D1346" s="3" t="inlineStr">
        <is>
          <t>RTSM System Supplier UAT Approval Form</t>
        </is>
      </c>
      <c r="E1346" s="3" t="inlineStr">
        <is>
          <t>UAT Approval_Initial_V#18</t>
        </is>
      </c>
      <c r="F1346" s="2" t="str">
        <f>HYPERLINK("https://vtmf.veevavault.com/ui/#doc_info/31568019/1/0", "VTMF-25476389")</f>
        <v>VTMF-25476389</v>
      </c>
      <c r="G1346" s="3" t="inlineStr">
        <is>
          <t/>
        </is>
      </c>
      <c r="H1346" s="3" t="inlineStr">
        <is>
          <t>System</t>
        </is>
      </c>
      <c r="I1346" s="3" t="inlineStr">
        <is>
          <t>Justin Leonard</t>
        </is>
      </c>
      <c r="J1346" s="4" t="n">
        <v>46142.79859953704</v>
      </c>
      <c r="K1346" s="5" t="n">
        <v>46142.0</v>
      </c>
      <c r="L1346" s="5" t="n">
        <v>46030.0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42847922MDD3003</t>
        </is>
      </c>
    </row>
    <row r="1347">
      <c r="A1347" s="2" t="str">
        <f>HYPERLINK("https://vtmf.veevavault.com/ui/#doc_info/31195270/1/0", "42847922MDD3003---RTSM System Supplier UAT Approval Form-16 Mar 2026 (v1.0)")</f>
        <v>42847922MDD3003---RTSM System Supplier UAT Approval Form-16 Mar 2026 (v1.0)</v>
      </c>
      <c r="B1347" s="3" t="inlineStr">
        <is>
          <t>IP and Trial Supplies</t>
        </is>
      </c>
      <c r="C1347" s="3" t="inlineStr">
        <is>
          <t>Interactive Response Technology</t>
        </is>
      </c>
      <c r="D1347" s="3" t="inlineStr">
        <is>
          <t>RTSM System Supplier UAT Approval Form</t>
        </is>
      </c>
      <c r="E1347" s="3" t="inlineStr">
        <is>
          <t>System Acceptance Sign-off Form Janssen1-46533 v1 16Mar2026-16Mar2026</t>
        </is>
      </c>
      <c r="F1347" s="2" t="str">
        <f>HYPERLINK("https://vtmf.veevavault.com/ui/#doc_info/31195270/1/0", "VTMF-25154071")</f>
        <v>VTMF-25154071</v>
      </c>
      <c r="G1347" s="3" t="inlineStr">
        <is>
          <t/>
        </is>
      </c>
      <c r="H1347" s="3" t="inlineStr">
        <is>
          <t>System</t>
        </is>
      </c>
      <c r="I1347" s="3" t="inlineStr">
        <is>
          <t>Victoria Kreiseler</t>
        </is>
      </c>
      <c r="J1347" s="4" t="n">
        <v>46098.491793981484</v>
      </c>
      <c r="K1347" s="5" t="n">
        <v>46098.0</v>
      </c>
      <c r="L1347" s="5" t="n">
        <v>46097.0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42847922MDD3003</t>
        </is>
      </c>
    </row>
    <row r="1348">
      <c r="A1348" s="2" t="str">
        <f>HYPERLINK("https://vtmf.veevavault.com/ui/#doc_info/31259208/1/0", "42847922MDD3003---RTSM System Supplier UAT Approval Form-17 Mar 2026 (v1.0)")</f>
        <v>42847922MDD3003---RTSM System Supplier UAT Approval Form-17 Mar 2026 (v1.0)</v>
      </c>
      <c r="B1348" s="3" t="inlineStr">
        <is>
          <t>IP and Trial Supplies</t>
        </is>
      </c>
      <c r="C1348" s="3" t="inlineStr">
        <is>
          <t>Interactive Response Technology</t>
        </is>
      </c>
      <c r="D1348" s="3" t="inlineStr">
        <is>
          <t>RTSM System Supplier UAT Approval Form</t>
        </is>
      </c>
      <c r="E1348" s="3" t="inlineStr">
        <is>
          <t>Janssen_42847922MDD3003_RTSM_Release_to_Production_Memo_JANSSEN1-46533_FE.pdf  Release; JANSSEN1-56533  17Mar2026</t>
        </is>
      </c>
      <c r="F1348" s="2" t="str">
        <f>HYPERLINK("https://vtmf.veevavault.com/ui/#doc_info/31259208/1/0", "VTMF-25210924")</f>
        <v>VTMF-25210924</v>
      </c>
      <c r="G1348" s="3" t="inlineStr">
        <is>
          <t/>
        </is>
      </c>
      <c r="H1348" s="3" t="inlineStr">
        <is>
          <t>System</t>
        </is>
      </c>
      <c r="I1348" s="3" t="inlineStr">
        <is>
          <t>Victoria Kreiseler</t>
        </is>
      </c>
      <c r="J1348" s="4" t="n">
        <v>46105.4540162037</v>
      </c>
      <c r="K1348" s="5" t="n">
        <v>46105.0</v>
      </c>
      <c r="L1348" s="5" t="n">
        <v>46098.0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42847922MDD3003</t>
        </is>
      </c>
    </row>
    <row r="1349">
      <c r="A1349" s="2" t="str">
        <f>HYPERLINK("https://vtmf.veevavault.com/ui/#doc_info/31568031/1/0", "42847922MDD3003---RTSM System Supplier UAT Approval Form-18 Mar 2026 (v1.0)")</f>
        <v>42847922MDD3003---RTSM System Supplier UAT Approval Form-18 Mar 2026 (v1.0)</v>
      </c>
      <c r="B1349" s="3" t="inlineStr">
        <is>
          <t>IP and Trial Supplies</t>
        </is>
      </c>
      <c r="C1349" s="3" t="inlineStr">
        <is>
          <t>Interactive Response Technology</t>
        </is>
      </c>
      <c r="D1349" s="3" t="inlineStr">
        <is>
          <t>RTSM System Supplier UAT Approval Form</t>
        </is>
      </c>
      <c r="E1349" s="3" t="inlineStr">
        <is>
          <t>UAT Approval_Initial_V#10</t>
        </is>
      </c>
      <c r="F1349" s="2" t="str">
        <f>HYPERLINK("https://vtmf.veevavault.com/ui/#doc_info/31568031/1/0", "VTMF-25476413")</f>
        <v>VTMF-25476413</v>
      </c>
      <c r="G1349" s="3" t="inlineStr">
        <is>
          <t/>
        </is>
      </c>
      <c r="H1349" s="3" t="inlineStr">
        <is>
          <t>System</t>
        </is>
      </c>
      <c r="I1349" s="3" t="inlineStr">
        <is>
          <t>Justin Leonard</t>
        </is>
      </c>
      <c r="J1349" s="4" t="n">
        <v>46142.80055555556</v>
      </c>
      <c r="K1349" s="5" t="n">
        <v>46142.0</v>
      </c>
      <c r="L1349" s="5" t="n">
        <v>46099.0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42847922MDD3003</t>
        </is>
      </c>
    </row>
    <row r="1350">
      <c r="A1350" s="2" t="str">
        <f>HYPERLINK("https://vtmf.veevavault.com/ui/#doc_info/27749592/1/0", "42847922MDD3003---RTSM System Supplier UAT Approval Form-26 Nov 2024 (v1.0)")</f>
        <v>42847922MDD3003---RTSM System Supplier UAT Approval Form-26 Nov 2024 (v1.0)</v>
      </c>
      <c r="B1350" s="3" t="inlineStr">
        <is>
          <t>IP and Trial Supplies</t>
        </is>
      </c>
      <c r="C1350" s="3" t="inlineStr">
        <is>
          <t>Interactive Response Technology</t>
        </is>
      </c>
      <c r="D1350" s="3" t="inlineStr">
        <is>
          <t>RTSM System Supplier UAT Approval Form</t>
        </is>
      </c>
      <c r="E1350" s="3" t="inlineStr">
        <is>
          <t>42847922MDD3003 _ JANSSEN1-23773 _ Informal Testing to Support RTSM System Update</t>
        </is>
      </c>
      <c r="F1350" s="2" t="str">
        <f>HYPERLINK("https://vtmf.veevavault.com/ui/#doc_info/27749592/1/0", "VTMF-22250712")</f>
        <v>VTMF-22250712</v>
      </c>
      <c r="G1350" s="3" t="inlineStr">
        <is>
          <t/>
        </is>
      </c>
      <c r="H1350" s="3" t="inlineStr">
        <is>
          <t>Anthony Suarez (veeva.com)</t>
        </is>
      </c>
      <c r="I1350" s="3" t="inlineStr">
        <is>
          <t>Carl Thompson</t>
        </is>
      </c>
      <c r="J1350" s="4" t="n">
        <v>45622.81738425926</v>
      </c>
      <c r="K1350" s="5" t="n">
        <v>45622.0</v>
      </c>
      <c r="L1350" s="5" t="n">
        <v>45622.0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42847922MDD3003</t>
        </is>
      </c>
    </row>
    <row r="1351">
      <c r="A1351" s="2" t="str">
        <f>HYPERLINK("https://vtmf.veevavault.com/ui/#doc_info/30724088/1/0", "42847922MDD3003---RTSM System User Acceptance Testing Plan-06 Jan 2026 (v1.0)")</f>
        <v>42847922MDD3003---RTSM System User Acceptance Testing Plan-06 Jan 2026 (v1.0)</v>
      </c>
      <c r="B1351" s="3" t="inlineStr">
        <is>
          <t>IP and Trial Supplies</t>
        </is>
      </c>
      <c r="C1351" s="3" t="inlineStr">
        <is>
          <t>Interactive Response Technology</t>
        </is>
      </c>
      <c r="D1351" s="3" t="inlineStr">
        <is>
          <t>RTSM System User Acceptance Testing Plan</t>
        </is>
      </c>
      <c r="E1351" s="3" t="inlineStr">
        <is>
          <t>42847922MDD3003_JANSSEN1-43140__v1_06Jan2026</t>
        </is>
      </c>
      <c r="F1351" s="2" t="str">
        <f>HYPERLINK("https://vtmf.veevavault.com/ui/#doc_info/30724088/1/0", "VTMF-24757383")</f>
        <v>VTMF-24757383</v>
      </c>
      <c r="G1351" s="3" t="inlineStr">
        <is>
          <t/>
        </is>
      </c>
      <c r="H1351" s="3" t="inlineStr">
        <is>
          <t>System</t>
        </is>
      </c>
      <c r="I1351" s="3" t="inlineStr">
        <is>
          <t>Kesha Patel</t>
        </is>
      </c>
      <c r="J1351" s="4" t="n">
        <v>46028.75586805555</v>
      </c>
      <c r="K1351" s="5" t="n">
        <v>46028.0</v>
      </c>
      <c r="L1351" s="5" t="n">
        <v>46028.0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42847922MDD3003</t>
        </is>
      </c>
    </row>
    <row r="1352">
      <c r="A1352" s="2" t="str">
        <f>HYPERLINK("https://vtmf.veevavault.com/ui/#doc_info/31606639/1/0", "42847922MDD3003---RTSM System User Acceptance Testing Plan-07 May 2026 (v1.0)")</f>
        <v>42847922MDD3003---RTSM System User Acceptance Testing Plan-07 May 2026 (v1.0)</v>
      </c>
      <c r="B1352" s="3" t="inlineStr">
        <is>
          <t>IP and Trial Supplies</t>
        </is>
      </c>
      <c r="C1352" s="3" t="inlineStr">
        <is>
          <t>Interactive Response Technology</t>
        </is>
      </c>
      <c r="D1352" s="3" t="inlineStr">
        <is>
          <t>RTSM System User Acceptance Testing Plan</t>
        </is>
      </c>
      <c r="E1352" s="3" t="inlineStr">
        <is>
          <t>42847922MDD3003 UAT Plan waiver 7May2026.docx Change: JANSSEN1-49328 v1.0 7-May-2026</t>
        </is>
      </c>
      <c r="F1352" s="2" t="str">
        <f>HYPERLINK("https://vtmf.veevavault.com/ui/#doc_info/31606639/1/0", "VTMF-25508785")</f>
        <v>VTMF-25508785</v>
      </c>
      <c r="G1352" s="3" t="inlineStr">
        <is>
          <t/>
        </is>
      </c>
      <c r="H1352" s="3" t="inlineStr">
        <is>
          <t>System</t>
        </is>
      </c>
      <c r="I1352" s="3" t="inlineStr">
        <is>
          <t>Victoria Kreiseler</t>
        </is>
      </c>
      <c r="J1352" s="4" t="n">
        <v>46149.627800925926</v>
      </c>
      <c r="K1352" s="5" t="n">
        <v>46149.0</v>
      </c>
      <c r="L1352" s="5" t="n">
        <v>46149.0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42847922MDD3003</t>
        </is>
      </c>
    </row>
    <row r="1353">
      <c r="A1353" s="2" t="str">
        <f>HYPERLINK("https://vtmf.veevavault.com/ui/#doc_info/31159982/1/0", "42847922MDD3003---RTSM System User Acceptance Testing Plan-11 Mar 2026 (v1.0)")</f>
        <v>42847922MDD3003---RTSM System User Acceptance Testing Plan-11 Mar 2026 (v1.0)</v>
      </c>
      <c r="B1353" s="3" t="inlineStr">
        <is>
          <t>IP and Trial Supplies</t>
        </is>
      </c>
      <c r="C1353" s="3" t="inlineStr">
        <is>
          <t>Interactive Response Technology</t>
        </is>
      </c>
      <c r="D1353" s="3" t="inlineStr">
        <is>
          <t>RTSM System User Acceptance Testing Plan</t>
        </is>
      </c>
      <c r="E1353" s="3" t="inlineStr">
        <is>
          <t>42847922MDD3003_UAT_Testing_Plan_TV-FRM-06240_JANSSEN1_46533_V1.0;11Mar2026</t>
        </is>
      </c>
      <c r="F1353" s="2" t="str">
        <f>HYPERLINK("https://vtmf.veevavault.com/ui/#doc_info/31159982/1/0", "VTMF-25124186")</f>
        <v>VTMF-25124186</v>
      </c>
      <c r="G1353" s="3" t="inlineStr">
        <is>
          <t/>
        </is>
      </c>
      <c r="H1353" s="3" t="inlineStr">
        <is>
          <t>System</t>
        </is>
      </c>
      <c r="I1353" s="3" t="inlineStr">
        <is>
          <t>Shahil Patel</t>
        </is>
      </c>
      <c r="J1353" s="4" t="n">
        <v>46092.63460648148</v>
      </c>
      <c r="K1353" s="5" t="n">
        <v>46092.0</v>
      </c>
      <c r="L1353" s="5" t="n">
        <v>46092.0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42847922MDD3003</t>
        </is>
      </c>
    </row>
    <row r="1354">
      <c r="A1354" s="2" t="str">
        <f>HYPERLINK("https://vtmf.veevavault.com/ui/#doc_info/28653235/1/0", "42847922MDD3003---RTSM System User Acceptance Testing Plan-12 Mar 2025 (v1.0)")</f>
        <v>42847922MDD3003---RTSM System User Acceptance Testing Plan-12 Mar 2025 (v1.0)</v>
      </c>
      <c r="B1354" s="3" t="inlineStr">
        <is>
          <t>IP and Trial Supplies</t>
        </is>
      </c>
      <c r="C1354" s="3" t="inlineStr">
        <is>
          <t>Interactive Response Technology</t>
        </is>
      </c>
      <c r="D1354" s="3" t="inlineStr">
        <is>
          <t>RTSM System User Acceptance Testing Plan</t>
        </is>
      </c>
      <c r="E1354" s="3" t="inlineStr">
        <is>
          <t>Test Plan_Enhancement JANSSEN1-25678_v1</t>
        </is>
      </c>
      <c r="F1354" s="2" t="str">
        <f>HYPERLINK("https://vtmf.veevavault.com/ui/#doc_info/28653235/1/0", "VTMF-23016360")</f>
        <v>VTMF-23016360</v>
      </c>
      <c r="G1354" s="3" t="inlineStr">
        <is>
          <t/>
        </is>
      </c>
      <c r="H1354" s="3" t="inlineStr">
        <is>
          <t>Anthony Suarez (veeva.com)</t>
        </is>
      </c>
      <c r="I1354" s="3" t="inlineStr">
        <is>
          <t>Kesha Patel</t>
        </is>
      </c>
      <c r="J1354" s="4" t="n">
        <v>45728.715902777774</v>
      </c>
      <c r="K1354" s="5" t="n">
        <v>45728.0</v>
      </c>
      <c r="L1354" s="5" t="n">
        <v>45728.0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42847922MDD3003</t>
        </is>
      </c>
    </row>
    <row r="1355">
      <c r="A1355" s="2" t="str">
        <f>HYPERLINK("https://vtmf.veevavault.com/ui/#doc_info/31707754/1/0", "42847922MDD3003---RTSM System User Acceptance Testing Plan-20 May 2026 (v1.0)")</f>
        <v>42847922MDD3003---RTSM System User Acceptance Testing Plan-20 May 2026 (v1.0)</v>
      </c>
      <c r="B1355" s="3" t="inlineStr">
        <is>
          <t>IP and Trial Supplies</t>
        </is>
      </c>
      <c r="C1355" s="3" t="inlineStr">
        <is>
          <t>Interactive Response Technology</t>
        </is>
      </c>
      <c r="D1355" s="3" t="inlineStr">
        <is>
          <t>RTSM System User Acceptance Testing Plan</t>
        </is>
      </c>
      <c r="E1355" s="3" t="inlineStr">
        <is>
          <t>42847922MDD3003 UAT Plan waiver 20May2026.docx version 1 20May2026</t>
        </is>
      </c>
      <c r="F1355" s="2" t="str">
        <f>HYPERLINK("https://vtmf.veevavault.com/ui/#doc_info/31707754/1/0", "VTMF-25588547")</f>
        <v>VTMF-25588547</v>
      </c>
      <c r="G1355" s="3" t="inlineStr">
        <is>
          <t/>
        </is>
      </c>
      <c r="H1355" s="3" t="inlineStr">
        <is>
          <t>System</t>
        </is>
      </c>
      <c r="I1355" s="3" t="inlineStr">
        <is>
          <t>Victoria Kreiseler</t>
        </is>
      </c>
      <c r="J1355" s="4" t="n">
        <v>46162.76993055556</v>
      </c>
      <c r="K1355" s="5" t="n">
        <v>46162.0</v>
      </c>
      <c r="L1355" s="5" t="n">
        <v>46162.0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42847922MDD3003</t>
        </is>
      </c>
    </row>
    <row r="1356">
      <c r="A1356" s="2" t="str">
        <f>HYPERLINK("https://vtmf.veevavault.com/ui/#doc_info/26227190/1/0", "42847922MDD3003---RTSM System User Acceptance Testing Plan-29 Apr 2024 (v1.0)")</f>
        <v>42847922MDD3003---RTSM System User Acceptance Testing Plan-29 Apr 2024 (v1.0)</v>
      </c>
      <c r="B1356" s="3" t="inlineStr">
        <is>
          <t>IP and Trial Supplies</t>
        </is>
      </c>
      <c r="C1356" s="3" t="inlineStr">
        <is>
          <t>Interactive Response Technology</t>
        </is>
      </c>
      <c r="D1356" s="3" t="inlineStr">
        <is>
          <t>RTSM System User Acceptance Testing Plan</t>
        </is>
      </c>
      <c r="E1356" s="3" t="inlineStr">
        <is>
          <t>UAT_Testing_Plan_Initial_UAT_V1.0</t>
        </is>
      </c>
      <c r="F1356" s="2" t="str">
        <f>HYPERLINK("https://vtmf.veevavault.com/ui/#doc_info/26227190/1/0", "VTMF-20978173")</f>
        <v>VTMF-20978173</v>
      </c>
      <c r="G1356" s="3" t="inlineStr">
        <is>
          <t/>
        </is>
      </c>
      <c r="H1356" s="3" t="inlineStr">
        <is>
          <t>Anthony Suarez (veeva.com)</t>
        </is>
      </c>
      <c r="I1356" s="3" t="inlineStr">
        <is>
          <t>Shahil Patel</t>
        </is>
      </c>
      <c r="J1356" s="4" t="n">
        <v>45411.74599537037</v>
      </c>
      <c r="K1356" s="5" t="n">
        <v>45412.0</v>
      </c>
      <c r="L1356" s="5" t="n">
        <v>45411.0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42847922MDD3003</t>
        </is>
      </c>
    </row>
    <row r="1357">
      <c r="A1357" s="2" t="str">
        <f>HYPERLINK("https://vtmf.veevavault.com/ui/#doc_info/30742977/1/0", "42847922MDD3003---RTSM System User Acceptance Testing Summary-08 Jan 2026 (v1.0)")</f>
        <v>42847922MDD3003---RTSM System User Acceptance Testing Summary-08 Jan 2026 (v1.0)</v>
      </c>
      <c r="B1357" s="3" t="inlineStr">
        <is>
          <t>IP and Trial Supplies</t>
        </is>
      </c>
      <c r="C1357" s="3" t="inlineStr">
        <is>
          <t>Interactive Response Technology</t>
        </is>
      </c>
      <c r="D1357" s="3" t="inlineStr">
        <is>
          <t>RTSM System User Acceptance Testing Summary</t>
        </is>
      </c>
      <c r="E1357" s="3" t="inlineStr">
        <is>
          <t>42847922MDD3003_UAT Test Summary_v1_08JAN2026</t>
        </is>
      </c>
      <c r="F1357" s="2" t="str">
        <f>HYPERLINK("https://vtmf.veevavault.com/ui/#doc_info/30742977/1/0", "VTMF-24771746")</f>
        <v>VTMF-24771746</v>
      </c>
      <c r="G1357" s="3" t="inlineStr">
        <is>
          <t/>
        </is>
      </c>
      <c r="H1357" s="3" t="inlineStr">
        <is>
          <t>System</t>
        </is>
      </c>
      <c r="I1357" s="3" t="inlineStr">
        <is>
          <t>Kesha Patel</t>
        </is>
      </c>
      <c r="J1357" s="4" t="n">
        <v>46030.805763888886</v>
      </c>
      <c r="K1357" s="5" t="n">
        <v>46030.0</v>
      </c>
      <c r="L1357" s="5" t="n">
        <v>46030.0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42847922MDD3003</t>
        </is>
      </c>
    </row>
    <row r="1358">
      <c r="A1358" s="2" t="str">
        <f>HYPERLINK("https://vtmf.veevavault.com/ui/#doc_info/31183014/1/0", "42847922MDD3003---RTSM System User Acceptance Testing Summary-13 Mar 2026 (v1.0)")</f>
        <v>42847922MDD3003---RTSM System User Acceptance Testing Summary-13 Mar 2026 (v1.0)</v>
      </c>
      <c r="B1358" s="3" t="inlineStr">
        <is>
          <t>IP and Trial Supplies</t>
        </is>
      </c>
      <c r="C1358" s="3" t="inlineStr">
        <is>
          <t>Interactive Response Technology</t>
        </is>
      </c>
      <c r="D1358" s="3" t="inlineStr">
        <is>
          <t>RTSM System User Acceptance Testing Summary</t>
        </is>
      </c>
      <c r="E1358" s="3" t="inlineStr">
        <is>
          <t>42847922MDD3003_UAT_Testing_Summary_TV-FRM-06167_JANSSEN1_46533_V1.0;13Mar2026-13Mar2026</t>
        </is>
      </c>
      <c r="F1358" s="2" t="str">
        <f>HYPERLINK("https://vtmf.veevavault.com/ui/#doc_info/31183014/1/0", "VTMF-25143941")</f>
        <v>VTMF-25143941</v>
      </c>
      <c r="G1358" s="3" t="inlineStr">
        <is>
          <t/>
        </is>
      </c>
      <c r="H1358" s="3" t="inlineStr">
        <is>
          <t>System</t>
        </is>
      </c>
      <c r="I1358" s="3" t="inlineStr">
        <is>
          <t>Shahil Patel</t>
        </is>
      </c>
      <c r="J1358" s="4" t="n">
        <v>46094.81267361111</v>
      </c>
      <c r="K1358" s="5" t="n">
        <v>46098.0</v>
      </c>
      <c r="L1358" s="5" t="n">
        <v>46094.0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42847922MDD3003</t>
        </is>
      </c>
    </row>
    <row r="1359">
      <c r="A1359" s="2" t="str">
        <f>HYPERLINK("https://vtmf.veevavault.com/ui/#doc_info/28683983/1/0", "42847922MDD3003---RTSM System User Acceptance Testing Summary-17 Mar 2025 (v1.0)")</f>
        <v>42847922MDD3003---RTSM System User Acceptance Testing Summary-17 Mar 2025 (v1.0)</v>
      </c>
      <c r="B1359" s="3" t="inlineStr">
        <is>
          <t>IP and Trial Supplies</t>
        </is>
      </c>
      <c r="C1359" s="3" t="inlineStr">
        <is>
          <t>Interactive Response Technology</t>
        </is>
      </c>
      <c r="D1359" s="3" t="inlineStr">
        <is>
          <t>RTSM System User Acceptance Testing Summary</t>
        </is>
      </c>
      <c r="E1359" s="3" t="inlineStr">
        <is>
          <t>42847922MDD3003_UAT Summary_Enhancement JANSSEN1-25678_v1_17Mar2025</t>
        </is>
      </c>
      <c r="F1359" s="2" t="str">
        <f>HYPERLINK("https://vtmf.veevavault.com/ui/#doc_info/28683983/1/0", "VTMF-23040777")</f>
        <v>VTMF-23040777</v>
      </c>
      <c r="G1359" s="3" t="inlineStr">
        <is>
          <t/>
        </is>
      </c>
      <c r="H1359" s="3" t="inlineStr">
        <is>
          <t>Anthony Suarez (veeva.com)</t>
        </is>
      </c>
      <c r="I1359" s="3" t="inlineStr">
        <is>
          <t>Kesha Patel</t>
        </is>
      </c>
      <c r="J1359" s="4" t="n">
        <v>45733.674675925926</v>
      </c>
      <c r="K1359" s="5" t="n">
        <v>45734.0</v>
      </c>
      <c r="L1359" s="5" t="n">
        <v>45733.0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42847922MDD3003</t>
        </is>
      </c>
    </row>
    <row r="1360">
      <c r="A1360" s="2" t="str">
        <f>HYPERLINK("https://vtmf.veevavault.com/ui/#doc_info/26374260/1/0", "42847922MDD3003---RTSM System User Acceptance Testing Summary-17 May 2024 (v1.0)")</f>
        <v>42847922MDD3003---RTSM System User Acceptance Testing Summary-17 May 2024 (v1.0)</v>
      </c>
      <c r="B1360" s="3" t="inlineStr">
        <is>
          <t>IP and Trial Supplies</t>
        </is>
      </c>
      <c r="C1360" s="3" t="inlineStr">
        <is>
          <t>Interactive Response Technology</t>
        </is>
      </c>
      <c r="D1360" s="3" t="inlineStr">
        <is>
          <t>RTSM System User Acceptance Testing Summary</t>
        </is>
      </c>
      <c r="E1360" s="3" t="inlineStr">
        <is>
          <t>UAT_Testing_Summary_Initial 1_V1.0</t>
        </is>
      </c>
      <c r="F1360" s="2" t="str">
        <f>HYPERLINK("https://vtmf.veevavault.com/ui/#doc_info/26374260/1/0", "VTMF-21106646")</f>
        <v>VTMF-21106646</v>
      </c>
      <c r="G1360" s="3" t="inlineStr">
        <is>
          <t/>
        </is>
      </c>
      <c r="H1360" s="3" t="inlineStr">
        <is>
          <t>Anthony Suarez (veeva.com)</t>
        </is>
      </c>
      <c r="I1360" s="3" t="inlineStr">
        <is>
          <t>Olivia Howcroft</t>
        </is>
      </c>
      <c r="J1360" s="4" t="n">
        <v>45434.630949074075</v>
      </c>
      <c r="K1360" s="5" t="n">
        <v>45434.0</v>
      </c>
      <c r="L1360" s="5" t="n">
        <v>45429.0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42847922MDD3003</t>
        </is>
      </c>
    </row>
    <row r="1361">
      <c r="A1361" s="2" t="str">
        <f>HYPERLINK("https://vtmf.veevavault.com/ui/#doc_info/29071620/4/0", "42847922MDD3003---SAE Reconciliation-03 Dec 2025 (v4.0)")</f>
        <v>42847922MDD3003---SAE Reconciliation-03 Dec 2025 (v4.0)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SAE Reconciliation</t>
        </is>
      </c>
      <c r="E1361" s="3" t="inlineStr">
        <is>
          <t>Distribution List Requirement Specifications_v4.0</t>
        </is>
      </c>
      <c r="F1361" s="2" t="str">
        <f>HYPERLINK("https://vtmf.veevavault.com/ui/#doc_info/29071620/4/0", "VTMF-23358486")</f>
        <v>VTMF-23358486</v>
      </c>
      <c r="G1361" s="3" t="inlineStr">
        <is>
          <t/>
        </is>
      </c>
      <c r="H1361" s="3" t="inlineStr">
        <is>
          <t>System</t>
        </is>
      </c>
      <c r="I1361" s="3" t="inlineStr">
        <is>
          <t>Amrita Trueblood</t>
        </is>
      </c>
      <c r="J1361" s="4" t="n">
        <v>45995.003113425926</v>
      </c>
      <c r="K1361" s="5" t="n">
        <v>45994.0</v>
      </c>
      <c r="L1361" s="5" t="n">
        <v>45994.0</v>
      </c>
      <c r="M1361" s="3" t="inlineStr">
        <is>
          <t>Approved</t>
        </is>
      </c>
      <c r="N1361" s="3" t="inlineStr">
        <is>
          <t>Database Lock, Study Close</t>
        </is>
      </c>
      <c r="O1361" s="3" t="inlineStr">
        <is>
          <t>42847922MDD3003</t>
        </is>
      </c>
    </row>
    <row r="1362">
      <c r="A1362" s="2" t="str">
        <f>HYPERLINK("https://vtmf.veevavault.com/ui/#doc_info/29070892/1/0", "42847922MDD3003---SAE Reconciliation-23 Jul 2024 (v1.0)")</f>
        <v>42847922MDD3003---SAE Reconciliation-23 Jul 2024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SAE Reconciliation</t>
        </is>
      </c>
      <c r="E1362" s="3" t="inlineStr">
        <is>
          <t>42847922MDD3003_Janssen Electronic Inbound Safety Reporting JEISR Specification_V 1.0</t>
        </is>
      </c>
      <c r="F1362" s="2" t="str">
        <f>HYPERLINK("https://vtmf.veevavault.com/ui/#doc_info/29070892/1/0", "VTMF-23357882")</f>
        <v>VTMF-23357882</v>
      </c>
      <c r="G1362" s="3" t="inlineStr">
        <is>
          <t/>
        </is>
      </c>
      <c r="H1362" s="3" t="inlineStr">
        <is>
          <t>Anthony Suarez (veeva.com)</t>
        </is>
      </c>
      <c r="I1362" s="3" t="inlineStr">
        <is>
          <t>Adedokun Ademiluyi</t>
        </is>
      </c>
      <c r="J1362" s="4" t="n">
        <v>45785.68435185185</v>
      </c>
      <c r="K1362" s="5" t="n">
        <v>45785.0</v>
      </c>
      <c r="L1362" s="5" t="n">
        <v>45496.0</v>
      </c>
      <c r="M1362" s="3" t="inlineStr">
        <is>
          <t>Approved</t>
        </is>
      </c>
      <c r="N1362" s="3" t="inlineStr">
        <is>
          <t>Database Lock, Study Close</t>
        </is>
      </c>
      <c r="O1362" s="3" t="inlineStr">
        <is>
          <t>42847922MDD3003</t>
        </is>
      </c>
    </row>
    <row r="1363">
      <c r="A1363" s="2" t="str">
        <f>HYPERLINK("https://vtmf.veevavault.com/ui/#doc_info/31768215/2/0", "42847922MDD3003---SAE Reconciliation-28 May 2026 (v2.0)")</f>
        <v>42847922MDD3003---SAE Reconciliation-28 May 2026 (v2.0)</v>
      </c>
      <c r="B1363" s="3" t="inlineStr">
        <is>
          <t>Data Management</t>
        </is>
      </c>
      <c r="C1363" s="3" t="inlineStr">
        <is>
          <t>Database</t>
        </is>
      </c>
      <c r="D1363" s="3" t="inlineStr">
        <is>
          <t>SAE Reconciliation</t>
        </is>
      </c>
      <c r="E1363" s="3" t="inlineStr">
        <is>
          <t>SAE_reconciliation listing VIZ10203P</t>
        </is>
      </c>
      <c r="F1363" s="2" t="str">
        <f>HYPERLINK("https://vtmf.veevavault.com/ui/#doc_info/31768215/2/0", "VTMF-25641744")</f>
        <v>VTMF-25641744</v>
      </c>
      <c r="G1363" s="3" t="inlineStr">
        <is>
          <t/>
        </is>
      </c>
      <c r="H1363" s="3" t="inlineStr">
        <is>
          <t>System</t>
        </is>
      </c>
      <c r="I1363" s="3" t="inlineStr">
        <is>
          <t>Gina Stefanelli</t>
        </is>
      </c>
      <c r="J1363" s="4" t="n">
        <v>46170.75982638889</v>
      </c>
      <c r="K1363" s="5" t="n">
        <v>46170.0</v>
      </c>
      <c r="L1363" s="5" t="n">
        <v>46170.0</v>
      </c>
      <c r="M1363" s="3" t="inlineStr">
        <is>
          <t>Approved</t>
        </is>
      </c>
      <c r="N1363" s="3" t="inlineStr">
        <is>
          <t>Database Lock, Study Close</t>
        </is>
      </c>
      <c r="O1363" s="3" t="inlineStr">
        <is>
          <t>42847922MDD3003</t>
        </is>
      </c>
    </row>
    <row r="1364">
      <c r="A1364" s="2" t="str">
        <f>HYPERLINK("https://vtmf.veevavault.com/ui/#doc_info/31769984/1/0", "42847922MDD3003---SAE Reconciliation-28 May 2026 (v1.0)")</f>
        <v>42847922MDD3003---SAE Reconciliation-28 May 2026 (v1.0)</v>
      </c>
      <c r="B1364" s="3" t="inlineStr">
        <is>
          <t>Data Management</t>
        </is>
      </c>
      <c r="C1364" s="3" t="inlineStr">
        <is>
          <t>Database</t>
        </is>
      </c>
      <c r="D1364" s="3" t="inlineStr">
        <is>
          <t>SAE Reconciliation</t>
        </is>
      </c>
      <c r="E1364" s="3" t="inlineStr">
        <is>
          <t>TV-FRM-03303_v5.0_42847922MDD3003_28MAY2026_JS signed</t>
        </is>
      </c>
      <c r="F1364" s="2" t="str">
        <f>HYPERLINK("https://vtmf.veevavault.com/ui/#doc_info/31769984/1/0", "VTMF-25643275")</f>
        <v>VTMF-25643275</v>
      </c>
      <c r="G1364" s="3" t="inlineStr">
        <is>
          <t/>
        </is>
      </c>
      <c r="H1364" s="3" t="inlineStr">
        <is>
          <t>System</t>
        </is>
      </c>
      <c r="I1364" s="3" t="inlineStr">
        <is>
          <t>JAMES SHARP</t>
        </is>
      </c>
      <c r="J1364" s="4" t="n">
        <v>46170.782685185186</v>
      </c>
      <c r="K1364" s="5" t="n">
        <v>46170.0</v>
      </c>
      <c r="L1364" s="5" t="n">
        <v>46170.0</v>
      </c>
      <c r="M1364" s="3" t="inlineStr">
        <is>
          <t>Approved</t>
        </is>
      </c>
      <c r="N1364" s="3" t="inlineStr">
        <is>
          <t>Database Lock, Study Close</t>
        </is>
      </c>
      <c r="O1364" s="3" t="inlineStr">
        <is>
          <t>42847922MDD3003</t>
        </is>
      </c>
    </row>
    <row r="1365">
      <c r="A1365" s="2" t="str">
        <f>HYPERLINK("https://vtmf.veevavault.com/ui/#doc_info/26330338/3/0", "42847922MDD3003---Safety Management Plan-06 May 2026 (v3.0)")</f>
        <v>42847922MDD3003---Safety Management Plan-06 May 2026 (v3.0)</v>
      </c>
      <c r="B1365" s="3" t="inlineStr">
        <is>
          <t>Safety Reporting</t>
        </is>
      </c>
      <c r="C1365" s="3" t="inlineStr">
        <is>
          <t>Safety Documentation</t>
        </is>
      </c>
      <c r="D1365" s="3" t="inlineStr">
        <is>
          <t>Safety Management Plan</t>
        </is>
      </c>
      <c r="E1365" s="3" t="inlineStr">
        <is>
          <t>TV-FRM-06449_v11.0 _Safety Monitoring Plan (SMP)</t>
        </is>
      </c>
      <c r="F1365" s="2" t="str">
        <f>HYPERLINK("https://vtmf.veevavault.com/ui/#doc_info/26330338/3/0", "VTMF-21068433")</f>
        <v>VTMF-21068433</v>
      </c>
      <c r="G1365" s="3" t="inlineStr">
        <is>
          <t/>
        </is>
      </c>
      <c r="H1365" s="3" t="inlineStr">
        <is>
          <t>System</t>
        </is>
      </c>
      <c r="I1365" s="3" t="inlineStr">
        <is>
          <t>Gina Stefanelli</t>
        </is>
      </c>
      <c r="J1365" s="4" t="n">
        <v>46149.56872685185</v>
      </c>
      <c r="K1365" s="5" t="n">
        <v>46155.0</v>
      </c>
      <c r="L1365" s="5" t="n">
        <v>46148.0</v>
      </c>
      <c r="M1365" s="3" t="inlineStr">
        <is>
          <t>Approved</t>
        </is>
      </c>
      <c r="N1365" s="3" t="inlineStr">
        <is>
          <t>Study Start</t>
        </is>
      </c>
      <c r="O1365" s="3" t="inlineStr">
        <is>
          <t>42847922MDD3003</t>
        </is>
      </c>
    </row>
    <row r="1366">
      <c r="A1366" s="2" t="str">
        <f>HYPERLINK("https://vtmf.veevavault.com/ui/#doc_info/26757463/1/0", "42847922MDD3003---Sample Case Report Form-23 Jul 2024- (v1.0)")</f>
        <v>42847922MDD3003---Sample Case Report Form-23 Jul 2024- (v1.0)</v>
      </c>
      <c r="B1366" s="3" t="inlineStr">
        <is>
          <t>Central Trial Documents</t>
        </is>
      </c>
      <c r="C1366" s="3" t="inlineStr">
        <is>
          <t>Trial Documents</t>
        </is>
      </c>
      <c r="D1366" s="3" t="inlineStr">
        <is>
          <t>Sample Case Report Form</t>
        </is>
      </c>
      <c r="E1366" s="3" t="inlineStr">
        <is>
          <t>20240723_42847922MDD3003_v3590_Blank_uniques</t>
        </is>
      </c>
      <c r="F1366" s="2" t="str">
        <f>HYPERLINK("https://vtmf.veevavault.com/ui/#doc_info/26757463/1/0", "VTMF-21442233")</f>
        <v>VTMF-21442233</v>
      </c>
      <c r="G1366" s="3" t="inlineStr">
        <is>
          <t/>
        </is>
      </c>
      <c r="H1366" s="3" t="inlineStr">
        <is>
          <t>Anthony Suarez (veeva.com)</t>
        </is>
      </c>
      <c r="I1366" s="3" t="inlineStr">
        <is>
          <t>Amrita Trueblood</t>
        </is>
      </c>
      <c r="J1366" s="4" t="n">
        <v>45496.8621412037</v>
      </c>
      <c r="K1366" s="5" t="n">
        <v>45496.0</v>
      </c>
      <c r="L1366" s="5" t="n">
        <v>45496.0</v>
      </c>
      <c r="M1366" s="3" t="inlineStr">
        <is>
          <t>Approved</t>
        </is>
      </c>
      <c r="N1366" s="3" t="inlineStr">
        <is>
          <t>Available for Distribution, CLIX Filing, Study Start</t>
        </is>
      </c>
      <c r="O1366" s="3" t="inlineStr">
        <is>
          <t>42847922MDD3003</t>
        </is>
      </c>
    </row>
    <row r="1367">
      <c r="A1367" s="2" t="str">
        <f>HYPERLINK("https://vtmf.veevavault.com/ui/#doc_info/29047321/1/0", "42847922MDD3003---SDTM and Define .XML Production Data Release Memo-09 Apr 2025 (v1.0)")</f>
        <v>42847922MDD3003---SDTM and Define .XML Production Data Release Memo-09 Apr 2025 (v1.0)</v>
      </c>
      <c r="B1367" s="3" t="inlineStr">
        <is>
          <t>Data Management</t>
        </is>
      </c>
      <c r="C1367" s="3" t="inlineStr">
        <is>
          <t>General</t>
        </is>
      </c>
      <c r="D1367" s="3" t="inlineStr">
        <is>
          <t>SDTM and Define .XML Production Data Release Memo</t>
        </is>
      </c>
      <c r="E1367" s="3" t="inlineStr">
        <is>
          <t>42847922MDD3003 - DRM PROD PPC2 Release</t>
        </is>
      </c>
      <c r="F1367" s="2" t="str">
        <f>HYPERLINK("https://vtmf.veevavault.com/ui/#doc_info/29047321/1/0", "VTMF-23339099")</f>
        <v>VTMF-23339099</v>
      </c>
      <c r="G1367" s="3" t="inlineStr">
        <is>
          <t/>
        </is>
      </c>
      <c r="H1367" s="3" t="inlineStr">
        <is>
          <t>System</t>
        </is>
      </c>
      <c r="I1367" s="3" t="inlineStr">
        <is>
          <t>Sagarika Koppera</t>
        </is>
      </c>
      <c r="J1367" s="4" t="n">
        <v>45783.58851851852</v>
      </c>
      <c r="K1367" s="5" t="n">
        <v>45853.0</v>
      </c>
      <c r="L1367" s="5" t="n">
        <v>45756.0</v>
      </c>
      <c r="M1367" s="3" t="inlineStr">
        <is>
          <t>Approved</t>
        </is>
      </c>
      <c r="N1367" s="3" t="inlineStr">
        <is>
          <t>Study Start</t>
        </is>
      </c>
      <c r="O1367" s="3" t="inlineStr">
        <is>
          <t>42847922MDD3003</t>
        </is>
      </c>
    </row>
    <row r="1368">
      <c r="A1368" s="2" t="str">
        <f>HYPERLINK("https://vtmf.veevavault.com/ui/#doc_info/27388946/1/0", "42847922MDD3003---SDTM and Define .XML Production Data Release Memo-21 Aug 2024 (v1.0)")</f>
        <v>42847922MDD3003---SDTM and Define .XML Production Data Release Memo-21 Aug 2024 (v1.0)</v>
      </c>
      <c r="B1368" s="3" t="inlineStr">
        <is>
          <t>Data Management</t>
        </is>
      </c>
      <c r="C1368" s="3" t="inlineStr">
        <is>
          <t>General</t>
        </is>
      </c>
      <c r="D1368" s="3" t="inlineStr">
        <is>
          <t>SDTM and Define .XML Production Data Release Memo</t>
        </is>
      </c>
      <c r="E1368" s="3" t="inlineStr">
        <is>
          <t>42847922MDD3003(DRM PROD) Data Release Memo</t>
        </is>
      </c>
      <c r="F1368" s="2" t="str">
        <f>HYPERLINK("https://vtmf.veevavault.com/ui/#doc_info/27388946/1/0", "VTMF-21967513")</f>
        <v>VTMF-21967513</v>
      </c>
      <c r="G1368" s="3" t="inlineStr">
        <is>
          <t/>
        </is>
      </c>
      <c r="H1368" s="3" t="inlineStr">
        <is>
          <t>Anthony Suarez (veeva.com)</t>
        </is>
      </c>
      <c r="I1368" s="3" t="inlineStr">
        <is>
          <t>Amrita Trueblood</t>
        </is>
      </c>
      <c r="J1368" s="4" t="n">
        <v>45597.82377314815</v>
      </c>
      <c r="K1368" s="5" t="n">
        <v>45597.0</v>
      </c>
      <c r="L1368" s="5" t="n">
        <v>45525.0</v>
      </c>
      <c r="M1368" s="3" t="inlineStr">
        <is>
          <t>Approved</t>
        </is>
      </c>
      <c r="N1368" s="3" t="inlineStr">
        <is>
          <t>Study Start</t>
        </is>
      </c>
      <c r="O1368" s="3" t="inlineStr">
        <is>
          <t>42847922MDD3003</t>
        </is>
      </c>
    </row>
    <row r="1369">
      <c r="A1369" s="2" t="str">
        <f>HYPERLINK("https://vtmf.veevavault.com/ui/#doc_info/27388763/1/0", "42847922MDD3003---SDTM and Define .XML Production Data Release Memo-24 Oct 2024 (v1.0)")</f>
        <v>42847922MDD3003---SDTM and Define .XML Production Data Release Memo-24 Oct 2024 (v1.0)</v>
      </c>
      <c r="B1369" s="3" t="inlineStr">
        <is>
          <t>Data Management</t>
        </is>
      </c>
      <c r="C1369" s="3" t="inlineStr">
        <is>
          <t>General</t>
        </is>
      </c>
      <c r="D1369" s="3" t="inlineStr">
        <is>
          <t>SDTM and Define .XML Production Data Release Memo</t>
        </is>
      </c>
      <c r="E1369" s="3" t="inlineStr">
        <is>
          <t>42847922MDD3003 Production SDTM package release memo</t>
        </is>
      </c>
      <c r="F1369" s="2" t="str">
        <f>HYPERLINK("https://vtmf.veevavault.com/ui/#doc_info/27388763/1/0", "VTMF-21967368")</f>
        <v>VTMF-21967368</v>
      </c>
      <c r="G1369" s="3" t="inlineStr">
        <is>
          <t/>
        </is>
      </c>
      <c r="H1369" s="3" t="inlineStr">
        <is>
          <t>Anthony Suarez (veeva.com)</t>
        </is>
      </c>
      <c r="I1369" s="3" t="inlineStr">
        <is>
          <t>Amrita Trueblood</t>
        </is>
      </c>
      <c r="J1369" s="4" t="n">
        <v>45597.796377314815</v>
      </c>
      <c r="K1369" s="5" t="n">
        <v>45597.0</v>
      </c>
      <c r="L1369" s="5" t="n">
        <v>45589.0</v>
      </c>
      <c r="M1369" s="3" t="inlineStr">
        <is>
          <t>Approved</t>
        </is>
      </c>
      <c r="N1369" s="3" t="inlineStr">
        <is>
          <t>Study Start</t>
        </is>
      </c>
      <c r="O1369" s="3" t="inlineStr">
        <is>
          <t>42847922MDD3003</t>
        </is>
      </c>
    </row>
    <row r="1370">
      <c r="A1370" s="2" t="str">
        <f>HYPERLINK("https://vtmf.veevavault.com/ui/#doc_info/28262329/1/0", "42847922MDD3003---SDTM and Define .XML Production Data Release Memo-29 Jan 2025 (v1.0)")</f>
        <v>42847922MDD3003---SDTM and Define .XML Production Data Release Memo-29 Jan 2025 (v1.0)</v>
      </c>
      <c r="B1370" s="3" t="inlineStr">
        <is>
          <t>Data Management</t>
        </is>
      </c>
      <c r="C1370" s="3" t="inlineStr">
        <is>
          <t>General</t>
        </is>
      </c>
      <c r="D1370" s="3" t="inlineStr">
        <is>
          <t>SDTM and Define .XML Production Data Release Memo</t>
        </is>
      </c>
      <c r="E1370" s="3" t="inlineStr">
        <is>
          <t>42847922MDD3003 - DRM PROD PPC1 Release(ALS updates_ external data - Clario FA_ ZR)</t>
        </is>
      </c>
      <c r="F1370" s="2" t="str">
        <f>HYPERLINK("https://vtmf.veevavault.com/ui/#doc_info/28262329/1/0", "VTMF-22670221")</f>
        <v>VTMF-22670221</v>
      </c>
      <c r="G1370" s="3" t="inlineStr">
        <is>
          <t/>
        </is>
      </c>
      <c r="H1370" s="3" t="inlineStr">
        <is>
          <t>Anthony Suarez (veeva.com)</t>
        </is>
      </c>
      <c r="I1370" s="3" t="inlineStr">
        <is>
          <t>Sagarika Koppera</t>
        </is>
      </c>
      <c r="J1370" s="4" t="n">
        <v>45698.407002314816</v>
      </c>
      <c r="K1370" s="5" t="n">
        <v>45698.0</v>
      </c>
      <c r="L1370" s="5" t="n">
        <v>45686.0</v>
      </c>
      <c r="M1370" s="3" t="inlineStr">
        <is>
          <t>Approved</t>
        </is>
      </c>
      <c r="N1370" s="3" t="inlineStr">
        <is>
          <t>Study Start</t>
        </is>
      </c>
      <c r="O1370" s="3" t="inlineStr">
        <is>
          <t>42847922MDD3003</t>
        </is>
      </c>
    </row>
    <row r="1371">
      <c r="A1371" s="2" t="str">
        <f>HYPERLINK("https://vtmf.veevavault.com/ui/#doc_info/26315180/2/0", "42847922MDD3003---Serious Adverse Event (SAE) Package-18 Oct 2024 (v2.0)")</f>
        <v>42847922MDD3003---Serious Adverse Event (SAE) Package-18 Oct 2024 (v2.0)</v>
      </c>
      <c r="B1371" s="3" t="inlineStr">
        <is>
          <t>Safety Reporting</t>
        </is>
      </c>
      <c r="C1371" s="3" t="inlineStr">
        <is>
          <t>Trial Status Reporting</t>
        </is>
      </c>
      <c r="D1371" s="3" t="inlineStr">
        <is>
          <t>Serious Adverse Event (SAE) Package</t>
        </is>
      </c>
      <c r="E1371" s="3" t="inlineStr">
        <is>
          <t>TV-FRM-09760_v15.0_SAE Form</t>
        </is>
      </c>
      <c r="F1371" s="2" t="str">
        <f>HYPERLINK("https://vtmf.veevavault.com/ui/#doc_info/26315180/2/0", "VTMF-21054909")</f>
        <v>VTMF-21054909</v>
      </c>
      <c r="G1371" s="3" t="inlineStr">
        <is>
          <t/>
        </is>
      </c>
      <c r="H1371" s="3" t="inlineStr">
        <is>
          <t>Anthony Suarez (veeva.com)</t>
        </is>
      </c>
      <c r="I1371" s="3" t="inlineStr">
        <is>
          <t>Gina Stefanelli</t>
        </is>
      </c>
      <c r="J1371" s="4" t="n">
        <v>45583.60743055555</v>
      </c>
      <c r="K1371" s="5" t="n">
        <v>45583.0</v>
      </c>
      <c r="L1371" s="5" t="n">
        <v>45583.0</v>
      </c>
      <c r="M1371" s="3" t="inlineStr">
        <is>
          <t>Approved</t>
        </is>
      </c>
      <c r="N1371" s="3" t="inlineStr">
        <is>
          <t>Available for Distribution, CLIX Filing, Country Close</t>
        </is>
      </c>
      <c r="O1371" s="3" t="inlineStr">
        <is>
          <t>42847922MDD3003</t>
        </is>
      </c>
    </row>
    <row r="1372">
      <c r="A1372" s="2" t="str">
        <f>HYPERLINK("https://vtmf.veevavault.com/ui/#doc_info/25566340/1/0", "42847922MDD3003---Site Feasibility Questionnaire Master Template-30 Oct 2023 (v1.0)")</f>
        <v>42847922MDD3003---Site Feasibility Questionnaire Master Template-30 Oct 2023 (v1.0)</v>
      </c>
      <c r="B1372" s="3" t="inlineStr">
        <is>
          <t>Site Management</t>
        </is>
      </c>
      <c r="C1372" s="3" t="inlineStr">
        <is>
          <t>Site Selection</t>
        </is>
      </c>
      <c r="D1372" s="3" t="inlineStr">
        <is>
          <t>Site Feasibility Questionnaire Master Template</t>
        </is>
      </c>
      <c r="E1372" s="3" t="inlineStr">
        <is>
          <t>Site Interest and Protocol Information Questionnaire (SiPIQ)_v1_30Oct2023</t>
        </is>
      </c>
      <c r="F1372" s="2" t="str">
        <f>HYPERLINK("https://vtmf.veevavault.com/ui/#doc_info/25566340/1/0", "VTMF-20397739")</f>
        <v>VTMF-20397739</v>
      </c>
      <c r="G1372" s="3" t="inlineStr">
        <is>
          <t/>
        </is>
      </c>
      <c r="H1372" s="3" t="inlineStr">
        <is>
          <t>Anthony Suarez (veeva.com)</t>
        </is>
      </c>
      <c r="I1372" s="3" t="inlineStr">
        <is>
          <t>Flavia Di Molfetta</t>
        </is>
      </c>
      <c r="J1372" s="4" t="n">
        <v>45315.46424768519</v>
      </c>
      <c r="K1372" s="5" t="n">
        <v>45614.0</v>
      </c>
      <c r="L1372" s="5" t="n">
        <v>45229.0</v>
      </c>
      <c r="M1372" s="3" t="inlineStr">
        <is>
          <t>Approved</t>
        </is>
      </c>
      <c r="N1372" s="3" t="inlineStr">
        <is>
          <t>Study Start</t>
        </is>
      </c>
      <c r="O1372" s="3" t="inlineStr">
        <is>
          <t>42847922MDD3003, 67953964MDD3005, 67953964MDD3007, 89495120MDD2001</t>
        </is>
      </c>
    </row>
    <row r="1373">
      <c r="A1373" s="2" t="str">
        <f>HYPERLINK("https://vtmf.veevavault.com/ui/#doc_info/26258594/3/0", "42847922MDD3003---Site IP Binder-18 Dec 2025- (v3.0)")</f>
        <v>42847922MDD3003---Site IP Binder-18 Dec 2025- (v3.0)</v>
      </c>
      <c r="B1373" s="3" t="inlineStr">
        <is>
          <t>IP and Trial Supplies</t>
        </is>
      </c>
      <c r="C1373" s="3" t="inlineStr">
        <is>
          <t>IP Documentation</t>
        </is>
      </c>
      <c r="D1373" s="3" t="inlineStr">
        <is>
          <t>Site IP Binder</t>
        </is>
      </c>
      <c r="E1373" s="3" t="inlineStr">
        <is>
          <t>TV-FRM-03461_v10.0_final_18Dec25</t>
        </is>
      </c>
      <c r="F1373" s="2" t="str">
        <f>HYPERLINK("https://vtmf.veevavault.com/ui/#doc_info/26258594/3/0", "VTMF-21004997")</f>
        <v>VTMF-21004997</v>
      </c>
      <c r="G1373" s="3" t="inlineStr">
        <is>
          <t/>
        </is>
      </c>
      <c r="H1373" s="3" t="inlineStr">
        <is>
          <t>System</t>
        </is>
      </c>
      <c r="I1373" s="3" t="inlineStr">
        <is>
          <t>Kristina Ruzinska</t>
        </is>
      </c>
      <c r="J1373" s="4" t="n">
        <v>46009.48664351852</v>
      </c>
      <c r="K1373" s="5" t="n">
        <v>46009.0</v>
      </c>
      <c r="L1373" s="5" t="n">
        <v>46009.0</v>
      </c>
      <c r="M1373" s="3" t="inlineStr">
        <is>
          <t>Approved</t>
        </is>
      </c>
      <c r="N1373" s="3" t="inlineStr">
        <is>
          <t>Available for Distribution, Study Start</t>
        </is>
      </c>
      <c r="O1373" s="3" t="inlineStr">
        <is>
          <t>42847922MDD3003</t>
        </is>
      </c>
    </row>
    <row r="1374">
      <c r="A1374" s="2" t="str">
        <f>HYPERLINK("https://vtmf.veevavault.com/ui/#doc_info/26234797/2/0", "42847922MDD3003---Site IP Procedures Manual-09 Dec 2025 (v2.0)")</f>
        <v>42847922MDD3003---Site IP Procedures Manual-09 Dec 2025 (v2.0)</v>
      </c>
      <c r="B1374" s="3" t="inlineStr">
        <is>
          <t>IP and Trial Supplies</t>
        </is>
      </c>
      <c r="C1374" s="3" t="inlineStr">
        <is>
          <t>IP Documentation</t>
        </is>
      </c>
      <c r="D1374" s="3" t="inlineStr">
        <is>
          <t>Site IP Procedures Manual</t>
        </is>
      </c>
      <c r="E1374" s="3" t="inlineStr">
        <is>
          <t>SIPPM_TV-FRM-05600_v13.0 _final_09Dec2025</t>
        </is>
      </c>
      <c r="F1374" s="2" t="str">
        <f>HYPERLINK("https://vtmf.veevavault.com/ui/#doc_info/26234797/2/0", "VTMF-20984814")</f>
        <v>VTMF-20984814</v>
      </c>
      <c r="G1374" s="3" t="inlineStr">
        <is>
          <t/>
        </is>
      </c>
      <c r="H1374" s="3" t="inlineStr">
        <is>
          <t>System</t>
        </is>
      </c>
      <c r="I1374" s="3" t="inlineStr">
        <is>
          <t>Kristina Ruzinska</t>
        </is>
      </c>
      <c r="J1374" s="4" t="n">
        <v>46000.72641203704</v>
      </c>
      <c r="K1374" s="5" t="n">
        <v>46000.0</v>
      </c>
      <c r="L1374" s="5" t="n">
        <v>46000.0</v>
      </c>
      <c r="M1374" s="3" t="inlineStr">
        <is>
          <t>Approved</t>
        </is>
      </c>
      <c r="N1374" s="3" t="inlineStr">
        <is>
          <t>Available for Distribution, Study Start</t>
        </is>
      </c>
      <c r="O1374" s="3" t="inlineStr">
        <is>
          <t>42847922MDD3003</t>
        </is>
      </c>
    </row>
    <row r="1375">
      <c r="A1375" s="2" t="str">
        <f>HYPERLINK("https://vtmf.veevavault.com/ui/#doc_info/26047859/2/0", "42847922MDD3003---Site Signature Sheet-20 Feb 2025 (v2.0)")</f>
        <v>42847922MDD3003---Site Signature Sheet-20 Feb 2025 (v2.0)</v>
      </c>
      <c r="B1375" s="3" t="inlineStr">
        <is>
          <t>Site Management</t>
        </is>
      </c>
      <c r="C1375" s="3" t="inlineStr">
        <is>
          <t>Site Set-up Documentation</t>
        </is>
      </c>
      <c r="D1375" s="3" t="inlineStr">
        <is>
          <t>Site Signature Sheet</t>
        </is>
      </c>
      <c r="E1375" s="3" t="inlineStr">
        <is>
          <t>Study-Specific Delegation Log_V2.0</t>
        </is>
      </c>
      <c r="F1375" s="2" t="str">
        <f>HYPERLINK("https://vtmf.veevavault.com/ui/#doc_info/26047859/2/0", "VTMF-20822205")</f>
        <v>VTMF-20822205</v>
      </c>
      <c r="G1375" s="3" t="inlineStr">
        <is>
          <t/>
        </is>
      </c>
      <c r="H1375" s="3" t="inlineStr">
        <is>
          <t>Anthony Suarez (veeva.com)</t>
        </is>
      </c>
      <c r="I1375" s="3" t="inlineStr">
        <is>
          <t>Jen Goodridge</t>
        </is>
      </c>
      <c r="J1375" s="4" t="n">
        <v>45709.91525462963</v>
      </c>
      <c r="K1375" s="5" t="n">
        <v>45709.0</v>
      </c>
      <c r="L1375" s="5" t="n">
        <v>45708.0</v>
      </c>
      <c r="M1375" s="3" t="inlineStr">
        <is>
          <t>Approved</t>
        </is>
      </c>
      <c r="N1375" s="3" t="inlineStr">
        <is>
          <t>Available for Distribution, CLIX Filing, Site Close, Study Start</t>
        </is>
      </c>
      <c r="O1375" s="3" t="inlineStr">
        <is>
          <t>42847922MDD3003</t>
        </is>
      </c>
    </row>
    <row r="1376">
      <c r="A1376" s="2" t="str">
        <f>HYPERLINK("https://vtmf.veevavault.com/ui/#doc_info/26047861/2/0", "42847922MDD3003---Site Signature Sheet-20 Feb 2025 (v2.0)")</f>
        <v>42847922MDD3003---Site Signature Sheet-20 Feb 2025 (v2.0)</v>
      </c>
      <c r="B1376" s="3" t="inlineStr">
        <is>
          <t>Site Management</t>
        </is>
      </c>
      <c r="C1376" s="3" t="inlineStr">
        <is>
          <t>Site Set-up Documentation</t>
        </is>
      </c>
      <c r="D1376" s="3" t="inlineStr">
        <is>
          <t>Site Signature Sheet</t>
        </is>
      </c>
      <c r="E1376" s="3" t="inlineStr">
        <is>
          <t>Study-Specific Department Head Delegation Log_V2.0</t>
        </is>
      </c>
      <c r="F1376" s="2" t="str">
        <f>HYPERLINK("https://vtmf.veevavault.com/ui/#doc_info/26047861/2/0", "VTMF-20822207")</f>
        <v>VTMF-20822207</v>
      </c>
      <c r="G1376" s="3" t="inlineStr">
        <is>
          <t/>
        </is>
      </c>
      <c r="H1376" s="3" t="inlineStr">
        <is>
          <t>Anthony Suarez (veeva.com)</t>
        </is>
      </c>
      <c r="I1376" s="3" t="inlineStr">
        <is>
          <t>Jen Goodridge</t>
        </is>
      </c>
      <c r="J1376" s="4" t="n">
        <v>45709.91799768519</v>
      </c>
      <c r="K1376" s="5" t="n">
        <v>45709.0</v>
      </c>
      <c r="L1376" s="5" t="n">
        <v>45708.0</v>
      </c>
      <c r="M1376" s="3" t="inlineStr">
        <is>
          <t>Approved</t>
        </is>
      </c>
      <c r="N1376" s="3" t="inlineStr">
        <is>
          <t>Available for Distribution, CLIX Filing, Site Close, Study Start</t>
        </is>
      </c>
      <c r="O1376" s="3" t="inlineStr">
        <is>
          <t>42847922MDD3003</t>
        </is>
      </c>
    </row>
    <row r="1377">
      <c r="A1377" s="2" t="str">
        <f>HYPERLINK("https://vtmf.veevavault.com/ui/#doc_info/25885912/111/0", "42847922MDD3003---Site Training Documentation-05 Jun 2026 (v111.0)")</f>
        <v>42847922MDD3003---Site Training Documentation-05 Jun 2026 (v111.0)</v>
      </c>
      <c r="B1377" s="3" t="inlineStr">
        <is>
          <t>Site Management</t>
        </is>
      </c>
      <c r="C1377" s="3" t="inlineStr">
        <is>
          <t>Site Initiation</t>
        </is>
      </c>
      <c r="D1377" s="3" t="inlineStr">
        <is>
          <t>Site Training Documentation</t>
        </is>
      </c>
      <c r="E1377" s="3" t="inlineStr">
        <is>
          <t>Training Completion Summary Report from LMS – All Site Users</t>
        </is>
      </c>
      <c r="F1377" s="2" t="str">
        <f>HYPERLINK("https://vtmf.veevavault.com/ui/#doc_info/25885912/111/0", "VTMF-20678732")</f>
        <v>VTMF-20678732</v>
      </c>
      <c r="G1377" s="3" t="inlineStr">
        <is>
          <t/>
        </is>
      </c>
      <c r="H1377" s="3" t="inlineStr">
        <is>
          <t>System</t>
        </is>
      </c>
      <c r="I1377" s="3" t="inlineStr">
        <is>
          <t>DrugDev API Account</t>
        </is>
      </c>
      <c r="J1377" s="4" t="n">
        <v>46178.79613425926</v>
      </c>
      <c r="K1377" s="5" t="n">
        <v>46178.0</v>
      </c>
      <c r="L1377" s="5" t="n">
        <v>46178.0</v>
      </c>
      <c r="M1377" s="3" t="inlineStr">
        <is>
          <t>Approved</t>
        </is>
      </c>
      <c r="N1377" s="3" t="inlineStr">
        <is>
          <t>Available for Distribution, CLIX Filing, Site Start</t>
        </is>
      </c>
      <c r="O1377" s="3" t="inlineStr">
        <is>
          <t>42847922MDD3003</t>
        </is>
      </c>
    </row>
    <row r="1378">
      <c r="A1378" s="2" t="str">
        <f>HYPERLINK("https://vtmf.veevavault.com/ui/#doc_info/26551424/1/0", "42847922MDD3003---Site Training Material-01 May 2024 (v1.0)")</f>
        <v>42847922MDD3003---Site Training Material-01 May 2024 (v1.0)</v>
      </c>
      <c r="B1378" s="3" t="inlineStr">
        <is>
          <t>Site Management</t>
        </is>
      </c>
      <c r="C1378" s="3" t="inlineStr">
        <is>
          <t>Site Initiation</t>
        </is>
      </c>
      <c r="D1378" s="3" t="inlineStr">
        <is>
          <t>Site Training Material</t>
        </is>
      </c>
      <c r="E1378" s="3" t="inlineStr">
        <is>
          <t>CRONOS_ATRQ_Rater  Training_v1.0; 01May2024</t>
        </is>
      </c>
      <c r="F1378" s="2" t="str">
        <f>HYPERLINK("https://vtmf.veevavault.com/ui/#doc_info/26551424/1/0", "VTMF-21263101")</f>
        <v>VTMF-21263101</v>
      </c>
      <c r="G1378" s="3" t="inlineStr">
        <is>
          <t/>
        </is>
      </c>
      <c r="H1378" s="3" t="inlineStr">
        <is>
          <t>System</t>
        </is>
      </c>
      <c r="I1378" s="3" t="inlineStr">
        <is>
          <t>Kristina Ruzinska</t>
        </is>
      </c>
      <c r="J1378" s="4" t="n">
        <v>45462.36609953704</v>
      </c>
      <c r="K1378" s="5" t="n">
        <v>45462.0</v>
      </c>
      <c r="L1378" s="5" t="n">
        <v>45413.0</v>
      </c>
      <c r="M1378" s="3" t="inlineStr">
        <is>
          <t>Approved</t>
        </is>
      </c>
      <c r="N1378" s="3" t="inlineStr">
        <is>
          <t>Available for Distribution, Study Start</t>
        </is>
      </c>
      <c r="O1378" s="3" t="inlineStr">
        <is>
          <t>42847922MDD3003</t>
        </is>
      </c>
    </row>
    <row r="1379">
      <c r="A1379" s="2" t="str">
        <f>HYPERLINK("https://vtmf.veevavault.com/ui/#doc_info/29271844/2/0", "42847922MDD3003---Site Training Material-02 Jun 2025 (v2.0)")</f>
        <v>42847922MDD3003---Site Training Material-02 Jun 2025 (v2.0)</v>
      </c>
      <c r="B1379" s="3" t="inlineStr">
        <is>
          <t>Site Management</t>
        </is>
      </c>
      <c r="C1379" s="3" t="inlineStr">
        <is>
          <t>Site Initiation</t>
        </is>
      </c>
      <c r="D1379" s="3" t="inlineStr">
        <is>
          <t>Site Training Material</t>
        </is>
      </c>
      <c r="E1379" s="3" t="inlineStr">
        <is>
          <t>Clarivate Patient Experience Interviews Exploring Sleep Disturbance in MDD_Site Training_v2.0  02Jun25</t>
        </is>
      </c>
      <c r="F1379" s="2" t="str">
        <f>HYPERLINK("https://vtmf.veevavault.com/ui/#doc_info/29271844/2/0", "VTMF-23525234")</f>
        <v>VTMF-23525234</v>
      </c>
      <c r="G1379" s="3" t="inlineStr">
        <is>
          <t/>
        </is>
      </c>
      <c r="H1379" s="3" t="inlineStr">
        <is>
          <t>System</t>
        </is>
      </c>
      <c r="I1379" s="3" t="inlineStr">
        <is>
          <t>Gina Stefanelli</t>
        </is>
      </c>
      <c r="J1379" s="4" t="n">
        <v>45813.602789351855</v>
      </c>
      <c r="K1379" s="5" t="n">
        <v>45813.0</v>
      </c>
      <c r="L1379" s="5" t="n">
        <v>45810.0</v>
      </c>
      <c r="M1379" s="3" t="inlineStr">
        <is>
          <t>Approved</t>
        </is>
      </c>
      <c r="N1379" s="3" t="inlineStr">
        <is>
          <t>Available for Distribution, Study Start</t>
        </is>
      </c>
      <c r="O1379" s="3" t="inlineStr">
        <is>
          <t>42847922MDD3003</t>
        </is>
      </c>
    </row>
    <row r="1380">
      <c r="A1380" s="2" t="str">
        <f>HYPERLINK("https://vtmf.veevavault.com/ui/#doc_info/26556505/1/0", "42847922MDD3003---Site Training Material-02 May 2024 (v1.0)")</f>
        <v>42847922MDD3003---Site Training Material-02 May 2024 (v1.0)</v>
      </c>
      <c r="B1380" s="3" t="inlineStr">
        <is>
          <t>Site Management</t>
        </is>
      </c>
      <c r="C1380" s="3" t="inlineStr">
        <is>
          <t>Site Initiation</t>
        </is>
      </c>
      <c r="D1380" s="3" t="inlineStr">
        <is>
          <t>Site Training Material</t>
        </is>
      </c>
      <c r="E1380" s="3" t="inlineStr">
        <is>
          <t>42847922MDD3003 Clario ECG Training v1.0_02May2024</t>
        </is>
      </c>
      <c r="F1380" s="2" t="str">
        <f>HYPERLINK("https://vtmf.veevavault.com/ui/#doc_info/26556505/1/0", "VTMF-21267629")</f>
        <v>VTMF-21267629</v>
      </c>
      <c r="G1380" s="3" t="inlineStr">
        <is>
          <t/>
        </is>
      </c>
      <c r="H1380" s="3" t="inlineStr">
        <is>
          <t>System</t>
        </is>
      </c>
      <c r="I1380" s="3" t="inlineStr">
        <is>
          <t>Jen Goodridge</t>
        </is>
      </c>
      <c r="J1380" s="4" t="n">
        <v>45462.89480324074</v>
      </c>
      <c r="K1380" s="5" t="n">
        <v>45462.0</v>
      </c>
      <c r="L1380" s="5" t="n">
        <v>45414.0</v>
      </c>
      <c r="M1380" s="3" t="inlineStr">
        <is>
          <t>Approved</t>
        </is>
      </c>
      <c r="N1380" s="3" t="inlineStr">
        <is>
          <t>Available for Distribution, Study Start</t>
        </is>
      </c>
      <c r="O1380" s="3" t="inlineStr">
        <is>
          <t>42847922MDD3003</t>
        </is>
      </c>
    </row>
    <row r="1381">
      <c r="A1381" s="2" t="str">
        <f>HYPERLINK("https://vtmf.veevavault.com/ui/#doc_info/26556506/1/0", "42847922MDD3003---Site Training Material-02 May 2024 (v1.0)")</f>
        <v>42847922MDD3003---Site Training Material-02 May 2024 (v1.0)</v>
      </c>
      <c r="B1381" s="3" t="inlineStr">
        <is>
          <t>Site Management</t>
        </is>
      </c>
      <c r="C1381" s="3" t="inlineStr">
        <is>
          <t>Site Initiation</t>
        </is>
      </c>
      <c r="D1381" s="3" t="inlineStr">
        <is>
          <t>Site Training Material</t>
        </is>
      </c>
      <c r="E1381" s="3" t="inlineStr">
        <is>
          <t>42847922MDD3003 Central Laboratory Services Training v1.0_02May2024</t>
        </is>
      </c>
      <c r="F1381" s="2" t="str">
        <f>HYPERLINK("https://vtmf.veevavault.com/ui/#doc_info/26556506/1/0", "VTMF-21267630")</f>
        <v>VTMF-21267630</v>
      </c>
      <c r="G1381" s="3" t="inlineStr">
        <is>
          <t/>
        </is>
      </c>
      <c r="H1381" s="3" t="inlineStr">
        <is>
          <t>System</t>
        </is>
      </c>
      <c r="I1381" s="3" t="inlineStr">
        <is>
          <t>Jen Goodridge</t>
        </is>
      </c>
      <c r="J1381" s="4" t="n">
        <v>45462.89480324074</v>
      </c>
      <c r="K1381" s="5" t="n">
        <v>45462.0</v>
      </c>
      <c r="L1381" s="5" t="n">
        <v>45414.0</v>
      </c>
      <c r="M1381" s="3" t="inlineStr">
        <is>
          <t>Approved</t>
        </is>
      </c>
      <c r="N1381" s="3" t="inlineStr">
        <is>
          <t>Available for Distribution, Study Start</t>
        </is>
      </c>
      <c r="O1381" s="3" t="inlineStr">
        <is>
          <t>42847922MDD3003</t>
        </is>
      </c>
    </row>
    <row r="1382">
      <c r="A1382" s="2" t="str">
        <f>HYPERLINK("https://vtmf.veevavault.com/ui/#doc_info/29622993/1/0", "42847922MDD3003---Site Training Material-02 May 2025 (v1.0)")</f>
        <v>42847922MDD3003---Site Training Material-02 May 2025 (v1.0)</v>
      </c>
      <c r="B1382" s="3" t="inlineStr">
        <is>
          <t>Site Management</t>
        </is>
      </c>
      <c r="C1382" s="3" t="inlineStr">
        <is>
          <t>Site Initiation</t>
        </is>
      </c>
      <c r="D1382" s="3" t="inlineStr">
        <is>
          <t>Site Training Material</t>
        </is>
      </c>
      <c r="E1382" s="3" t="inlineStr">
        <is>
          <t>42847922MDD3003 4G IRT System Site Training v3.0_02May2025</t>
        </is>
      </c>
      <c r="F1382" s="2" t="str">
        <f>HYPERLINK("https://vtmf.veevavault.com/ui/#doc_info/29622993/1/0", "VTMF-23829905")</f>
        <v>VTMF-23829905</v>
      </c>
      <c r="G1382" s="3" t="inlineStr">
        <is>
          <t/>
        </is>
      </c>
      <c r="H1382" s="3" t="inlineStr">
        <is>
          <t>System</t>
        </is>
      </c>
      <c r="I1382" s="3" t="inlineStr">
        <is>
          <t>Jen Goodridge</t>
        </is>
      </c>
      <c r="J1382" s="4" t="n">
        <v>45862.71732638889</v>
      </c>
      <c r="K1382" s="5" t="n">
        <v>45862.0</v>
      </c>
      <c r="L1382" s="5" t="n">
        <v>45779.0</v>
      </c>
      <c r="M1382" s="3" t="inlineStr">
        <is>
          <t>Approved</t>
        </is>
      </c>
      <c r="N1382" s="3" t="inlineStr">
        <is>
          <t>Available for Distribution, Study Start</t>
        </is>
      </c>
      <c r="O1382" s="3" t="inlineStr">
        <is>
          <t>42847922MDD3003</t>
        </is>
      </c>
    </row>
    <row r="1383">
      <c r="A1383" s="2" t="str">
        <f>HYPERLINK("https://vtmf.veevavault.com/ui/#doc_info/28128898/3/0", "42847922MDD3003---Site Training Material-03 Apr 2025 (v3.0)")</f>
        <v>42847922MDD3003---Site Training Material-03 Apr 2025 (v3.0)</v>
      </c>
      <c r="B1383" s="3" t="inlineStr">
        <is>
          <t>Site Management</t>
        </is>
      </c>
      <c r="C1383" s="3" t="inlineStr">
        <is>
          <t>Site Initiation</t>
        </is>
      </c>
      <c r="D1383" s="3" t="inlineStr">
        <is>
          <t>Site Training Material</t>
        </is>
      </c>
      <c r="E1383" s="3" t="inlineStr">
        <is>
          <t>Beacon Dreem 3S EEG Site Training_v3.0</t>
        </is>
      </c>
      <c r="F1383" s="2" t="str">
        <f>HYPERLINK("https://vtmf.veevavault.com/ui/#doc_info/28128898/3/0", "VTMF-22560034")</f>
        <v>VTMF-22560034</v>
      </c>
      <c r="G1383" s="3" t="inlineStr">
        <is>
          <t/>
        </is>
      </c>
      <c r="H1383" s="3" t="inlineStr">
        <is>
          <t>Anthony Suarez (veeva.com)</t>
        </is>
      </c>
      <c r="I1383" s="3" t="inlineStr">
        <is>
          <t>Charles Hayes</t>
        </is>
      </c>
      <c r="J1383" s="4" t="n">
        <v>45751.625243055554</v>
      </c>
      <c r="K1383" s="5" t="n">
        <v>45751.0</v>
      </c>
      <c r="L1383" s="5" t="n">
        <v>45750.0</v>
      </c>
      <c r="M1383" s="3" t="inlineStr">
        <is>
          <t>Approved</t>
        </is>
      </c>
      <c r="N1383" s="3" t="inlineStr">
        <is>
          <t>Available for Distribution, Study Start</t>
        </is>
      </c>
      <c r="O1383" s="3" t="inlineStr">
        <is>
          <t>42847922MDD3003</t>
        </is>
      </c>
    </row>
    <row r="1384">
      <c r="A1384" s="2" t="str">
        <f>HYPERLINK("https://vtmf.veevavault.com/ui/#doc_info/26551245/1/0", "42847922MDD3003---Site Training Material-03 Jun 2024 (v1.0)")</f>
        <v>42847922MDD3003---Site Training Material-03 Jun 2024 (v1.0)</v>
      </c>
      <c r="B1384" s="3" t="inlineStr">
        <is>
          <t>Site Management</t>
        </is>
      </c>
      <c r="C1384" s="3" t="inlineStr">
        <is>
          <t>Site Initiation</t>
        </is>
      </c>
      <c r="D1384" s="3" t="inlineStr">
        <is>
          <t>Site Training Material</t>
        </is>
      </c>
      <c r="E1384" s="3" t="inlineStr">
        <is>
          <t>CRONOS_SIGMA_Protocol Specific rater training, v1.0; 03Jun24</t>
        </is>
      </c>
      <c r="F1384" s="2" t="str">
        <f>HYPERLINK("https://vtmf.veevavault.com/ui/#doc_info/26551245/1/0", "VTMF-21262998")</f>
        <v>VTMF-21262998</v>
      </c>
      <c r="G1384" s="3" t="inlineStr">
        <is>
          <t/>
        </is>
      </c>
      <c r="H1384" s="3" t="inlineStr">
        <is>
          <t>System</t>
        </is>
      </c>
      <c r="I1384" s="3" t="inlineStr">
        <is>
          <t>Kristina Ruzinska</t>
        </is>
      </c>
      <c r="J1384" s="4" t="n">
        <v>45462.34829861111</v>
      </c>
      <c r="K1384" s="5" t="n">
        <v>45462.0</v>
      </c>
      <c r="L1384" s="5" t="n">
        <v>45446.0</v>
      </c>
      <c r="M1384" s="3" t="inlineStr">
        <is>
          <t>Approved</t>
        </is>
      </c>
      <c r="N1384" s="3" t="inlineStr">
        <is>
          <t>Available for Distribution, Study Start</t>
        </is>
      </c>
      <c r="O1384" s="3" t="inlineStr">
        <is>
          <t>42847922MDD3003</t>
        </is>
      </c>
    </row>
    <row r="1385">
      <c r="A1385" s="2" t="str">
        <f>HYPERLINK("https://vtmf.veevavault.com/ui/#doc_info/26551261/1/0", "42847922MDD3003---Site Training Material-03 Jun 2024 (v1.0)")</f>
        <v>42847922MDD3003---Site Training Material-03 Jun 2024 (v1.0)</v>
      </c>
      <c r="B1385" s="3" t="inlineStr">
        <is>
          <t>Site Management</t>
        </is>
      </c>
      <c r="C1385" s="3" t="inlineStr">
        <is>
          <t>Site Initiation</t>
        </is>
      </c>
      <c r="D1385" s="3" t="inlineStr">
        <is>
          <t>Site Training Material</t>
        </is>
      </c>
      <c r="E1385" s="3" t="inlineStr">
        <is>
          <t>CRONOS_SCID-5-CT_Protocol Specific Rater Training_v1.0; 03Jun2024</t>
        </is>
      </c>
      <c r="F1385" s="2" t="str">
        <f>HYPERLINK("https://vtmf.veevavault.com/ui/#doc_info/26551261/1/0", "VTMF-21263014")</f>
        <v>VTMF-21263014</v>
      </c>
      <c r="G1385" s="3" t="inlineStr">
        <is>
          <t/>
        </is>
      </c>
      <c r="H1385" s="3" t="inlineStr">
        <is>
          <t>System</t>
        </is>
      </c>
      <c r="I1385" s="3" t="inlineStr">
        <is>
          <t>Kristina Ruzinska</t>
        </is>
      </c>
      <c r="J1385" s="4" t="n">
        <v>45462.35229166667</v>
      </c>
      <c r="K1385" s="5" t="n">
        <v>45462.0</v>
      </c>
      <c r="L1385" s="5" t="n">
        <v>45446.0</v>
      </c>
      <c r="M1385" s="3" t="inlineStr">
        <is>
          <t>Approved</t>
        </is>
      </c>
      <c r="N1385" s="3" t="inlineStr">
        <is>
          <t>Available for Distribution, Study Start</t>
        </is>
      </c>
      <c r="O1385" s="3" t="inlineStr">
        <is>
          <t>42847922MDD3003</t>
        </is>
      </c>
    </row>
    <row r="1386">
      <c r="A1386" s="2" t="str">
        <f>HYPERLINK("https://vtmf.veevavault.com/ui/#doc_info/26551276/1/0", "42847922MDD3003---Site Training Material-03 Jun 2024 (v1.0)")</f>
        <v>42847922MDD3003---Site Training Material-03 Jun 2024 (v1.0)</v>
      </c>
      <c r="B1386" s="3" t="inlineStr">
        <is>
          <t>Site Management</t>
        </is>
      </c>
      <c r="C1386" s="3" t="inlineStr">
        <is>
          <t>Site Initiation</t>
        </is>
      </c>
      <c r="D1386" s="3" t="inlineStr">
        <is>
          <t>Site Training Material</t>
        </is>
      </c>
      <c r="E1386" s="3" t="inlineStr">
        <is>
          <t>CRONOS_Services Overview_v1.0; 03Jun2024</t>
        </is>
      </c>
      <c r="F1386" s="2" t="str">
        <f>HYPERLINK("https://vtmf.veevavault.com/ui/#doc_info/26551276/1/0", "VTMF-21263031")</f>
        <v>VTMF-21263031</v>
      </c>
      <c r="G1386" s="3" t="inlineStr">
        <is>
          <t/>
        </is>
      </c>
      <c r="H1386" s="3" t="inlineStr">
        <is>
          <t>System</t>
        </is>
      </c>
      <c r="I1386" s="3" t="inlineStr">
        <is>
          <t>Kristina Ruzinska</t>
        </is>
      </c>
      <c r="J1386" s="4" t="n">
        <v>45462.356875</v>
      </c>
      <c r="K1386" s="5" t="n">
        <v>45462.0</v>
      </c>
      <c r="L1386" s="5" t="n">
        <v>45446.0</v>
      </c>
      <c r="M1386" s="3" t="inlineStr">
        <is>
          <t>Approved</t>
        </is>
      </c>
      <c r="N1386" s="3" t="inlineStr">
        <is>
          <t>Available for Distribution, Study Start</t>
        </is>
      </c>
      <c r="O1386" s="3" t="inlineStr">
        <is>
          <t>42847922MDD3003</t>
        </is>
      </c>
    </row>
    <row r="1387">
      <c r="A1387" s="2" t="str">
        <f>HYPERLINK("https://vtmf.veevavault.com/ui/#doc_info/26551405/1/0", "42847922MDD3003---Site Training Material-03 Jun 2024 (v1.0)")</f>
        <v>42847922MDD3003---Site Training Material-03 Jun 2024 (v1.0)</v>
      </c>
      <c r="B1387" s="3" t="inlineStr">
        <is>
          <t>Site Management</t>
        </is>
      </c>
      <c r="C1387" s="3" t="inlineStr">
        <is>
          <t>Site Initiation</t>
        </is>
      </c>
      <c r="D1387" s="3" t="inlineStr">
        <is>
          <t>Site Training Material</t>
        </is>
      </c>
      <c r="E1387" s="3" t="inlineStr">
        <is>
          <t>Cronos Placebo Response Mitigation Training_v1.0; 03Jun2024</t>
        </is>
      </c>
      <c r="F1387" s="2" t="str">
        <f>HYPERLINK("https://vtmf.veevavault.com/ui/#doc_info/26551405/1/0", "VTMF-21263072")</f>
        <v>VTMF-21263072</v>
      </c>
      <c r="G1387" s="3" t="inlineStr">
        <is>
          <t/>
        </is>
      </c>
      <c r="H1387" s="3" t="inlineStr">
        <is>
          <t>System</t>
        </is>
      </c>
      <c r="I1387" s="3" t="inlineStr">
        <is>
          <t>Kristina Ruzinska</t>
        </is>
      </c>
      <c r="J1387" s="4" t="n">
        <v>45462.361284722225</v>
      </c>
      <c r="K1387" s="5" t="n">
        <v>45462.0</v>
      </c>
      <c r="L1387" s="5" t="n">
        <v>45446.0</v>
      </c>
      <c r="M1387" s="3" t="inlineStr">
        <is>
          <t>Approved</t>
        </is>
      </c>
      <c r="N1387" s="3" t="inlineStr">
        <is>
          <t>Available for Distribution, Study Start</t>
        </is>
      </c>
      <c r="O1387" s="3" t="inlineStr">
        <is>
          <t>42847922MDD3003</t>
        </is>
      </c>
    </row>
    <row r="1388">
      <c r="A1388" s="2" t="str">
        <f>HYPERLINK("https://vtmf.veevavault.com/ui/#doc_info/26551416/1/0", "42847922MDD3003---Site Training Material-03 Jun 2024 (v1.0)")</f>
        <v>42847922MDD3003---Site Training Material-03 Jun 2024 (v1.0)</v>
      </c>
      <c r="B1388" s="3" t="inlineStr">
        <is>
          <t>Site Management</t>
        </is>
      </c>
      <c r="C1388" s="3" t="inlineStr">
        <is>
          <t>Site Initiation</t>
        </is>
      </c>
      <c r="D1388" s="3" t="inlineStr">
        <is>
          <t>Site Training Material</t>
        </is>
      </c>
      <c r="E1388" s="3" t="inlineStr">
        <is>
          <t>CRONOS_CGI-S_Protocol Specific Rater Training_v1.0; 03Jun2024</t>
        </is>
      </c>
      <c r="F1388" s="2" t="str">
        <f>HYPERLINK("https://vtmf.veevavault.com/ui/#doc_info/26551416/1/0", "VTMF-21263090")</f>
        <v>VTMF-21263090</v>
      </c>
      <c r="G1388" s="3" t="inlineStr">
        <is>
          <t/>
        </is>
      </c>
      <c r="H1388" s="3" t="inlineStr">
        <is>
          <t>System</t>
        </is>
      </c>
      <c r="I1388" s="3" t="inlineStr">
        <is>
          <t>Kristina Ruzinska</t>
        </is>
      </c>
      <c r="J1388" s="4" t="n">
        <v>45462.36418981481</v>
      </c>
      <c r="K1388" s="5" t="n">
        <v>45462.0</v>
      </c>
      <c r="L1388" s="5" t="n">
        <v>45446.0</v>
      </c>
      <c r="M1388" s="3" t="inlineStr">
        <is>
          <t>Approved</t>
        </is>
      </c>
      <c r="N1388" s="3" t="inlineStr">
        <is>
          <t>Available for Distribution, Study Start</t>
        </is>
      </c>
      <c r="O1388" s="3" t="inlineStr">
        <is>
          <t>42847922MDD3003</t>
        </is>
      </c>
    </row>
    <row r="1389">
      <c r="A1389" s="2" t="str">
        <f>HYPERLINK("https://vtmf.veevavault.com/ui/#doc_info/26047901/10/0", "42847922MDD3003---Site Training Material-07 Apr 2026 (v10.0)")</f>
        <v>42847922MDD3003---Site Training Material-07 Apr 2026 (v10.0)</v>
      </c>
      <c r="B1389" s="3" t="inlineStr">
        <is>
          <t>Site Management</t>
        </is>
      </c>
      <c r="C1389" s="3" t="inlineStr">
        <is>
          <t>Site Initiation</t>
        </is>
      </c>
      <c r="D1389" s="3" t="inlineStr">
        <is>
          <t>Site Training Material</t>
        </is>
      </c>
      <c r="E1389" s="3" t="inlineStr">
        <is>
          <t>42847922MDD3003 Global Protocol Training Plan (GPTP) TV-eFRM-04981_V10.0_07Apr2026</t>
        </is>
      </c>
      <c r="F1389" s="2" t="str">
        <f>HYPERLINK("https://vtmf.veevavault.com/ui/#doc_info/26047901/10/0", "VTMF-20822248")</f>
        <v>VTMF-20822248</v>
      </c>
      <c r="G1389" s="3" t="inlineStr">
        <is>
          <t/>
        </is>
      </c>
      <c r="H1389" s="3" t="inlineStr">
        <is>
          <t>System</t>
        </is>
      </c>
      <c r="I1389" s="3" t="inlineStr">
        <is>
          <t>Jen Goodridge</t>
        </is>
      </c>
      <c r="J1389" s="4" t="n">
        <v>46119.8121875</v>
      </c>
      <c r="K1389" s="5" t="n">
        <v>46119.0</v>
      </c>
      <c r="L1389" s="5" t="n">
        <v>46119.0</v>
      </c>
      <c r="M1389" s="3" t="inlineStr">
        <is>
          <t>Approved</t>
        </is>
      </c>
      <c r="N1389" s="3" t="inlineStr">
        <is>
          <t>Available for Distribution, Study Start</t>
        </is>
      </c>
      <c r="O1389" s="3" t="inlineStr">
        <is>
          <t>42847922MDD3003</t>
        </is>
      </c>
    </row>
    <row r="1390">
      <c r="A1390" s="2" t="str">
        <f>HYPERLINK("https://vtmf.veevavault.com/ui/#doc_info/27759366/1/0", "42847922MDD3003---Site Training Material-13 Nov 2024 (v1.0)")</f>
        <v>42847922MDD3003---Site Training Material-13 Nov 2024 (v1.0)</v>
      </c>
      <c r="B1390" s="3" t="inlineStr">
        <is>
          <t>Site Management</t>
        </is>
      </c>
      <c r="C1390" s="3" t="inlineStr">
        <is>
          <t>Site Initiation</t>
        </is>
      </c>
      <c r="D1390" s="3" t="inlineStr">
        <is>
          <t>Site Training Material</t>
        </is>
      </c>
      <c r="E1390" s="3" t="inlineStr">
        <is>
          <t>42847922MDD3003 Protocol Amendment 2 Training_V2.0</t>
        </is>
      </c>
      <c r="F1390" s="2" t="str">
        <f>HYPERLINK("https://vtmf.veevavault.com/ui/#doc_info/27759366/1/0", "VTMF-22258350")</f>
        <v>VTMF-22258350</v>
      </c>
      <c r="G1390" s="3" t="inlineStr">
        <is>
          <t/>
        </is>
      </c>
      <c r="H1390" s="3" t="inlineStr">
        <is>
          <t>Anthony Suarez (veeva.com)</t>
        </is>
      </c>
      <c r="I1390" s="3" t="inlineStr">
        <is>
          <t>Jen Goodridge</t>
        </is>
      </c>
      <c r="J1390" s="4" t="n">
        <v>45623.877233796295</v>
      </c>
      <c r="K1390" s="5" t="n">
        <v>45623.0</v>
      </c>
      <c r="L1390" s="5" t="n">
        <v>45609.0</v>
      </c>
      <c r="M1390" s="3" t="inlineStr">
        <is>
          <t>Approved</t>
        </is>
      </c>
      <c r="N1390" s="3" t="inlineStr">
        <is>
          <t>Available for Distribution, Study Start</t>
        </is>
      </c>
      <c r="O1390" s="3" t="inlineStr">
        <is>
          <t>42847922MDD3003</t>
        </is>
      </c>
    </row>
    <row r="1391">
      <c r="A1391" s="2" t="str">
        <f>HYPERLINK("https://vtmf.veevavault.com/ui/#doc_info/26556503/1/0", "42847922MDD3003---Site Training Material-15 May 2024 (v1.0)")</f>
        <v>42847922MDD3003---Site Training Material-15 May 2024 (v1.0)</v>
      </c>
      <c r="B1391" s="3" t="inlineStr">
        <is>
          <t>Site Management</t>
        </is>
      </c>
      <c r="C1391" s="3" t="inlineStr">
        <is>
          <t>Site Initiation</t>
        </is>
      </c>
      <c r="D1391" s="3" t="inlineStr">
        <is>
          <t>Site Training Material</t>
        </is>
      </c>
      <c r="E1391" s="3" t="inlineStr">
        <is>
          <t>42847922MDD3003 4G IRT System Site Training v1.0_15May2024</t>
        </is>
      </c>
      <c r="F1391" s="2" t="str">
        <f>HYPERLINK("https://vtmf.veevavault.com/ui/#doc_info/26556503/1/0", "VTMF-21267627")</f>
        <v>VTMF-21267627</v>
      </c>
      <c r="G1391" s="3" t="inlineStr">
        <is>
          <t/>
        </is>
      </c>
      <c r="H1391" s="3" t="inlineStr">
        <is>
          <t>System</t>
        </is>
      </c>
      <c r="I1391" s="3" t="inlineStr">
        <is>
          <t>Jen Goodridge</t>
        </is>
      </c>
      <c r="J1391" s="4" t="n">
        <v>45462.89480324074</v>
      </c>
      <c r="K1391" s="5" t="n">
        <v>45462.0</v>
      </c>
      <c r="L1391" s="5" t="n">
        <v>45427.0</v>
      </c>
      <c r="M1391" s="3" t="inlineStr">
        <is>
          <t>Approved</t>
        </is>
      </c>
      <c r="N1391" s="3" t="inlineStr">
        <is>
          <t>Available for Distribution, Study Start</t>
        </is>
      </c>
      <c r="O1391" s="3" t="inlineStr">
        <is>
          <t>42847922MDD3003</t>
        </is>
      </c>
    </row>
    <row r="1392">
      <c r="A1392" s="2" t="str">
        <f>HYPERLINK("https://vtmf.veevavault.com/ui/#doc_info/28119647/2/0", "42847922MDD3003---Site Training Material-20 Aug 2025 (v2.0)")</f>
        <v>42847922MDD3003---Site Training Material-20 Aug 2025 (v2.0)</v>
      </c>
      <c r="B1392" s="3" t="inlineStr">
        <is>
          <t>Site Management</t>
        </is>
      </c>
      <c r="C1392" s="3" t="inlineStr">
        <is>
          <t>Site Initiation</t>
        </is>
      </c>
      <c r="D1392" s="3" t="inlineStr">
        <is>
          <t>Site Training Material</t>
        </is>
      </c>
      <c r="E1392" s="3" t="inlineStr">
        <is>
          <t>JJ C-SSRS Interactive Reference V2 FINAL- 20Aug25</t>
        </is>
      </c>
      <c r="F1392" s="2" t="str">
        <f>HYPERLINK("https://vtmf.veevavault.com/ui/#doc_info/28119647/2/0", "VTMF-22551874")</f>
        <v>VTMF-22551874</v>
      </c>
      <c r="G1392" s="3" t="inlineStr">
        <is>
          <t/>
        </is>
      </c>
      <c r="H1392" s="3" t="inlineStr">
        <is>
          <t>System</t>
        </is>
      </c>
      <c r="I1392" s="3" t="inlineStr">
        <is>
          <t>Kristina Ruzinska</t>
        </is>
      </c>
      <c r="J1392" s="4" t="n">
        <v>45895.51174768519</v>
      </c>
      <c r="K1392" s="5" t="n">
        <v>45895.0</v>
      </c>
      <c r="L1392" s="5" t="n">
        <v>45889.0</v>
      </c>
      <c r="M1392" s="3" t="inlineStr">
        <is>
          <t>Approved</t>
        </is>
      </c>
      <c r="N1392" s="3" t="inlineStr">
        <is>
          <t>Available for Distribution, Study Start</t>
        </is>
      </c>
      <c r="O1392" s="3" t="inlineStr">
        <is>
          <t>42847922MDD3003</t>
        </is>
      </c>
    </row>
    <row r="1393">
      <c r="A1393" s="2" t="str">
        <f>HYPERLINK("https://vtmf.veevavault.com/ui/#doc_info/26551258/1/0", "42847922MDD3003---Site Training Material-20 May 2024 (v1.0)")</f>
        <v>42847922MDD3003---Site Training Material-20 May 2024 (v1.0)</v>
      </c>
      <c r="B1393" s="3" t="inlineStr">
        <is>
          <t>Site Management</t>
        </is>
      </c>
      <c r="C1393" s="3" t="inlineStr">
        <is>
          <t>Site Initiation</t>
        </is>
      </c>
      <c r="D1393" s="3" t="inlineStr">
        <is>
          <t>Site Training Material</t>
        </is>
      </c>
      <c r="E1393" s="3" t="inlineStr">
        <is>
          <t>CRONOS_SIGMA_Core Rater Training_v1.0; 20May2024</t>
        </is>
      </c>
      <c r="F1393" s="2" t="str">
        <f>HYPERLINK("https://vtmf.veevavault.com/ui/#doc_info/26551258/1/0", "VTMF-21263011")</f>
        <v>VTMF-21263011</v>
      </c>
      <c r="G1393" s="3" t="inlineStr">
        <is>
          <t/>
        </is>
      </c>
      <c r="H1393" s="3" t="inlineStr">
        <is>
          <t>System</t>
        </is>
      </c>
      <c r="I1393" s="3" t="inlineStr">
        <is>
          <t>Kristina Ruzinska</t>
        </is>
      </c>
      <c r="J1393" s="4" t="n">
        <v>45462.35041666667</v>
      </c>
      <c r="K1393" s="5" t="n">
        <v>45462.0</v>
      </c>
      <c r="L1393" s="5" t="n">
        <v>45432.0</v>
      </c>
      <c r="M1393" s="3" t="inlineStr">
        <is>
          <t>Approved</t>
        </is>
      </c>
      <c r="N1393" s="3" t="inlineStr">
        <is>
          <t>Available for Distribution, Study Start</t>
        </is>
      </c>
      <c r="O1393" s="3" t="inlineStr">
        <is>
          <t>42847922MDD3003</t>
        </is>
      </c>
    </row>
    <row r="1394">
      <c r="A1394" s="2" t="str">
        <f>HYPERLINK("https://vtmf.veevavault.com/ui/#doc_info/26551270/1/0", "42847922MDD3003---Site Training Material-20 May 2024 (v1.0)")</f>
        <v>42847922MDD3003---Site Training Material-20 May 2024 (v1.0)</v>
      </c>
      <c r="B1394" s="3" t="inlineStr">
        <is>
          <t>Site Management</t>
        </is>
      </c>
      <c r="C1394" s="3" t="inlineStr">
        <is>
          <t>Site Initiation</t>
        </is>
      </c>
      <c r="D1394" s="3" t="inlineStr">
        <is>
          <t>Site Training Material</t>
        </is>
      </c>
      <c r="E1394" s="3" t="inlineStr">
        <is>
          <t>CRONOS_PWC-20 rater training _v1.0; 20May2024</t>
        </is>
      </c>
      <c r="F1394" s="2" t="str">
        <f>HYPERLINK("https://vtmf.veevavault.com/ui/#doc_info/26551270/1/0", "VTMF-21263023")</f>
        <v>VTMF-21263023</v>
      </c>
      <c r="G1394" s="3" t="inlineStr">
        <is>
          <t/>
        </is>
      </c>
      <c r="H1394" s="3" t="inlineStr">
        <is>
          <t>System</t>
        </is>
      </c>
      <c r="I1394" s="3" t="inlineStr">
        <is>
          <t>Kristina Ruzinska</t>
        </is>
      </c>
      <c r="J1394" s="4" t="n">
        <v>45462.35420138889</v>
      </c>
      <c r="K1394" s="5" t="n">
        <v>45462.0</v>
      </c>
      <c r="L1394" s="5" t="n">
        <v>45432.0</v>
      </c>
      <c r="M1394" s="3" t="inlineStr">
        <is>
          <t>Approved</t>
        </is>
      </c>
      <c r="N1394" s="3" t="inlineStr">
        <is>
          <t>Available for Distribution, Study Start</t>
        </is>
      </c>
      <c r="O1394" s="3" t="inlineStr">
        <is>
          <t>42847922MDD3003</t>
        </is>
      </c>
    </row>
    <row r="1395">
      <c r="A1395" s="2" t="str">
        <f>HYPERLINK("https://vtmf.veevavault.com/ui/#doc_info/26551275/1/0", "42847922MDD3003---Site Training Material-20 May 2024 (v1.0)")</f>
        <v>42847922MDD3003---Site Training Material-20 May 2024 (v1.0)</v>
      </c>
      <c r="B1395" s="3" t="inlineStr">
        <is>
          <t>Site Management</t>
        </is>
      </c>
      <c r="C1395" s="3" t="inlineStr">
        <is>
          <t>Site Initiation</t>
        </is>
      </c>
      <c r="D1395" s="3" t="inlineStr">
        <is>
          <t>Site Training Material</t>
        </is>
      </c>
      <c r="E1395" s="3" t="inlineStr">
        <is>
          <t>CRONOS_MMSE_Rater Training v1.0; 20May2024</t>
        </is>
      </c>
      <c r="F1395" s="2" t="str">
        <f>HYPERLINK("https://vtmf.veevavault.com/ui/#doc_info/26551275/1/0", "VTMF-21263030")</f>
        <v>VTMF-21263030</v>
      </c>
      <c r="G1395" s="3" t="inlineStr">
        <is>
          <t/>
        </is>
      </c>
      <c r="H1395" s="3" t="inlineStr">
        <is>
          <t>System</t>
        </is>
      </c>
      <c r="I1395" s="3" t="inlineStr">
        <is>
          <t>Kristina Ruzinska</t>
        </is>
      </c>
      <c r="J1395" s="4" t="n">
        <v>45462.355405092596</v>
      </c>
      <c r="K1395" s="5" t="n">
        <v>45462.0</v>
      </c>
      <c r="L1395" s="5" t="n">
        <v>45432.0</v>
      </c>
      <c r="M1395" s="3" t="inlineStr">
        <is>
          <t>Approved</t>
        </is>
      </c>
      <c r="N1395" s="3" t="inlineStr">
        <is>
          <t>Available for Distribution, Study Start</t>
        </is>
      </c>
      <c r="O1395" s="3" t="inlineStr">
        <is>
          <t>42847922MDD3003</t>
        </is>
      </c>
    </row>
    <row r="1396">
      <c r="A1396" s="2" t="str">
        <f>HYPERLINK("https://vtmf.veevavault.com/ui/#doc_info/26551294/1/0", "42847922MDD3003---Site Training Material-20 May 2024 (v1.0)")</f>
        <v>42847922MDD3003---Site Training Material-20 May 2024 (v1.0)</v>
      </c>
      <c r="B1396" s="3" t="inlineStr">
        <is>
          <t>Site Management</t>
        </is>
      </c>
      <c r="C1396" s="3" t="inlineStr">
        <is>
          <t>Site Initiation</t>
        </is>
      </c>
      <c r="D1396" s="3" t="inlineStr">
        <is>
          <t>Site Training Material</t>
        </is>
      </c>
      <c r="E1396" s="3" t="inlineStr">
        <is>
          <t>CRONOS_SCID-5-CT_Core  Rater Training_v1.0; 20May2024</t>
        </is>
      </c>
      <c r="F1396" s="2" t="str">
        <f>HYPERLINK("https://vtmf.veevavault.com/ui/#doc_info/26551294/1/0", "VTMF-21263056")</f>
        <v>VTMF-21263056</v>
      </c>
      <c r="G1396" s="3" t="inlineStr">
        <is>
          <t/>
        </is>
      </c>
      <c r="H1396" s="3" t="inlineStr">
        <is>
          <t>System</t>
        </is>
      </c>
      <c r="I1396" s="3" t="inlineStr">
        <is>
          <t>Kristina Ruzinska</t>
        </is>
      </c>
      <c r="J1396" s="4" t="n">
        <v>45462.359918981485</v>
      </c>
      <c r="K1396" s="5" t="n">
        <v>45462.0</v>
      </c>
      <c r="L1396" s="5" t="n">
        <v>45432.0</v>
      </c>
      <c r="M1396" s="3" t="inlineStr">
        <is>
          <t>Approved</t>
        </is>
      </c>
      <c r="N1396" s="3" t="inlineStr">
        <is>
          <t>Available for Distribution, Study Start</t>
        </is>
      </c>
      <c r="O1396" s="3" t="inlineStr">
        <is>
          <t>42847922MDD3003</t>
        </is>
      </c>
    </row>
    <row r="1397">
      <c r="A1397" s="2" t="str">
        <f>HYPERLINK("https://vtmf.veevavault.com/ui/#doc_info/26551408/1/0", "42847922MDD3003---Site Training Material-20 May 2024 (v1.0)")</f>
        <v>42847922MDD3003---Site Training Material-20 May 2024 (v1.0)</v>
      </c>
      <c r="B1397" s="3" t="inlineStr">
        <is>
          <t>Site Management</t>
        </is>
      </c>
      <c r="C1397" s="3" t="inlineStr">
        <is>
          <t>Site Initiation</t>
        </is>
      </c>
      <c r="D1397" s="3" t="inlineStr">
        <is>
          <t>Site Training Material</t>
        </is>
      </c>
      <c r="E1397" s="3" t="inlineStr">
        <is>
          <t>CRONOS_CGI-S_Core Rater Training_v1.0; 20May2024</t>
        </is>
      </c>
      <c r="F1397" s="2" t="str">
        <f>HYPERLINK("https://vtmf.veevavault.com/ui/#doc_info/26551408/1/0", "VTMF-21263079")</f>
        <v>VTMF-21263079</v>
      </c>
      <c r="G1397" s="3" t="inlineStr">
        <is>
          <t/>
        </is>
      </c>
      <c r="H1397" s="3" t="inlineStr">
        <is>
          <t>System</t>
        </is>
      </c>
      <c r="I1397" s="3" t="inlineStr">
        <is>
          <t>Kristina Ruzinska</t>
        </is>
      </c>
      <c r="J1397" s="4" t="n">
        <v>45462.362349537034</v>
      </c>
      <c r="K1397" s="5" t="n">
        <v>45462.0</v>
      </c>
      <c r="L1397" s="5" t="n">
        <v>45432.0</v>
      </c>
      <c r="M1397" s="3" t="inlineStr">
        <is>
          <t>Approved</t>
        </is>
      </c>
      <c r="N1397" s="3" t="inlineStr">
        <is>
          <t>Available for Distribution, Study Start</t>
        </is>
      </c>
      <c r="O1397" s="3" t="inlineStr">
        <is>
          <t>42847922MDD3003</t>
        </is>
      </c>
    </row>
    <row r="1398">
      <c r="A1398" s="2" t="str">
        <f>HYPERLINK("https://vtmf.veevavault.com/ui/#doc_info/29644216/1/0", "42847922MDD3003---Site Training Material-21 Jul 2025 (v1.0)")</f>
        <v>42847922MDD3003---Site Training Material-21 Jul 2025 (v1.0)</v>
      </c>
      <c r="B1398" s="3" t="inlineStr">
        <is>
          <t>Site Management</t>
        </is>
      </c>
      <c r="C1398" s="3" t="inlineStr">
        <is>
          <t>Site Initiation</t>
        </is>
      </c>
      <c r="D1398" s="3" t="inlineStr">
        <is>
          <t>Site Training Material</t>
        </is>
      </c>
      <c r="E1398" s="3" t="inlineStr">
        <is>
          <t>Beacon Dreem Site Script</t>
        </is>
      </c>
      <c r="F1398" s="2" t="str">
        <f>HYPERLINK("https://vtmf.veevavault.com/ui/#doc_info/29644216/1/0", "VTMF-23848917")</f>
        <v>VTMF-23848917</v>
      </c>
      <c r="G1398" s="3" t="inlineStr">
        <is>
          <t/>
        </is>
      </c>
      <c r="H1398" s="3" t="inlineStr">
        <is>
          <t>System</t>
        </is>
      </c>
      <c r="I1398" s="3" t="inlineStr">
        <is>
          <t>Charles Hayes</t>
        </is>
      </c>
      <c r="J1398" s="4" t="n">
        <v>45866.857777777775</v>
      </c>
      <c r="K1398" s="5" t="n">
        <v>45866.0</v>
      </c>
      <c r="L1398" s="5" t="n">
        <v>45859.0</v>
      </c>
      <c r="M1398" s="3" t="inlineStr">
        <is>
          <t>Approved</t>
        </is>
      </c>
      <c r="N1398" s="3" t="inlineStr">
        <is>
          <t>Available for Distribution, Study Start</t>
        </is>
      </c>
      <c r="O1398" s="3" t="inlineStr">
        <is>
          <t>42847922MDD3003</t>
        </is>
      </c>
    </row>
    <row r="1399">
      <c r="A1399" s="2" t="str">
        <f>HYPERLINK("https://vtmf.veevavault.com/ui/#doc_info/29561159/1/0", "42847922MDD3003---Site Training Material-21 Jun 2024 (v1.0)")</f>
        <v>42847922MDD3003---Site Training Material-21 Jun 2024 (v1.0)</v>
      </c>
      <c r="B1399" s="3" t="inlineStr">
        <is>
          <t>Site Management</t>
        </is>
      </c>
      <c r="C1399" s="3" t="inlineStr">
        <is>
          <t>Site Initiation</t>
        </is>
      </c>
      <c r="D1399" s="3" t="inlineStr">
        <is>
          <t>Site Training Material</t>
        </is>
      </c>
      <c r="E1399" s="3" t="inlineStr">
        <is>
          <t>Clario eCOA eLearning Approval</t>
        </is>
      </c>
      <c r="F1399" s="2" t="str">
        <f>HYPERLINK("https://vtmf.veevavault.com/ui/#doc_info/29561159/1/0", "VTMF-23776819")</f>
        <v>VTMF-23776819</v>
      </c>
      <c r="G1399" s="3" t="inlineStr">
        <is>
          <t/>
        </is>
      </c>
      <c r="H1399" s="3" t="inlineStr">
        <is>
          <t>Anthony Suarez (veeva.com)</t>
        </is>
      </c>
      <c r="I1399" s="3" t="inlineStr">
        <is>
          <t>Stephanie Bachman</t>
        </is>
      </c>
      <c r="J1399" s="4" t="n">
        <v>45853.75548611111</v>
      </c>
      <c r="K1399" s="5" t="n">
        <v>45853.0</v>
      </c>
      <c r="L1399" s="5" t="n">
        <v>45464.0</v>
      </c>
      <c r="M1399" s="3" t="inlineStr">
        <is>
          <t>Approved</t>
        </is>
      </c>
      <c r="N1399" s="3" t="inlineStr">
        <is>
          <t>Available for Distribution, Study Start</t>
        </is>
      </c>
      <c r="O1399" s="3" t="inlineStr">
        <is>
          <t>42847922MDD3003</t>
        </is>
      </c>
    </row>
    <row r="1400">
      <c r="A1400" s="2" t="str">
        <f>HYPERLINK("https://vtmf.veevavault.com/ui/#doc_info/28362181/1/0", "42847922MDD3003---Site Training Material-24 Feb 2025 (v1.0)")</f>
        <v>42847922MDD3003---Site Training Material-24 Feb 2025 (v1.0)</v>
      </c>
      <c r="B1400" s="3" t="inlineStr">
        <is>
          <t>Site Management</t>
        </is>
      </c>
      <c r="C1400" s="3" t="inlineStr">
        <is>
          <t>Site Initiation</t>
        </is>
      </c>
      <c r="D1400" s="3" t="inlineStr">
        <is>
          <t>Site Training Material</t>
        </is>
      </c>
      <c r="E1400" s="3" t="inlineStr">
        <is>
          <t>Beacon DREEM Site Onboarding User Testing_V1.0</t>
        </is>
      </c>
      <c r="F1400" s="2" t="str">
        <f>HYPERLINK("https://vtmf.veevavault.com/ui/#doc_info/28362181/1/0", "VTMF-22756226")</f>
        <v>VTMF-22756226</v>
      </c>
      <c r="G1400" s="3" t="inlineStr">
        <is>
          <t/>
        </is>
      </c>
      <c r="H1400" s="3" t="inlineStr">
        <is>
          <t>Anthony Suarez (veeva.com)</t>
        </is>
      </c>
      <c r="I1400" s="3" t="inlineStr">
        <is>
          <t>Charles Hayes</t>
        </is>
      </c>
      <c r="J1400" s="4" t="n">
        <v>45712.998611111114</v>
      </c>
      <c r="K1400" s="5" t="n">
        <v>45712.0</v>
      </c>
      <c r="L1400" s="5" t="n">
        <v>45712.0</v>
      </c>
      <c r="M1400" s="3" t="inlineStr">
        <is>
          <t>Approved</t>
        </is>
      </c>
      <c r="N1400" s="3" t="inlineStr">
        <is>
          <t>Available for Distribution, Study Start</t>
        </is>
      </c>
      <c r="O1400" s="3" t="inlineStr">
        <is>
          <t>42847922MDD3003</t>
        </is>
      </c>
    </row>
    <row r="1401">
      <c r="A1401" s="2" t="str">
        <f>HYPERLINK("https://vtmf.veevavault.com/ui/#doc_info/27370011/1/0", "42847922MDD3003---Site Training Material-24 Oct 2024 (v1.0)")</f>
        <v>42847922MDD3003---Site Training Material-24 Oct 2024 (v1.0)</v>
      </c>
      <c r="B1401" s="3" t="inlineStr">
        <is>
          <t>Site Management</t>
        </is>
      </c>
      <c r="C1401" s="3" t="inlineStr">
        <is>
          <t>Site Initiation</t>
        </is>
      </c>
      <c r="D1401" s="3" t="inlineStr">
        <is>
          <t>Site Training Material</t>
        </is>
      </c>
      <c r="E1401" s="3" t="inlineStr">
        <is>
          <t>42847922MDD3003 Protocol Amendment 2 Training_V1.0_24Oct2024</t>
        </is>
      </c>
      <c r="F1401" s="2" t="str">
        <f>HYPERLINK("https://vtmf.veevavault.com/ui/#doc_info/27370011/1/0", "VTMF-21955537")</f>
        <v>VTMF-21955537</v>
      </c>
      <c r="G1401" s="3" t="inlineStr">
        <is>
          <t/>
        </is>
      </c>
      <c r="H1401" s="3" t="inlineStr">
        <is>
          <t>Anthony Suarez (veeva.com)</t>
        </is>
      </c>
      <c r="I1401" s="3" t="inlineStr">
        <is>
          <t>Jen Goodridge</t>
        </is>
      </c>
      <c r="J1401" s="4" t="n">
        <v>45595.87385416667</v>
      </c>
      <c r="K1401" s="5" t="n">
        <v>45595.0</v>
      </c>
      <c r="L1401" s="5" t="n">
        <v>45589.0</v>
      </c>
      <c r="M1401" s="3" t="inlineStr">
        <is>
          <t>Approved</t>
        </is>
      </c>
      <c r="N1401" s="3" t="inlineStr">
        <is>
          <t>Available for Distribution, Study Start</t>
        </is>
      </c>
      <c r="O1401" s="3" t="inlineStr">
        <is>
          <t>42847922MDD3003</t>
        </is>
      </c>
    </row>
    <row r="1402">
      <c r="A1402" s="2" t="str">
        <f>HYPERLINK("https://vtmf.veevavault.com/ui/#doc_info/26985143/1/0", "42847922MDD3003---Site Training Material-30 Aug 2024 (v1.0)")</f>
        <v>42847922MDD3003---Site Training Material-30 Aug 2024 (v1.0)</v>
      </c>
      <c r="B1402" s="3" t="inlineStr">
        <is>
          <t>Site Management</t>
        </is>
      </c>
      <c r="C1402" s="3" t="inlineStr">
        <is>
          <t>Site Initiation</t>
        </is>
      </c>
      <c r="D1402" s="3" t="inlineStr">
        <is>
          <t>Site Training Material</t>
        </is>
      </c>
      <c r="E1402" s="3" t="inlineStr">
        <is>
          <t>42847922MDD3003 Massachusetts General Hospital Clinical Trial Network and Institute (CTNI) Training_v1.0</t>
        </is>
      </c>
      <c r="F1402" s="2" t="str">
        <f>HYPERLINK("https://vtmf.veevavault.com/ui/#doc_info/26985143/1/0", "VTMF-21633957")</f>
        <v>VTMF-21633957</v>
      </c>
      <c r="G1402" s="3" t="inlineStr">
        <is>
          <t/>
        </is>
      </c>
      <c r="H1402" s="3" t="inlineStr">
        <is>
          <t>Anthony Suarez (veeva.com)</t>
        </is>
      </c>
      <c r="I1402" s="3" t="inlineStr">
        <is>
          <t>Garrett Ransdell</t>
        </is>
      </c>
      <c r="J1402" s="4" t="n">
        <v>45534.73096064815</v>
      </c>
      <c r="K1402" s="5" t="n">
        <v>45534.0</v>
      </c>
      <c r="L1402" s="5" t="n">
        <v>45534.0</v>
      </c>
      <c r="M1402" s="3" t="inlineStr">
        <is>
          <t>Approved</t>
        </is>
      </c>
      <c r="N1402" s="3" t="inlineStr">
        <is>
          <t>Available for Distribution, Study Start</t>
        </is>
      </c>
      <c r="O1402" s="3" t="inlineStr">
        <is>
          <t>42847922MDD3003</t>
        </is>
      </c>
    </row>
    <row r="1403">
      <c r="A1403" s="2" t="str">
        <f>HYPERLINK("https://vtmf.veevavault.com/ui/#doc_info/26556509/1/0", "42847922MDD3003---Site Training Material-30 May 2024 (v1.0)")</f>
        <v>42847922MDD3003---Site Training Material-30 May 2024 (v1.0)</v>
      </c>
      <c r="B1403" s="3" t="inlineStr">
        <is>
          <t>Site Management</t>
        </is>
      </c>
      <c r="C1403" s="3" t="inlineStr">
        <is>
          <t>Site Initiation</t>
        </is>
      </c>
      <c r="D1403" s="3" t="inlineStr">
        <is>
          <t>Site Training Material</t>
        </is>
      </c>
      <c r="E1403" s="3" t="inlineStr">
        <is>
          <t>Seltorexant Compound Overview Training v1.0_30May2024</t>
        </is>
      </c>
      <c r="F1403" s="2" t="str">
        <f>HYPERLINK("https://vtmf.veevavault.com/ui/#doc_info/26556509/1/0", "VTMF-21267633")</f>
        <v>VTMF-21267633</v>
      </c>
      <c r="G1403" s="3" t="inlineStr">
        <is>
          <t/>
        </is>
      </c>
      <c r="H1403" s="3" t="inlineStr">
        <is>
          <t>System</t>
        </is>
      </c>
      <c r="I1403" s="3" t="inlineStr">
        <is>
          <t>Jen Goodridge</t>
        </is>
      </c>
      <c r="J1403" s="4" t="n">
        <v>45462.89480324074</v>
      </c>
      <c r="K1403" s="5" t="n">
        <v>45462.0</v>
      </c>
      <c r="L1403" s="5" t="n">
        <v>45442.0</v>
      </c>
      <c r="M1403" s="3" t="inlineStr">
        <is>
          <t>Approved</t>
        </is>
      </c>
      <c r="N1403" s="3" t="inlineStr">
        <is>
          <t>Available for Distribution, Study Start</t>
        </is>
      </c>
      <c r="O1403" s="3" t="inlineStr">
        <is>
          <t>42847922MDD3003</t>
        </is>
      </c>
    </row>
    <row r="1404">
      <c r="A1404" s="2" t="str">
        <f>HYPERLINK("https://vtmf.veevavault.com/ui/#doc_info/29271794/1/0", "42847922MDD3003---Site Training Material-30 May 2025 (v1.0)")</f>
        <v>42847922MDD3003---Site Training Material-30 May 2025 (v1.0)</v>
      </c>
      <c r="B1404" s="3" t="inlineStr">
        <is>
          <t>Site Management</t>
        </is>
      </c>
      <c r="C1404" s="3" t="inlineStr">
        <is>
          <t>Site Initiation</t>
        </is>
      </c>
      <c r="D1404" s="3" t="inlineStr">
        <is>
          <t>Site Training Material</t>
        </is>
      </c>
      <c r="E1404" s="3" t="inlineStr">
        <is>
          <t>Link2Trials Site Live Training 30May25</t>
        </is>
      </c>
      <c r="F1404" s="2" t="str">
        <f>HYPERLINK("https://vtmf.veevavault.com/ui/#doc_info/29271794/1/0", "VTMF-23525278")</f>
        <v>VTMF-23525278</v>
      </c>
      <c r="G1404" s="3" t="inlineStr">
        <is>
          <t/>
        </is>
      </c>
      <c r="H1404" s="3" t="inlineStr">
        <is>
          <t>System</t>
        </is>
      </c>
      <c r="I1404" s="3" t="inlineStr">
        <is>
          <t>Gina Stefanelli</t>
        </is>
      </c>
      <c r="J1404" s="4" t="n">
        <v>45812.931875</v>
      </c>
      <c r="K1404" s="5" t="n">
        <v>45812.0</v>
      </c>
      <c r="L1404" s="5" t="n">
        <v>45807.0</v>
      </c>
      <c r="M1404" s="3" t="inlineStr">
        <is>
          <t>Approved</t>
        </is>
      </c>
      <c r="N1404" s="3" t="inlineStr">
        <is>
          <t>Available for Distribution, Study Start</t>
        </is>
      </c>
      <c r="O1404" s="3" t="inlineStr">
        <is>
          <t>42847922MDD3003</t>
        </is>
      </c>
    </row>
    <row r="1405">
      <c r="A1405" s="2" t="str">
        <f>HYPERLINK("https://vtmf.veevavault.com/ui/#doc_info/27370010/1/0", "42847922MDD3003---Site Training Material-30 Oct 2024 (v1.0)")</f>
        <v>42847922MDD3003---Site Training Material-30 Oct 2024 (v1.0)</v>
      </c>
      <c r="B1405" s="3" t="inlineStr">
        <is>
          <t>Site Management</t>
        </is>
      </c>
      <c r="C1405" s="3" t="inlineStr">
        <is>
          <t>Site Initiation</t>
        </is>
      </c>
      <c r="D1405" s="3" t="inlineStr">
        <is>
          <t>Site Training Material</t>
        </is>
      </c>
      <c r="E1405" s="3" t="inlineStr">
        <is>
          <t>42847922MDD3003 Data Management Training_V1.0_30Oct2024</t>
        </is>
      </c>
      <c r="F1405" s="2" t="str">
        <f>HYPERLINK("https://vtmf.veevavault.com/ui/#doc_info/27370010/1/0", "VTMF-21955536")</f>
        <v>VTMF-21955536</v>
      </c>
      <c r="G1405" s="3" t="inlineStr">
        <is>
          <t/>
        </is>
      </c>
      <c r="H1405" s="3" t="inlineStr">
        <is>
          <t>Anthony Suarez (veeva.com)</t>
        </is>
      </c>
      <c r="I1405" s="3" t="inlineStr">
        <is>
          <t>Jen Goodridge</t>
        </is>
      </c>
      <c r="J1405" s="4" t="n">
        <v>45595.87385416667</v>
      </c>
      <c r="K1405" s="5" t="n">
        <v>45595.0</v>
      </c>
      <c r="L1405" s="5" t="n">
        <v>45595.0</v>
      </c>
      <c r="M1405" s="3" t="inlineStr">
        <is>
          <t>Approved</t>
        </is>
      </c>
      <c r="N1405" s="3" t="inlineStr">
        <is>
          <t>Available for Distribution, Study Start</t>
        </is>
      </c>
      <c r="O1405" s="3" t="inlineStr">
        <is>
          <t>42847922MDD3003</t>
        </is>
      </c>
    </row>
    <row r="1406">
      <c r="A1406" s="2" t="str">
        <f>HYPERLINK("https://vtmf.veevavault.com/ui/#doc_info/24965820/1/0", "42847922MDD3003---Sponsorship Application Form-05 Oct 2023 (v1.0)")</f>
        <v>42847922MDD3003---Sponsorship Application Form-05 Oct 2023 (v1.0)</v>
      </c>
      <c r="B1406" s="3" t="inlineStr">
        <is>
          <t>Regulatory</t>
        </is>
      </c>
      <c r="C1406" s="3" t="inlineStr">
        <is>
          <t>Trial Approval</t>
        </is>
      </c>
      <c r="D1406" s="3" t="inlineStr">
        <is>
          <t>Sponsorship Application Form</t>
        </is>
      </c>
      <c r="E1406" s="3" t="inlineStr">
        <is>
          <t>42847922MDD3003_Protocol Sponsorship Form</t>
        </is>
      </c>
      <c r="F1406" s="2" t="str">
        <f>HYPERLINK("https://vtmf.veevavault.com/ui/#doc_info/24965820/1/0", "VTMF-19873617")</f>
        <v>VTMF-19873617</v>
      </c>
      <c r="G1406" s="3" t="inlineStr">
        <is>
          <t/>
        </is>
      </c>
      <c r="H1406" s="3" t="inlineStr">
        <is>
          <t>System</t>
        </is>
      </c>
      <c r="I1406" s="3" t="inlineStr">
        <is>
          <t>Arturo Munguia</t>
        </is>
      </c>
      <c r="J1406" s="4" t="n">
        <v>45211.995</v>
      </c>
      <c r="K1406" s="5" t="n">
        <v>45212.0</v>
      </c>
      <c r="L1406" s="5" t="n">
        <v>45204.0</v>
      </c>
      <c r="M1406" s="3" t="inlineStr">
        <is>
          <t>Approved</t>
        </is>
      </c>
      <c r="N1406" s="3" t="inlineStr">
        <is>
          <t>Country Start</t>
        </is>
      </c>
      <c r="O1406" s="3" t="inlineStr">
        <is>
          <t>42847922MDD3003</t>
        </is>
      </c>
    </row>
    <row r="1407">
      <c r="A1407" s="2" t="str">
        <f>HYPERLINK("https://vtmf.veevavault.com/ui/#doc_info/25770603/1/0", "42847922MDD3003---Sponsorship Application Form-16 Feb 2024 (v1.0)")</f>
        <v>42847922MDD3003---Sponsorship Application Form-16 Feb 2024 (v1.0)</v>
      </c>
      <c r="B1407" s="3" t="inlineStr">
        <is>
          <t>Regulatory</t>
        </is>
      </c>
      <c r="C1407" s="3" t="inlineStr">
        <is>
          <t>Trial Approval</t>
        </is>
      </c>
      <c r="D1407" s="3" t="inlineStr">
        <is>
          <t>Sponsorship Application Form</t>
        </is>
      </c>
      <c r="E1407" s="3" t="inlineStr">
        <is>
          <t>42847922MDD3003_Regulatory Protocol Sponsorship Form v2_16Feb2024</t>
        </is>
      </c>
      <c r="F1407" s="2" t="str">
        <f>HYPERLINK("https://vtmf.veevavault.com/ui/#doc_info/25770603/1/0", "VTMF-20576704")</f>
        <v>VTMF-20576704</v>
      </c>
      <c r="G1407" s="3" t="inlineStr">
        <is>
          <t/>
        </is>
      </c>
      <c r="H1407" s="3" t="inlineStr">
        <is>
          <t>System</t>
        </is>
      </c>
      <c r="I1407" s="3" t="inlineStr">
        <is>
          <t>CYNTHIA VESCI</t>
        </is>
      </c>
      <c r="J1407" s="4" t="n">
        <v>45344.67444444444</v>
      </c>
      <c r="K1407" s="5" t="n">
        <v>45344.0</v>
      </c>
      <c r="L1407" s="5" t="n">
        <v>45338.0</v>
      </c>
      <c r="M1407" s="3" t="inlineStr">
        <is>
          <t>Approved</t>
        </is>
      </c>
      <c r="N1407" s="3" t="inlineStr">
        <is>
          <t>Country Start</t>
        </is>
      </c>
      <c r="O1407" s="3" t="inlineStr">
        <is>
          <t>42847922MDD3003</t>
        </is>
      </c>
    </row>
    <row r="1408">
      <c r="A1408" s="2" t="str">
        <f>HYPERLINK("https://vtmf.veevavault.com/ui/#doc_info/25771776/1/0", "42847922MDD3003---Sponsorship Application Form-22 Feb 2024 (v1.0)")</f>
        <v>42847922MDD3003---Sponsorship Application Form-22 Feb 2024 (v1.0)</v>
      </c>
      <c r="B1408" s="3" t="inlineStr">
        <is>
          <t>Regulatory</t>
        </is>
      </c>
      <c r="C1408" s="3" t="inlineStr">
        <is>
          <t>Trial Approval</t>
        </is>
      </c>
      <c r="D1408" s="3" t="inlineStr">
        <is>
          <t>Sponsorship Application Form</t>
        </is>
      </c>
      <c r="E1408" s="3" t="inlineStr">
        <is>
          <t>42847922MDD3003_Protocol Sponsorship Form_22Feb2024</t>
        </is>
      </c>
      <c r="F1408" s="2" t="str">
        <f>HYPERLINK("https://vtmf.veevavault.com/ui/#doc_info/25771776/1/0", "VTMF-20577671")</f>
        <v>VTMF-20577671</v>
      </c>
      <c r="G1408" s="3" t="inlineStr">
        <is>
          <t/>
        </is>
      </c>
      <c r="H1408" s="3" t="inlineStr">
        <is>
          <t>System</t>
        </is>
      </c>
      <c r="I1408" s="3" t="inlineStr">
        <is>
          <t>CYNTHIA VESCI</t>
        </is>
      </c>
      <c r="J1408" s="4" t="n">
        <v>45344.779328703706</v>
      </c>
      <c r="K1408" s="5" t="n">
        <v>45344.0</v>
      </c>
      <c r="L1408" s="5" t="n">
        <v>45344.0</v>
      </c>
      <c r="M1408" s="3" t="inlineStr">
        <is>
          <t>Approved</t>
        </is>
      </c>
      <c r="N1408" s="3" t="inlineStr">
        <is>
          <t>Country Start</t>
        </is>
      </c>
      <c r="O1408" s="3" t="inlineStr">
        <is>
          <t>42847922MDD3003</t>
        </is>
      </c>
    </row>
    <row r="1409">
      <c r="A1409" s="2" t="str">
        <f>HYPERLINK("https://vtmf.veevavault.com/ui/#doc_info/28585721/1/0", "42847922MDD3003---Sponsorship Application Form-28 Feb 2025 (v1.0)")</f>
        <v>42847922MDD3003---Sponsorship Application Form-28 Feb 2025 (v1.0)</v>
      </c>
      <c r="B1409" s="3" t="inlineStr">
        <is>
          <t>Regulatory</t>
        </is>
      </c>
      <c r="C1409" s="3" t="inlineStr">
        <is>
          <t>Trial Approval</t>
        </is>
      </c>
      <c r="D1409" s="3" t="inlineStr">
        <is>
          <t>Sponsorship Application Form</t>
        </is>
      </c>
      <c r="E1409" s="3" t="inlineStr">
        <is>
          <t>42847922MDD3003_GCO Task List_TV-eFRM-20467_v1.0 Final_28Feb2025</t>
        </is>
      </c>
      <c r="F1409" s="2" t="str">
        <f>HYPERLINK("https://vtmf.veevavault.com/ui/#doc_info/28585721/1/0", "VTMF-22957287")</f>
        <v>VTMF-22957287</v>
      </c>
      <c r="G1409" s="3" t="inlineStr">
        <is>
          <t/>
        </is>
      </c>
      <c r="H1409" s="3" t="inlineStr">
        <is>
          <t>IWONA ANNA KAMINSKA</t>
        </is>
      </c>
      <c r="I1409" s="3" t="inlineStr">
        <is>
          <t>Gina Stefanelli</t>
        </is>
      </c>
      <c r="J1409" s="4" t="n">
        <v>45719.750289351854</v>
      </c>
      <c r="K1409" s="5" t="n">
        <v>45719.0</v>
      </c>
      <c r="L1409" s="5" t="n">
        <v>45716.0</v>
      </c>
      <c r="M1409" s="3" t="inlineStr">
        <is>
          <t>Approved</t>
        </is>
      </c>
      <c r="N1409" s="3" t="inlineStr">
        <is>
          <t>Country Start</t>
        </is>
      </c>
      <c r="O1409" s="3" t="inlineStr">
        <is>
          <t>42847922MDD3003</t>
        </is>
      </c>
    </row>
    <row r="1410">
      <c r="A1410" s="2" t="str">
        <f>HYPERLINK("https://vtmf.veevavault.com/ui/#doc_info/31872808/1/0", "42847922MDD3003---Statistical Analysis Plan-12 Jun 2026 (v1.0)")</f>
        <v>42847922MDD3003---Statistical Analysis Plan-12 Jun 2026 (v1.0)</v>
      </c>
      <c r="B1410" s="3" t="inlineStr">
        <is>
          <t>Statistics</t>
        </is>
      </c>
      <c r="C1410" s="3" t="inlineStr">
        <is>
          <t>Statistics Oversight</t>
        </is>
      </c>
      <c r="D1410" s="3" t="inlineStr">
        <is>
          <t>Statistical Analysis Plan</t>
        </is>
      </c>
      <c r="E1410" s="3" t="inlineStr">
        <is>
          <t>SAP for DREEM analysis</t>
        </is>
      </c>
      <c r="F1410" s="2" t="str">
        <f>HYPERLINK("https://vtmf.veevavault.com/ui/#doc_info/31872808/1/0", "VTMF-25730869")</f>
        <v>VTMF-25730869</v>
      </c>
      <c r="G1410" s="3" t="inlineStr">
        <is>
          <t/>
        </is>
      </c>
      <c r="H1410" s="3" t="inlineStr">
        <is>
          <t>System</t>
        </is>
      </c>
      <c r="I1410" s="3" t="inlineStr">
        <is>
          <t>RYAN KELLY</t>
        </is>
      </c>
      <c r="J1410" s="4" t="n">
        <v>46185.79356481481</v>
      </c>
      <c r="K1410" s="5" t="n">
        <v>46185.0</v>
      </c>
      <c r="L1410" s="5" t="n">
        <v>46185.0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42847922MDD3003</t>
        </is>
      </c>
    </row>
    <row r="1411">
      <c r="A1411" s="2" t="str">
        <f>HYPERLINK("https://vtmf.veevavault.com/ui/#doc_info/28917409/1/0", "42847922MDD3003---Statistical Analysis Plan-17 Apr 2025 (v1.0)")</f>
        <v>42847922MDD3003---Statistical Analysis Plan-17 Apr 2025 (v1.0)</v>
      </c>
      <c r="B1411" s="3" t="inlineStr">
        <is>
          <t>Statistics</t>
        </is>
      </c>
      <c r="C1411" s="3" t="inlineStr">
        <is>
          <t>Statistics Oversight</t>
        </is>
      </c>
      <c r="D1411" s="3" t="inlineStr">
        <is>
          <t>Statistical Analysis Plan</t>
        </is>
      </c>
      <c r="E1411" s="3" t="inlineStr">
        <is>
          <t>Statistical Analysis Plan for PSG data</t>
        </is>
      </c>
      <c r="F1411" s="2" t="str">
        <f>HYPERLINK("https://vtmf.veevavault.com/ui/#doc_info/28917409/1/0", "VTMF-23236398")</f>
        <v>VTMF-23236398</v>
      </c>
      <c r="G1411" s="3" t="inlineStr">
        <is>
          <t/>
        </is>
      </c>
      <c r="H1411" s="3" t="inlineStr">
        <is>
          <t>RYAN KELLY</t>
        </is>
      </c>
      <c r="I1411" s="3" t="inlineStr">
        <is>
          <t>RYAN KELLY</t>
        </is>
      </c>
      <c r="J1411" s="4" t="n">
        <v>45778.80295138889</v>
      </c>
      <c r="K1411" s="5" t="n">
        <v>46001.0</v>
      </c>
      <c r="L1411" s="5" t="n">
        <v>45764.0</v>
      </c>
      <c r="M1411" s="3" t="inlineStr">
        <is>
          <t>Approved</t>
        </is>
      </c>
      <c r="N1411" s="3" t="inlineStr">
        <is>
          <t>Study Start</t>
        </is>
      </c>
      <c r="O1411" s="3" t="inlineStr">
        <is>
          <t>42847922MDD3003</t>
        </is>
      </c>
    </row>
    <row r="1412">
      <c r="A1412" s="2" t="str">
        <f>HYPERLINK("https://vtmf.veevavault.com/ui/#doc_info/30820653/1/0", "42847922MDD3003---Statistical Analysis Plan-17 Apr 2025 (v1.0)")</f>
        <v>42847922MDD3003---Statistical Analysis Plan-17 Apr 2025 (v1.0)</v>
      </c>
      <c r="B1412" s="3" t="inlineStr">
        <is>
          <t>Statistics</t>
        </is>
      </c>
      <c r="C1412" s="3" t="inlineStr">
        <is>
          <t>Statistics Oversight</t>
        </is>
      </c>
      <c r="D1412" s="3" t="inlineStr">
        <is>
          <t>Statistical Analysis Plan</t>
        </is>
      </c>
      <c r="E1412" s="3" t="inlineStr">
        <is>
          <t>Statistical Analysis Plan for PSG data</t>
        </is>
      </c>
      <c r="F1412" s="2" t="str">
        <f>HYPERLINK("https://vtmf.veevavault.com/ui/#doc_info/30820653/1/0", "VTMF-24837061")</f>
        <v>VTMF-24837061</v>
      </c>
      <c r="G1412" s="3" t="inlineStr">
        <is>
          <t/>
        </is>
      </c>
      <c r="H1412" s="3" t="inlineStr">
        <is>
          <t>System</t>
        </is>
      </c>
      <c r="I1412" s="3" t="inlineStr">
        <is>
          <t>LU XIA</t>
        </is>
      </c>
      <c r="J1412" s="4" t="n">
        <v>46043.69880787037</v>
      </c>
      <c r="K1412" s="5" t="n">
        <v>46091.0</v>
      </c>
      <c r="L1412" s="5" t="n">
        <v>45764.0</v>
      </c>
      <c r="M1412" s="3" t="inlineStr">
        <is>
          <t>Approved</t>
        </is>
      </c>
      <c r="N1412" s="3" t="inlineStr">
        <is>
          <t>Study Start</t>
        </is>
      </c>
      <c r="O1412" s="3" t="inlineStr">
        <is>
          <t>42847922MDD3003</t>
        </is>
      </c>
    </row>
    <row r="1413">
      <c r="A1413" s="2" t="str">
        <f>HYPERLINK("https://vtmf.veevavault.com/ui/#doc_info/27347765/3/0", "42847922MDD3003---Statistical Analysis Plan-18 May 2026 (v3.0)")</f>
        <v>42847922MDD3003---Statistical Analysis Plan-18 May 2026 (v3.0)</v>
      </c>
      <c r="B1413" s="3" t="inlineStr">
        <is>
          <t>Statistics</t>
        </is>
      </c>
      <c r="C1413" s="3" t="inlineStr">
        <is>
          <t>Statistics Oversight</t>
        </is>
      </c>
      <c r="D1413" s="3" t="inlineStr">
        <is>
          <t>Statistical Analysis Plan</t>
        </is>
      </c>
      <c r="E1413" s="3" t="inlineStr">
        <is>
          <t>SAP-Body-42847922MDD3003-1363888</t>
        </is>
      </c>
      <c r="F1413" s="2" t="str">
        <f>HYPERLINK("https://vtmf.veevavault.com/ui/#doc_info/27347765/3/0", "VTMF-21937823")</f>
        <v>VTMF-21937823</v>
      </c>
      <c r="G1413" s="3" t="inlineStr">
        <is>
          <t>RIMDOCS</t>
        </is>
      </c>
      <c r="H1413" s="3" t="inlineStr">
        <is>
          <t>Integration RIM Docs</t>
        </is>
      </c>
      <c r="I1413" s="3" t="inlineStr">
        <is>
          <t>Integration RIM Docs</t>
        </is>
      </c>
      <c r="J1413" s="4" t="n">
        <v>46160.47231481481</v>
      </c>
      <c r="K1413" s="5" t="n">
        <v>46160.0</v>
      </c>
      <c r="L1413" s="5" t="n">
        <v>46160.0</v>
      </c>
      <c r="M1413" s="3" t="inlineStr">
        <is>
          <t>Approved</t>
        </is>
      </c>
      <c r="N1413" s="3" t="inlineStr">
        <is>
          <t>Study Start</t>
        </is>
      </c>
      <c r="O1413" s="3" t="inlineStr">
        <is>
          <t>42847922MDD3003</t>
        </is>
      </c>
    </row>
    <row r="1414">
      <c r="A1414" s="2" t="str">
        <f>HYPERLINK("https://vtmf.veevavault.com/ui/#doc_info/31022221/1/0", "42847922MDD3003---Statistical Analysis Plan-19 Feb 2026 (v1.0)")</f>
        <v>42847922MDD3003---Statistical Analysis Plan-19 Feb 2026 (v1.0)</v>
      </c>
      <c r="B1414" s="3" t="inlineStr">
        <is>
          <t>Statistics</t>
        </is>
      </c>
      <c r="C1414" s="3" t="inlineStr">
        <is>
          <t>Statistics Oversight</t>
        </is>
      </c>
      <c r="D1414" s="3" t="inlineStr">
        <is>
          <t>Statistical Analysis Plan</t>
        </is>
      </c>
      <c r="E1414" s="3" t="inlineStr">
        <is>
          <t>Combined DREEM SAP for studies MDD3003 and MDD3014</t>
        </is>
      </c>
      <c r="F1414" s="2" t="str">
        <f>HYPERLINK("https://vtmf.veevavault.com/ui/#doc_info/31022221/1/0", "VTMF-25007209")</f>
        <v>VTMF-25007209</v>
      </c>
      <c r="G1414" s="3" t="inlineStr">
        <is>
          <t/>
        </is>
      </c>
      <c r="H1414" s="3" t="inlineStr">
        <is>
          <t>System</t>
        </is>
      </c>
      <c r="I1414" s="3" t="inlineStr">
        <is>
          <t>RYAN KELLY</t>
        </is>
      </c>
      <c r="J1414" s="4" t="n">
        <v>46072.748194444444</v>
      </c>
      <c r="K1414" s="5" t="n">
        <v>46072.0</v>
      </c>
      <c r="L1414" s="5" t="n">
        <v>46072.0</v>
      </c>
      <c r="M1414" s="3" t="inlineStr">
        <is>
          <t>Approved</t>
        </is>
      </c>
      <c r="N1414" s="3" t="inlineStr">
        <is>
          <t>Study Start</t>
        </is>
      </c>
      <c r="O1414" s="3" t="inlineStr">
        <is>
          <t>42847922MDD3003, 42847922MDD3014</t>
        </is>
      </c>
    </row>
    <row r="1415">
      <c r="A1415" s="2" t="str">
        <f>HYPERLINK("https://vtmf.veevavault.com/ui/#doc_info/27347746/2/0", "42847922MDD3003---Statistical Analysis Plan-19 Mar 2025 (v2.0)")</f>
        <v>42847922MDD3003---Statistical Analysis Plan-19 Mar 2025 (v2.0)</v>
      </c>
      <c r="B1415" s="3" t="inlineStr">
        <is>
          <t>Statistics</t>
        </is>
      </c>
      <c r="C1415" s="3" t="inlineStr">
        <is>
          <t>Statistics Oversight</t>
        </is>
      </c>
      <c r="D1415" s="3" t="inlineStr">
        <is>
          <t>Statistical Analysis Plan</t>
        </is>
      </c>
      <c r="E1415" s="3" t="inlineStr">
        <is>
          <t>SAP-Body-42847922MDD3003-1335995</t>
        </is>
      </c>
      <c r="F1415" s="2" t="str">
        <f>HYPERLINK("https://vtmf.veevavault.com/ui/#doc_info/27347746/2/0", "VTMF-21937797")</f>
        <v>VTMF-21937797</v>
      </c>
      <c r="G1415" s="3" t="inlineStr">
        <is>
          <t>RIMDOCS</t>
        </is>
      </c>
      <c r="H1415" s="3" t="inlineStr">
        <is>
          <t>System</t>
        </is>
      </c>
      <c r="I1415" s="3" t="inlineStr">
        <is>
          <t>Integration RIM Docs</t>
        </is>
      </c>
      <c r="J1415" s="4" t="n">
        <v>45735.85768518518</v>
      </c>
      <c r="K1415" s="5" t="n">
        <v>45735.0</v>
      </c>
      <c r="L1415" s="5" t="n">
        <v>45735.0</v>
      </c>
      <c r="M1415" s="3" t="inlineStr">
        <is>
          <t>Approved</t>
        </is>
      </c>
      <c r="N1415" s="3" t="inlineStr">
        <is>
          <t>Study Start</t>
        </is>
      </c>
      <c r="O1415" s="3" t="inlineStr">
        <is>
          <t>42847922MDD3003</t>
        </is>
      </c>
    </row>
    <row r="1416">
      <c r="A1416" s="2" t="str">
        <f>HYPERLINK("https://vtmf.veevavault.com/ui/#doc_info/27347745/1/0", "42847922MDD3003---Statistical Analysis Plan-28 Oct 2024 (v1.0)")</f>
        <v>42847922MDD3003---Statistical Analysis Plan-28 Oct 2024 (v1.0)</v>
      </c>
      <c r="B1416" s="3" t="inlineStr">
        <is>
          <t>Statistics</t>
        </is>
      </c>
      <c r="C1416" s="3" t="inlineStr">
        <is>
          <t>Statistics Oversight</t>
        </is>
      </c>
      <c r="D1416" s="3" t="inlineStr">
        <is>
          <t>Statistical Analysis Plan</t>
        </is>
      </c>
      <c r="E1416" s="3" t="inlineStr">
        <is>
          <t>SAP-Body-42847922MDD3003-1363891</t>
        </is>
      </c>
      <c r="F1416" s="2" t="str">
        <f>HYPERLINK("https://vtmf.veevavault.com/ui/#doc_info/27347745/1/0", "VTMF-21937796")</f>
        <v>VTMF-21937796</v>
      </c>
      <c r="G1416" s="3" t="inlineStr">
        <is>
          <t>RIMDOCS</t>
        </is>
      </c>
      <c r="H1416" s="3" t="inlineStr">
        <is>
          <t>System</t>
        </is>
      </c>
      <c r="I1416" s="3" t="inlineStr">
        <is>
          <t>Integration RIM Docs</t>
        </is>
      </c>
      <c r="J1416" s="4" t="n">
        <v>45593.586863425924</v>
      </c>
      <c r="K1416" s="5" t="n">
        <v>45593.0</v>
      </c>
      <c r="L1416" s="5" t="n">
        <v>45593.0</v>
      </c>
      <c r="M1416" s="3" t="inlineStr">
        <is>
          <t>Approved</t>
        </is>
      </c>
      <c r="N1416" s="3" t="inlineStr">
        <is>
          <t>Study Start</t>
        </is>
      </c>
      <c r="O1416" s="3" t="inlineStr">
        <is>
          <t>42847922MDD3003</t>
        </is>
      </c>
    </row>
    <row r="1417">
      <c r="A1417" s="2" t="str">
        <f>HYPERLINK("https://vtmf.veevavault.com/ui/#doc_info/26203533/1/0", "42847922MDD3003---SUA Summary and CIOMS1 Report- (v1.0)")</f>
        <v>42847922MDD3003---SUA Summary and CIOMS1 Report- (v1.0)</v>
      </c>
      <c r="B1417" s="3" t="inlineStr">
        <is>
          <t>Safety Reporting</t>
        </is>
      </c>
      <c r="C1417" s="3" t="inlineStr">
        <is>
          <t>Trial Status Reporting</t>
        </is>
      </c>
      <c r="D1417" s="3" t="inlineStr">
        <is>
          <t>SUA Summary and CIOMS1 Report</t>
        </is>
      </c>
      <c r="E1417" s="3" t="inlineStr">
        <is>
          <t>20231115859_9 Blinded</t>
        </is>
      </c>
      <c r="F1417" s="2" t="str">
        <f>HYPERLINK("https://vtmf.veevavault.com/ui/#doc_info/26203533/1/0", "VTMF-20957868")</f>
        <v>VTMF-20957868</v>
      </c>
      <c r="G1417" s="3" t="inlineStr">
        <is>
          <t/>
        </is>
      </c>
      <c r="H1417" s="3" t="inlineStr">
        <is>
          <t>System</t>
        </is>
      </c>
      <c r="I1417" s="3" t="inlineStr">
        <is>
          <t>eSusar Integration Service Account</t>
        </is>
      </c>
      <c r="J1417" s="4" t="n">
        <v>45407.3446412037</v>
      </c>
      <c r="K1417" s="5" t="n">
        <v>45406.0</v>
      </c>
      <c r="L1417" s="5" t="inlineStr">
        <is>
          <t/>
        </is>
      </c>
      <c r="M1417" s="3" t="inlineStr">
        <is>
          <t>Approved</t>
        </is>
      </c>
      <c r="N1417" s="3" t="inlineStr">
        <is>
          <t>Country Close</t>
        </is>
      </c>
      <c r="O1417" s="3" t="inlineStr">
        <is>
          <t>42847922MDD3003</t>
        </is>
      </c>
    </row>
    <row r="1418">
      <c r="A1418" s="2" t="str">
        <f>HYPERLINK("https://vtmf.veevavault.com/ui/#doc_info/29816844/1/0", "42847922MDD3003---SUA Summary and CIOMS1 Report- (v1.0)")</f>
        <v>42847922MDD3003---SUA Summary and CIOMS1 Report- (v1.0)</v>
      </c>
      <c r="B1418" s="3" t="inlineStr">
        <is>
          <t>Safety Reporting</t>
        </is>
      </c>
      <c r="C1418" s="3" t="inlineStr">
        <is>
          <t>Trial Status Reporting</t>
        </is>
      </c>
      <c r="D1418" s="3" t="inlineStr">
        <is>
          <t>SUA Summary and CIOMS1 Report</t>
        </is>
      </c>
      <c r="E1418" s="3" t="inlineStr">
        <is>
          <t>20250818666_0 Blinded</t>
        </is>
      </c>
      <c r="F1418" s="2" t="str">
        <f>HYPERLINK("https://vtmf.veevavault.com/ui/#doc_info/29816844/1/0", "VTMF-23996108")</f>
        <v>VTMF-23996108</v>
      </c>
      <c r="G1418" s="3" t="inlineStr">
        <is>
          <t/>
        </is>
      </c>
      <c r="H1418" s="3" t="inlineStr">
        <is>
          <t>System</t>
        </is>
      </c>
      <c r="I1418" s="3" t="inlineStr">
        <is>
          <t>eSusar Integration Service Account</t>
        </is>
      </c>
      <c r="J1418" s="4" t="n">
        <v>45892.34060185185</v>
      </c>
      <c r="K1418" s="5" t="n">
        <v>45891.0</v>
      </c>
      <c r="L1418" s="5" t="inlineStr">
        <is>
          <t/>
        </is>
      </c>
      <c r="M1418" s="3" t="inlineStr">
        <is>
          <t>Approved</t>
        </is>
      </c>
      <c r="N1418" s="3" t="inlineStr">
        <is>
          <t>Country Close</t>
        </is>
      </c>
      <c r="O1418" s="3" t="inlineStr">
        <is>
          <t>42847922MDD3003</t>
        </is>
      </c>
    </row>
    <row r="1419">
      <c r="A1419" s="2" t="str">
        <f>HYPERLINK("https://vtmf.veevavault.com/ui/#doc_info/31803570/1/0", "42847922MDD3003---SUA Summary and CIOMS1 Report- (v1.0)")</f>
        <v>42847922MDD3003---SUA Summary and CIOMS1 Report- (v1.0)</v>
      </c>
      <c r="B1419" s="3" t="inlineStr">
        <is>
          <t>Safety Reporting</t>
        </is>
      </c>
      <c r="C1419" s="3" t="inlineStr">
        <is>
          <t>Trial Status Reporting</t>
        </is>
      </c>
      <c r="D1419" s="3" t="inlineStr">
        <is>
          <t>SUA Summary and CIOMS1 Report</t>
        </is>
      </c>
      <c r="E1419" s="3" t="inlineStr">
        <is>
          <t>20260531988_0_blinded</t>
        </is>
      </c>
      <c r="F1419" s="2" t="str">
        <f>HYPERLINK("https://vtmf.veevavault.com/ui/#doc_info/31803570/1/0", "VTMF-25672272")</f>
        <v>VTMF-25672272</v>
      </c>
      <c r="G1419" s="3" t="inlineStr">
        <is>
          <t/>
        </is>
      </c>
      <c r="H1419" s="3" t="inlineStr">
        <is>
          <t>eSusar Integration Service Account</t>
        </is>
      </c>
      <c r="I1419" s="3" t="inlineStr">
        <is>
          <t>eSusar Integration Service Account</t>
        </is>
      </c>
      <c r="J1419" s="4" t="n">
        <v>46176.34853009259</v>
      </c>
      <c r="K1419" s="5" t="n">
        <v>46176.0</v>
      </c>
      <c r="L1419" s="5" t="inlineStr">
        <is>
          <t/>
        </is>
      </c>
      <c r="M1419" s="3" t="inlineStr">
        <is>
          <t>Approved</t>
        </is>
      </c>
      <c r="N1419" s="3" t="inlineStr">
        <is>
          <t>Country Close</t>
        </is>
      </c>
      <c r="O1419" s="3" t="inlineStr">
        <is>
          <t>42847922MDD3003</t>
        </is>
      </c>
    </row>
    <row r="1420">
      <c r="A1420" s="2" t="str">
        <f>HYPERLINK("https://vtmf.veevavault.com/ui/#doc_info/26335881/1/0", "42847922MDD3003---Subject Diary-16 May 2024 (v1.0)")</f>
        <v>42847922MDD3003---Subject Diary-16 May 2024 (v1.0)</v>
      </c>
      <c r="B1420" s="3" t="inlineStr">
        <is>
          <t>Central Trial Documents</t>
        </is>
      </c>
      <c r="C1420" s="3" t="inlineStr">
        <is>
          <t>Subject Documents</t>
        </is>
      </c>
      <c r="D1420" s="3" t="inlineStr">
        <is>
          <t>Subject Diary</t>
        </is>
      </c>
      <c r="E1420" s="3" t="inlineStr">
        <is>
          <t>42847922MDD3003_Medication-Diary_Part-2-Stabilization_US-English Version 1.0_14FEB2024</t>
        </is>
      </c>
      <c r="F1420" s="2" t="str">
        <f>HYPERLINK("https://vtmf.veevavault.com/ui/#doc_info/26335881/1/0", "VTMF-21073426")</f>
        <v>VTMF-21073426</v>
      </c>
      <c r="G1420" s="3" t="inlineStr">
        <is>
          <t/>
        </is>
      </c>
      <c r="H1420" s="3" t="inlineStr">
        <is>
          <t>Anthony Suarez (veeva.com)</t>
        </is>
      </c>
      <c r="I1420" s="3" t="inlineStr">
        <is>
          <t>Natali Soares</t>
        </is>
      </c>
      <c r="J1420" s="4" t="n">
        <v>45428.411099537036</v>
      </c>
      <c r="K1420" s="5" t="n">
        <v>45428.0</v>
      </c>
      <c r="L1420" s="5" t="n">
        <v>45428.0</v>
      </c>
      <c r="M1420" s="3" t="inlineStr">
        <is>
          <t>Approved</t>
        </is>
      </c>
      <c r="N1420" s="3" t="inlineStr">
        <is>
          <t>Available for Distribution, Study Start</t>
        </is>
      </c>
      <c r="O1420" s="3" t="inlineStr">
        <is>
          <t>42847922MDD3003</t>
        </is>
      </c>
    </row>
    <row r="1421">
      <c r="A1421" s="2" t="str">
        <f>HYPERLINK("https://vtmf.veevavault.com/ui/#doc_info/26335883/1/0", "42847922MDD3003---Subject Diary-16 May 2024 (v1.0)")</f>
        <v>42847922MDD3003---Subject Diary-16 May 2024 (v1.0)</v>
      </c>
      <c r="B1421" s="3" t="inlineStr">
        <is>
          <t>Central Trial Documents</t>
        </is>
      </c>
      <c r="C1421" s="3" t="inlineStr">
        <is>
          <t>Subject Documents</t>
        </is>
      </c>
      <c r="D1421" s="3" t="inlineStr">
        <is>
          <t>Subject Diary</t>
        </is>
      </c>
      <c r="E1421" s="3" t="inlineStr">
        <is>
          <t>42847922MDD3003_Medication-Diary_Part-2-Maintenance-additional-weeks_US-English Version 1.0_28FEB2024</t>
        </is>
      </c>
      <c r="F1421" s="2" t="str">
        <f>HYPERLINK("https://vtmf.veevavault.com/ui/#doc_info/26335883/1/0", "VTMF-21073428")</f>
        <v>VTMF-21073428</v>
      </c>
      <c r="G1421" s="3" t="inlineStr">
        <is>
          <t/>
        </is>
      </c>
      <c r="H1421" s="3" t="inlineStr">
        <is>
          <t>Anthony Suarez (veeva.com)</t>
        </is>
      </c>
      <c r="I1421" s="3" t="inlineStr">
        <is>
          <t>Natali Soares</t>
        </is>
      </c>
      <c r="J1421" s="4" t="n">
        <v>45428.411099537036</v>
      </c>
      <c r="K1421" s="5" t="n">
        <v>45428.0</v>
      </c>
      <c r="L1421" s="5" t="n">
        <v>45428.0</v>
      </c>
      <c r="M1421" s="3" t="inlineStr">
        <is>
          <t>Approved</t>
        </is>
      </c>
      <c r="N1421" s="3" t="inlineStr">
        <is>
          <t>Available for Distribution, Study Start</t>
        </is>
      </c>
      <c r="O1421" s="3" t="inlineStr">
        <is>
          <t>42847922MDD3003</t>
        </is>
      </c>
    </row>
    <row r="1422">
      <c r="A1422" s="2" t="str">
        <f>HYPERLINK("https://vtmf.veevavault.com/ui/#doc_info/26335884/1/0", "42847922MDD3003---Subject Diary-16 May 2024 (v1.0)")</f>
        <v>42847922MDD3003---Subject Diary-16 May 2024 (v1.0)</v>
      </c>
      <c r="B1422" s="3" t="inlineStr">
        <is>
          <t>Central Trial Documents</t>
        </is>
      </c>
      <c r="C1422" s="3" t="inlineStr">
        <is>
          <t>Subject Documents</t>
        </is>
      </c>
      <c r="D1422" s="3" t="inlineStr">
        <is>
          <t>Subject Diary</t>
        </is>
      </c>
      <c r="E1422" s="3" t="inlineStr">
        <is>
          <t>42847922MDD3003_Medication-Diary_Part-2-Maintenance_US-English Version 1.0_28FEB2024</t>
        </is>
      </c>
      <c r="F1422" s="2" t="str">
        <f>HYPERLINK("https://vtmf.veevavault.com/ui/#doc_info/26335884/1/0", "VTMF-21073429")</f>
        <v>VTMF-21073429</v>
      </c>
      <c r="G1422" s="3" t="inlineStr">
        <is>
          <t/>
        </is>
      </c>
      <c r="H1422" s="3" t="inlineStr">
        <is>
          <t>Anthony Suarez (veeva.com)</t>
        </is>
      </c>
      <c r="I1422" s="3" t="inlineStr">
        <is>
          <t>Natali Soares</t>
        </is>
      </c>
      <c r="J1422" s="4" t="n">
        <v>45428.411099537036</v>
      </c>
      <c r="K1422" s="5" t="n">
        <v>45428.0</v>
      </c>
      <c r="L1422" s="5" t="n">
        <v>45428.0</v>
      </c>
      <c r="M1422" s="3" t="inlineStr">
        <is>
          <t>Approved</t>
        </is>
      </c>
      <c r="N1422" s="3" t="inlineStr">
        <is>
          <t>Available for Distribution, Study Start</t>
        </is>
      </c>
      <c r="O1422" s="3" t="inlineStr">
        <is>
          <t>42847922MDD3003</t>
        </is>
      </c>
    </row>
    <row r="1423">
      <c r="A1423" s="2" t="str">
        <f>HYPERLINK("https://vtmf.veevavault.com/ui/#doc_info/26335885/1/0", "42847922MDD3003---Subject Diary-16 May 2024 (v1.0)")</f>
        <v>42847922MDD3003---Subject Diary-16 May 2024 (v1.0)</v>
      </c>
      <c r="B1423" s="3" t="inlineStr">
        <is>
          <t>Central Trial Documents</t>
        </is>
      </c>
      <c r="C1423" s="3" t="inlineStr">
        <is>
          <t>Subject Documents</t>
        </is>
      </c>
      <c r="D1423" s="3" t="inlineStr">
        <is>
          <t>Subject Diary</t>
        </is>
      </c>
      <c r="E1423" s="3" t="inlineStr">
        <is>
          <t>42847922MDD3003_Medication-Diary_Part-2-Induction_US-English Version 1.0_14FEB2024</t>
        </is>
      </c>
      <c r="F1423" s="2" t="str">
        <f>HYPERLINK("https://vtmf.veevavault.com/ui/#doc_info/26335885/1/0", "VTMF-21073430")</f>
        <v>VTMF-21073430</v>
      </c>
      <c r="G1423" s="3" t="inlineStr">
        <is>
          <t/>
        </is>
      </c>
      <c r="H1423" s="3" t="inlineStr">
        <is>
          <t>Anthony Suarez (veeva.com)</t>
        </is>
      </c>
      <c r="I1423" s="3" t="inlineStr">
        <is>
          <t>Natali Soares</t>
        </is>
      </c>
      <c r="J1423" s="4" t="n">
        <v>45428.411099537036</v>
      </c>
      <c r="K1423" s="5" t="n">
        <v>45428.0</v>
      </c>
      <c r="L1423" s="5" t="n">
        <v>45428.0</v>
      </c>
      <c r="M1423" s="3" t="inlineStr">
        <is>
          <t>Approved</t>
        </is>
      </c>
      <c r="N1423" s="3" t="inlineStr">
        <is>
          <t>Available for Distribution, Study Start</t>
        </is>
      </c>
      <c r="O1423" s="3" t="inlineStr">
        <is>
          <t>42847922MDD3003</t>
        </is>
      </c>
    </row>
    <row r="1424">
      <c r="A1424" s="2" t="str">
        <f>HYPERLINK("https://vtmf.veevavault.com/ui/#doc_info/26335886/1/0", "42847922MDD3003---Subject Diary-16 May 2024 (v1.0)")</f>
        <v>42847922MDD3003---Subject Diary-16 May 2024 (v1.0)</v>
      </c>
      <c r="B1424" s="3" t="inlineStr">
        <is>
          <t>Central Trial Documents</t>
        </is>
      </c>
      <c r="C1424" s="3" t="inlineStr">
        <is>
          <t>Subject Documents</t>
        </is>
      </c>
      <c r="D1424" s="3" t="inlineStr">
        <is>
          <t>Subject Diary</t>
        </is>
      </c>
      <c r="E1424" s="3" t="inlineStr">
        <is>
          <t>42847922MDD3003_Medication-Diary_Part-1_US-English Version 1.0_09JAN2024</t>
        </is>
      </c>
      <c r="F1424" s="2" t="str">
        <f>HYPERLINK("https://vtmf.veevavault.com/ui/#doc_info/26335886/1/0", "VTMF-21073431")</f>
        <v>VTMF-21073431</v>
      </c>
      <c r="G1424" s="3" t="inlineStr">
        <is>
          <t/>
        </is>
      </c>
      <c r="H1424" s="3" t="inlineStr">
        <is>
          <t>Anthony Suarez (veeva.com)</t>
        </is>
      </c>
      <c r="I1424" s="3" t="inlineStr">
        <is>
          <t>Natali Soares</t>
        </is>
      </c>
      <c r="J1424" s="4" t="n">
        <v>45428.411099537036</v>
      </c>
      <c r="K1424" s="5" t="n">
        <v>45428.0</v>
      </c>
      <c r="L1424" s="5" t="n">
        <v>45428.0</v>
      </c>
      <c r="M1424" s="3" t="inlineStr">
        <is>
          <t>Approved</t>
        </is>
      </c>
      <c r="N1424" s="3" t="inlineStr">
        <is>
          <t>Available for Distribution, Study Start</t>
        </is>
      </c>
      <c r="O1424" s="3" t="inlineStr">
        <is>
          <t>42847922MDD3003</t>
        </is>
      </c>
    </row>
    <row r="1425">
      <c r="A1425" s="2" t="str">
        <f>HYPERLINK("https://vtmf.veevavault.com/ui/#doc_info/29570127/1/0", "42847922MDD3003---Subject Questionnaire-03 Jul 2025 (v1.0)")</f>
        <v>42847922MDD3003---Subject Questionnaire-03 Jul 2025 (v1.0)</v>
      </c>
      <c r="B1425" s="3" t="inlineStr">
        <is>
          <t>Central Trial Documents</t>
        </is>
      </c>
      <c r="C1425" s="3" t="inlineStr">
        <is>
          <t>Subject Documents</t>
        </is>
      </c>
      <c r="D1425" s="3" t="inlineStr">
        <is>
          <t>Subject Questionnaire</t>
        </is>
      </c>
      <c r="E1425" s="3" t="inlineStr">
        <is>
          <t>Supplemental Patient Interviews: Sleep disturbance in Major Depressive Disorder Interview guide in US Spanish TRANSLATION CERTIFICATE CoT</t>
        </is>
      </c>
      <c r="F1425" s="2" t="str">
        <f>HYPERLINK("https://vtmf.veevavault.com/ui/#doc_info/29570127/1/0", "VTMF-23784949")</f>
        <v>VTMF-23784949</v>
      </c>
      <c r="G1425" s="3" t="inlineStr">
        <is>
          <t/>
        </is>
      </c>
      <c r="H1425" s="3" t="inlineStr">
        <is>
          <t>Anthony Suarez (veeva.com)</t>
        </is>
      </c>
      <c r="I1425" s="3" t="inlineStr">
        <is>
          <t>Arlean Worthy</t>
        </is>
      </c>
      <c r="J1425" s="4" t="n">
        <v>45854.9959375</v>
      </c>
      <c r="K1425" s="5" t="n">
        <v>45854.0</v>
      </c>
      <c r="L1425" s="5" t="n">
        <v>45841.0</v>
      </c>
      <c r="M1425" s="3" t="inlineStr">
        <is>
          <t>Approved</t>
        </is>
      </c>
      <c r="N1425" s="3" t="inlineStr">
        <is>
          <t>Available for Distribution, Country Start, Study Start</t>
        </is>
      </c>
      <c r="O1425" s="3" t="inlineStr">
        <is>
          <t>42847922MDD3003</t>
        </is>
      </c>
    </row>
    <row r="1426">
      <c r="A1426" s="2" t="str">
        <f>HYPERLINK("https://vtmf.veevavault.com/ui/#doc_info/29299816/1/0", "42847922MDD3003---Subject Questionnaire-05 Jun 2025 (v1.0)")</f>
        <v>42847922MDD3003---Subject Questionnaire-05 Jun 2025 (v1.0)</v>
      </c>
      <c r="B1426" s="3" t="inlineStr">
        <is>
          <t>Central Trial Documents</t>
        </is>
      </c>
      <c r="C1426" s="3" t="inlineStr">
        <is>
          <t>Subject Documents</t>
        </is>
      </c>
      <c r="D1426" s="3" t="inlineStr">
        <is>
          <t>Subject Questionnaire</t>
        </is>
      </c>
      <c r="E1426" s="3" t="inlineStr">
        <is>
          <t>42847922MDD3003_Prescreening questions_05Jun2025</t>
        </is>
      </c>
      <c r="F1426" s="2" t="str">
        <f>HYPERLINK("https://vtmf.veevavault.com/ui/#doc_info/29299816/1/0", "VTMF-23551140")</f>
        <v>VTMF-23551140</v>
      </c>
      <c r="G1426" s="3" t="inlineStr">
        <is>
          <t/>
        </is>
      </c>
      <c r="H1426" s="3" t="inlineStr">
        <is>
          <t>System</t>
        </is>
      </c>
      <c r="I1426" s="3" t="inlineStr">
        <is>
          <t>Debhora Garcia</t>
        </is>
      </c>
      <c r="J1426" s="4" t="n">
        <v>45814.03113425926</v>
      </c>
      <c r="K1426" s="5" t="n">
        <v>45813.0</v>
      </c>
      <c r="L1426" s="5" t="n">
        <v>45813.0</v>
      </c>
      <c r="M1426" s="3" t="inlineStr">
        <is>
          <t>Approved</t>
        </is>
      </c>
      <c r="N1426" s="3" t="inlineStr">
        <is>
          <t>Available for Distribution, Country Start, Study Start</t>
        </is>
      </c>
      <c r="O1426" s="3" t="inlineStr">
        <is>
          <t>42847922MDD3003</t>
        </is>
      </c>
    </row>
    <row r="1427">
      <c r="A1427" s="2" t="str">
        <f>HYPERLINK("https://vtmf.veevavault.com/ui/#doc_info/15349424/1/0", "42847922MDD3003---Subject Questionnaire-16 Dec 2020 (v1.0)")</f>
        <v>42847922MDD3003---Subject Questionnaire-16 Dec 2020 (v1.0)</v>
      </c>
      <c r="B1427" s="3" t="inlineStr">
        <is>
          <t>Central Trial Documents</t>
        </is>
      </c>
      <c r="C1427" s="3" t="inlineStr">
        <is>
          <t>Subject Documents</t>
        </is>
      </c>
      <c r="D1427" s="3" t="inlineStr">
        <is>
          <t>Subject Questionnaire</t>
        </is>
      </c>
      <c r="E1427" s="3" t="inlineStr">
        <is>
          <t>42847922MDD300x_ICON ISI Final Reports_Malaysia</t>
        </is>
      </c>
      <c r="F1427" s="2" t="str">
        <f>HYPERLINK("https://vtmf.veevavault.com/ui/#doc_info/15349424/1/0", "VTMF-11050062")</f>
        <v>VTMF-11050062</v>
      </c>
      <c r="G1427" s="3" t="inlineStr">
        <is>
          <t/>
        </is>
      </c>
      <c r="H1427" s="3" t="inlineStr">
        <is>
          <t>Anthony Suarez (veeva.com)</t>
        </is>
      </c>
      <c r="I1427" s="3" t="inlineStr">
        <is>
          <t>Kelly Crockford</t>
        </is>
      </c>
      <c r="J1427" s="4" t="n">
        <v>44181.476273148146</v>
      </c>
      <c r="K1427" s="5" t="n">
        <v>44181.0</v>
      </c>
      <c r="L1427" s="5" t="n">
        <v>44181.0</v>
      </c>
      <c r="M1427" s="3" t="inlineStr">
        <is>
          <t>Approved</t>
        </is>
      </c>
      <c r="N1427" s="3" t="inlineStr">
        <is>
          <t>Available for Distribution, Country Start, Study Start</t>
        </is>
      </c>
      <c r="O1427" s="3" t="inlineStr">
        <is>
          <t>42847922MDD3003</t>
        </is>
      </c>
    </row>
    <row r="1428">
      <c r="A1428" s="2" t="str">
        <f>HYPERLINK("https://vtmf.veevavault.com/ui/#doc_info/26716563/6/0", "42847922MDD3003---Subject Questionnaire-16 Jul 2024 (v6.0)")</f>
        <v>42847922MDD3003---Subject Questionnaire-16 Jul 2024 (v6.0)</v>
      </c>
      <c r="B1428" s="3" t="inlineStr">
        <is>
          <t>Central Trial Documents</t>
        </is>
      </c>
      <c r="C1428" s="3" t="inlineStr">
        <is>
          <t>Subject Documents</t>
        </is>
      </c>
      <c r="D1428" s="3" t="inlineStr">
        <is>
          <t>Subject Questionnaire</t>
        </is>
      </c>
      <c r="E1428" s="3" t="inlineStr">
        <is>
          <t>42847922MDD3003_ICON_Translations Final_Reports</t>
        </is>
      </c>
      <c r="F1428" s="2" t="str">
        <f>HYPERLINK("https://vtmf.veevavault.com/ui/#doc_info/26716563/6/0", "VTMF-21407124")</f>
        <v>VTMF-21407124</v>
      </c>
      <c r="G1428" s="3" t="inlineStr">
        <is>
          <t/>
        </is>
      </c>
      <c r="H1428" s="3" t="inlineStr">
        <is>
          <t>Anthony Suarez (veeva.com)</t>
        </is>
      </c>
      <c r="I1428" s="3" t="inlineStr">
        <is>
          <t>Hina Rauf</t>
        </is>
      </c>
      <c r="J1428" s="4" t="n">
        <v>45600.44112268519</v>
      </c>
      <c r="K1428" s="5" t="n">
        <v>45600.0</v>
      </c>
      <c r="L1428" s="5" t="n">
        <v>45489.0</v>
      </c>
      <c r="M1428" s="3" t="inlineStr">
        <is>
          <t>Approved</t>
        </is>
      </c>
      <c r="N1428" s="3" t="inlineStr">
        <is>
          <t>Available for Distribution, Country Start, Study Start</t>
        </is>
      </c>
      <c r="O1428" s="3" t="inlineStr">
        <is>
          <t>42847922MDD3003</t>
        </is>
      </c>
    </row>
    <row r="1429">
      <c r="A1429" s="2" t="str">
        <f>HYPERLINK("https://vtmf.veevavault.com/ui/#doc_info/20458400/1/0", "42847922MDD3003---Subject Questionnaire-20 Oct 2021 (v1.0)")</f>
        <v>42847922MDD3003---Subject Questionnaire-20 Oct 2021 (v1.0)</v>
      </c>
      <c r="B1429" s="3" t="inlineStr">
        <is>
          <t>Central Trial Documents</t>
        </is>
      </c>
      <c r="C1429" s="3" t="inlineStr">
        <is>
          <t>Subject Documents</t>
        </is>
      </c>
      <c r="D1429" s="3" t="inlineStr">
        <is>
          <t>Subject Questionnaire</t>
        </is>
      </c>
      <c r="E1429" s="3" t="inlineStr">
        <is>
          <t>42847922MDD3002_3_5 - ASEX_20OCT21</t>
        </is>
      </c>
      <c r="F1429" s="2" t="str">
        <f>HYPERLINK("https://vtmf.veevavault.com/ui/#doc_info/20458400/1/0", "VTMF-15928535")</f>
        <v>VTMF-15928535</v>
      </c>
      <c r="G1429" s="3" t="inlineStr">
        <is>
          <t/>
        </is>
      </c>
      <c r="H1429" s="3" t="inlineStr">
        <is>
          <t>Anthony Suarez (veeva.com)</t>
        </is>
      </c>
      <c r="I1429" s="3" t="inlineStr">
        <is>
          <t>Stella Antonopoulou</t>
        </is>
      </c>
      <c r="J1429" s="4" t="n">
        <v>44498.654027777775</v>
      </c>
      <c r="K1429" s="5" t="n">
        <v>44498.0</v>
      </c>
      <c r="L1429" s="5" t="n">
        <v>44489.0</v>
      </c>
      <c r="M1429" s="3" t="inlineStr">
        <is>
          <t>Approved</t>
        </is>
      </c>
      <c r="N1429" s="3" t="inlineStr">
        <is>
          <t>Available for Distribution, Country Start, Study Start</t>
        </is>
      </c>
      <c r="O1429" s="3" t="inlineStr">
        <is>
          <t>42847922MDD3003</t>
        </is>
      </c>
    </row>
    <row r="1430">
      <c r="A1430" s="2" t="str">
        <f>HYPERLINK("https://vtmf.veevavault.com/ui/#doc_info/20458368/1/0", "42847922MDD3003---Subject Questionnaire-22 Oct 2021 (v1.0)")</f>
        <v>42847922MDD3003---Subject Questionnaire-22 Oct 2021 (v1.0)</v>
      </c>
      <c r="B1430" s="3" t="inlineStr">
        <is>
          <t>Central Trial Documents</t>
        </is>
      </c>
      <c r="C1430" s="3" t="inlineStr">
        <is>
          <t>Subject Documents</t>
        </is>
      </c>
      <c r="D1430" s="3" t="inlineStr">
        <is>
          <t>Subject Questionnaire</t>
        </is>
      </c>
      <c r="E1430" s="3" t="inlineStr">
        <is>
          <t>42847922MDD3002_3_5 - ISI_22OCT21</t>
        </is>
      </c>
      <c r="F1430" s="2" t="str">
        <f>HYPERLINK("https://vtmf.veevavault.com/ui/#doc_info/20458368/1/0", "VTMF-15928508")</f>
        <v>VTMF-15928508</v>
      </c>
      <c r="G1430" s="3" t="inlineStr">
        <is>
          <t/>
        </is>
      </c>
      <c r="H1430" s="3" t="inlineStr">
        <is>
          <t>Anthony Suarez (veeva.com)</t>
        </is>
      </c>
      <c r="I1430" s="3" t="inlineStr">
        <is>
          <t>Stella Antonopoulou</t>
        </is>
      </c>
      <c r="J1430" s="4" t="n">
        <v>44498.65118055556</v>
      </c>
      <c r="K1430" s="5" t="n">
        <v>44498.0</v>
      </c>
      <c r="L1430" s="5" t="n">
        <v>44491.0</v>
      </c>
      <c r="M1430" s="3" t="inlineStr">
        <is>
          <t>Approved</t>
        </is>
      </c>
      <c r="N1430" s="3" t="inlineStr">
        <is>
          <t>Available for Distribution, Country Start, Study Start</t>
        </is>
      </c>
      <c r="O1430" s="3" t="inlineStr">
        <is>
          <t>42847922MDD3003</t>
        </is>
      </c>
    </row>
    <row r="1431">
      <c r="A1431" s="2" t="str">
        <f>HYPERLINK("https://vtmf.veevavault.com/ui/#doc_info/29570149/1/0", "42847922MDD3003---Subject Questionnaire-27 Jun 2024 (v1.0)")</f>
        <v>42847922MDD3003---Subject Questionnaire-27 Jun 2024 (v1.0)</v>
      </c>
      <c r="B1431" s="3" t="inlineStr">
        <is>
          <t>Central Trial Documents</t>
        </is>
      </c>
      <c r="C1431" s="3" t="inlineStr">
        <is>
          <t>Subject Documents</t>
        </is>
      </c>
      <c r="D1431" s="3" t="inlineStr">
        <is>
          <t>Subject Questionnaire</t>
        </is>
      </c>
      <c r="E1431" s="3" t="inlineStr">
        <is>
          <t>LINGUISTIC VALIDATION CERTIFICATE
Patient Global Impression of Severity (PGIS)</t>
        </is>
      </c>
      <c r="F1431" s="2" t="str">
        <f>HYPERLINK("https://vtmf.veevavault.com/ui/#doc_info/29570149/1/0", "VTMF-23785012")</f>
        <v>VTMF-23785012</v>
      </c>
      <c r="G1431" s="3" t="inlineStr">
        <is>
          <t/>
        </is>
      </c>
      <c r="H1431" s="3" t="inlineStr">
        <is>
          <t>Anthony Suarez (veeva.com)</t>
        </is>
      </c>
      <c r="I1431" s="3" t="inlineStr">
        <is>
          <t>Arlean Worthy</t>
        </is>
      </c>
      <c r="J1431" s="4" t="n">
        <v>45855.01788194444</v>
      </c>
      <c r="K1431" s="5" t="n">
        <v>45854.0</v>
      </c>
      <c r="L1431" s="5" t="n">
        <v>45470.0</v>
      </c>
      <c r="M1431" s="3" t="inlineStr">
        <is>
          <t>Approved</t>
        </is>
      </c>
      <c r="N1431" s="3" t="inlineStr">
        <is>
          <t>Available for Distribution, Country Start, Study Start</t>
        </is>
      </c>
      <c r="O1431" s="3" t="inlineStr">
        <is>
          <t>42847922MDD3003</t>
        </is>
      </c>
    </row>
    <row r="1432">
      <c r="A1432" s="2" t="str">
        <f>HYPERLINK("https://vtmf.veevavault.com/ui/#doc_info/29570153/1/0", "42847922MDD3003---Subject Questionnaire-27 Jun 2024 (v1.0)")</f>
        <v>42847922MDD3003---Subject Questionnaire-27 Jun 2024 (v1.0)</v>
      </c>
      <c r="B1432" s="3" t="inlineStr">
        <is>
          <t>Central Trial Documents</t>
        </is>
      </c>
      <c r="C1432" s="3" t="inlineStr">
        <is>
          <t>Subject Documents</t>
        </is>
      </c>
      <c r="D1432" s="3" t="inlineStr">
        <is>
          <t>Subject Questionnaire</t>
        </is>
      </c>
      <c r="E1432" s="3" t="inlineStr">
        <is>
          <t>LINGUISTIC VALIDATION CERTIFICATE
Patient Global Impression of Change (PGIC)</t>
        </is>
      </c>
      <c r="F1432" s="2" t="str">
        <f>HYPERLINK("https://vtmf.veevavault.com/ui/#doc_info/29570153/1/0", "VTMF-23785019")</f>
        <v>VTMF-23785019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Arlean Worthy</t>
        </is>
      </c>
      <c r="J1432" s="4" t="n">
        <v>45855.02060185185</v>
      </c>
      <c r="K1432" s="5" t="n">
        <v>45854.0</v>
      </c>
      <c r="L1432" s="5" t="n">
        <v>45470.0</v>
      </c>
      <c r="M1432" s="3" t="inlineStr">
        <is>
          <t>Approved</t>
        </is>
      </c>
      <c r="N1432" s="3" t="inlineStr">
        <is>
          <t>Available for Distribution, Country Start, Study Start</t>
        </is>
      </c>
      <c r="O1432" s="3" t="inlineStr">
        <is>
          <t>42847922MDD3003</t>
        </is>
      </c>
    </row>
    <row r="1433">
      <c r="A1433" s="2" t="str">
        <f>HYPERLINK("https://vtmf.veevavault.com/ui/#doc_info/30622792/1/0", "42847922MDD3003---SUSAR Line Listings-16 Dec 2025 (v1.0)")</f>
        <v>42847922MDD3003---SUSAR Line Listings-16 Dec 2025 (v1.0)</v>
      </c>
      <c r="B1433" s="3" t="inlineStr">
        <is>
          <t>Safety Reporting</t>
        </is>
      </c>
      <c r="C1433" s="3" t="inlineStr">
        <is>
          <t>Trial Status Reporting</t>
        </is>
      </c>
      <c r="D1433" s="3" t="inlineStr">
        <is>
          <t>SUSAR Line Listings</t>
        </is>
      </c>
      <c r="E1433" s="3" t="inlineStr">
        <is>
          <t>SSR_seltorexant_Blinded_05May2025-04Nov2025</t>
        </is>
      </c>
      <c r="F1433" s="2" t="str">
        <f>HYPERLINK("https://vtmf.veevavault.com/ui/#doc_info/30622792/1/0", "VTMF-24674598")</f>
        <v>VTMF-24674598</v>
      </c>
      <c r="G1433" s="3" t="inlineStr">
        <is>
          <t/>
        </is>
      </c>
      <c r="H1433" s="3" t="inlineStr">
        <is>
          <t>System</t>
        </is>
      </c>
      <c r="I1433" s="3" t="inlineStr">
        <is>
          <t>eSusar Integration Service Account</t>
        </is>
      </c>
      <c r="J1433" s="4" t="n">
        <v>46008.34410879629</v>
      </c>
      <c r="K1433" s="5" t="n">
        <v>46007.0</v>
      </c>
      <c r="L1433" s="5" t="n">
        <v>46007.0</v>
      </c>
      <c r="M1433" s="3" t="inlineStr">
        <is>
          <t>Approved</t>
        </is>
      </c>
      <c r="N1433" s="3" t="inlineStr">
        <is>
          <t>Country Close</t>
        </is>
      </c>
      <c r="O1433" s="3" t="inlineStr">
        <is>
          <t>42847922MDD3003</t>
        </is>
      </c>
    </row>
    <row r="1434">
      <c r="A1434" s="2" t="str">
        <f>HYPERLINK("https://vtmf.veevavault.com/ui/#doc_info/27941832/1/0", "42847922MDD3003---SUSAR Line Listings-18 Dec 2024 (v1.0)")</f>
        <v>42847922MDD3003---SUSAR Line Listings-18 Dec 2024 (v1.0)</v>
      </c>
      <c r="B1434" s="3" t="inlineStr">
        <is>
          <t>Safety Reporting</t>
        </is>
      </c>
      <c r="C1434" s="3" t="inlineStr">
        <is>
          <t>Trial Status Reporting</t>
        </is>
      </c>
      <c r="D1434" s="3" t="inlineStr">
        <is>
          <t>SUSAR Line Listings</t>
        </is>
      </c>
      <c r="E1434" s="3" t="inlineStr">
        <is>
          <t>SSR_seltorexant_Blinded_05May2024-04Nov2024</t>
        </is>
      </c>
      <c r="F1434" s="2" t="str">
        <f>HYPERLINK("https://vtmf.veevavault.com/ui/#doc_info/27941832/1/0", "VTMF-22402544")</f>
        <v>VTMF-22402544</v>
      </c>
      <c r="G1434" s="3" t="inlineStr">
        <is>
          <t/>
        </is>
      </c>
      <c r="H1434" s="3" t="inlineStr">
        <is>
          <t>System</t>
        </is>
      </c>
      <c r="I1434" s="3" t="inlineStr">
        <is>
          <t>eSusar Integration Service Account</t>
        </is>
      </c>
      <c r="J1434" s="4" t="n">
        <v>45645.338321759256</v>
      </c>
      <c r="K1434" s="5" t="n">
        <v>45644.0</v>
      </c>
      <c r="L1434" s="5" t="n">
        <v>45644.0</v>
      </c>
      <c r="M1434" s="3" t="inlineStr">
        <is>
          <t>Approved</t>
        </is>
      </c>
      <c r="N1434" s="3" t="inlineStr">
        <is>
          <t>Country Close</t>
        </is>
      </c>
      <c r="O1434" s="3" t="inlineStr">
        <is>
          <t>42847922MDD3003</t>
        </is>
      </c>
    </row>
    <row r="1435">
      <c r="A1435" s="2" t="str">
        <f>HYPERLINK("https://vtmf.veevavault.com/ui/#doc_info/29425866/1/0", "42847922MDD3003---SUSAR Line Listings-23 Jun 2025 (v1.0)")</f>
        <v>42847922MDD3003---SUSAR Line Listings-23 Jun 2025 (v1.0)</v>
      </c>
      <c r="B1435" s="3" t="inlineStr">
        <is>
          <t>Safety Reporting</t>
        </is>
      </c>
      <c r="C1435" s="3" t="inlineStr">
        <is>
          <t>Trial Status Reporting</t>
        </is>
      </c>
      <c r="D1435" s="3" t="inlineStr">
        <is>
          <t>SUSAR Line Listings</t>
        </is>
      </c>
      <c r="E1435" s="3" t="inlineStr">
        <is>
          <t>DSUR_seltorexant_Blinded_05May2024-04May2025</t>
        </is>
      </c>
      <c r="F1435" s="2" t="str">
        <f>HYPERLINK("https://vtmf.veevavault.com/ui/#doc_info/29425866/1/0", "VTMF-23663290")</f>
        <v>VTMF-23663290</v>
      </c>
      <c r="G1435" s="3" t="inlineStr">
        <is>
          <t/>
        </is>
      </c>
      <c r="H1435" s="3" t="inlineStr">
        <is>
          <t>System</t>
        </is>
      </c>
      <c r="I1435" s="3" t="inlineStr">
        <is>
          <t>eSusar Integration Service Account</t>
        </is>
      </c>
      <c r="J1435" s="4" t="n">
        <v>45832.33994212963</v>
      </c>
      <c r="K1435" s="5" t="n">
        <v>45831.0</v>
      </c>
      <c r="L1435" s="5" t="n">
        <v>45831.0</v>
      </c>
      <c r="M1435" s="3" t="inlineStr">
        <is>
          <t>Approved</t>
        </is>
      </c>
      <c r="N1435" s="3" t="inlineStr">
        <is>
          <t>Country Close</t>
        </is>
      </c>
      <c r="O1435" s="3" t="inlineStr">
        <is>
          <t>42847922MDD3003</t>
        </is>
      </c>
    </row>
    <row r="1436">
      <c r="A1436" s="2" t="str">
        <f>HYPERLINK("https://vtmf.veevavault.com/ui/#doc_info/29425867/1/0", "42847922MDD3003---SUSAR Line Listings-23 Jun 2025 (v1.0)")</f>
        <v>42847922MDD3003---SUSAR Line Listings-23 Jun 2025 (v1.0)</v>
      </c>
      <c r="B1436" s="3" t="inlineStr">
        <is>
          <t>Safety Reporting</t>
        </is>
      </c>
      <c r="C1436" s="3" t="inlineStr">
        <is>
          <t>Trial Status Reporting</t>
        </is>
      </c>
      <c r="D1436" s="3" t="inlineStr">
        <is>
          <t>SUSAR Line Listings</t>
        </is>
      </c>
      <c r="E1436" s="3" t="inlineStr">
        <is>
          <t>SSR_seltorexant_Blinded_05Nov2024-04May2025</t>
        </is>
      </c>
      <c r="F1436" s="2" t="str">
        <f>HYPERLINK("https://vtmf.veevavault.com/ui/#doc_info/29425867/1/0", "VTMF-23663291")</f>
        <v>VTMF-23663291</v>
      </c>
      <c r="G1436" s="3" t="inlineStr">
        <is>
          <t/>
        </is>
      </c>
      <c r="H1436" s="3" t="inlineStr">
        <is>
          <t>System</t>
        </is>
      </c>
      <c r="I1436" s="3" t="inlineStr">
        <is>
          <t>eSusar Integration Service Account</t>
        </is>
      </c>
      <c r="J1436" s="4" t="n">
        <v>45832.33994212963</v>
      </c>
      <c r="K1436" s="5" t="n">
        <v>45831.0</v>
      </c>
      <c r="L1436" s="5" t="n">
        <v>45831.0</v>
      </c>
      <c r="M1436" s="3" t="inlineStr">
        <is>
          <t>Approved</t>
        </is>
      </c>
      <c r="N1436" s="3" t="inlineStr">
        <is>
          <t>Country Close</t>
        </is>
      </c>
      <c r="O1436" s="3" t="inlineStr">
        <is>
          <t>42847922MDD3003</t>
        </is>
      </c>
    </row>
    <row r="1437">
      <c r="A1437" s="2" t="str">
        <f>HYPERLINK("https://vtmf.veevavault.com/ui/#doc_info/26594859/1/0", "42847922MDD3003---SUSAR Line Listings-25 Jun 2024 (v1.0)")</f>
        <v>42847922MDD3003---SUSAR Line Listings-25 Jun 2024 (v1.0)</v>
      </c>
      <c r="B1437" s="3" t="inlineStr">
        <is>
          <t>Safety Reporting</t>
        </is>
      </c>
      <c r="C1437" s="3" t="inlineStr">
        <is>
          <t>Trial Status Reporting</t>
        </is>
      </c>
      <c r="D1437" s="3" t="inlineStr">
        <is>
          <t>SUSAR Line Listings</t>
        </is>
      </c>
      <c r="E1437" s="3" t="inlineStr">
        <is>
          <t>SSR_seltorexant_Blinded_05Nov2023-04May2024</t>
        </is>
      </c>
      <c r="F1437" s="2" t="str">
        <f>HYPERLINK("https://vtmf.veevavault.com/ui/#doc_info/26594859/1/0", "VTMF-21300782")</f>
        <v>VTMF-21300782</v>
      </c>
      <c r="G1437" s="3" t="inlineStr">
        <is>
          <t/>
        </is>
      </c>
      <c r="H1437" s="3" t="inlineStr">
        <is>
          <t>System</t>
        </is>
      </c>
      <c r="I1437" s="3" t="inlineStr">
        <is>
          <t>eSusar Integration Service Account</t>
        </is>
      </c>
      <c r="J1437" s="4" t="n">
        <v>45469.33766203704</v>
      </c>
      <c r="K1437" s="5" t="n">
        <v>45468.0</v>
      </c>
      <c r="L1437" s="5" t="n">
        <v>45468.0</v>
      </c>
      <c r="M1437" s="3" t="inlineStr">
        <is>
          <t>Approved</t>
        </is>
      </c>
      <c r="N1437" s="3" t="inlineStr">
        <is>
          <t>Country Close</t>
        </is>
      </c>
      <c r="O1437" s="3" t="inlineStr">
        <is>
          <t>42847922MDD3003</t>
        </is>
      </c>
    </row>
    <row r="1438">
      <c r="A1438" s="2" t="str">
        <f>HYPERLINK("https://vtmf.veevavault.com/ui/#doc_info/26594860/1/0", "42847922MDD3003---SUSAR Line Listings-25 Jun 2024 (v1.0)")</f>
        <v>42847922MDD3003---SUSAR Line Listings-25 Jun 2024 (v1.0)</v>
      </c>
      <c r="B1438" s="3" t="inlineStr">
        <is>
          <t>Safety Reporting</t>
        </is>
      </c>
      <c r="C1438" s="3" t="inlineStr">
        <is>
          <t>Trial Status Reporting</t>
        </is>
      </c>
      <c r="D1438" s="3" t="inlineStr">
        <is>
          <t>SUSAR Line Listings</t>
        </is>
      </c>
      <c r="E1438" s="3" t="inlineStr">
        <is>
          <t>DSUR_seltorexant_Blinded_05May2023-04May2024</t>
        </is>
      </c>
      <c r="F1438" s="2" t="str">
        <f>HYPERLINK("https://vtmf.veevavault.com/ui/#doc_info/26594860/1/0", "VTMF-21300783")</f>
        <v>VTMF-21300783</v>
      </c>
      <c r="G1438" s="3" t="inlineStr">
        <is>
          <t/>
        </is>
      </c>
      <c r="H1438" s="3" t="inlineStr">
        <is>
          <t>System</t>
        </is>
      </c>
      <c r="I1438" s="3" t="inlineStr">
        <is>
          <t>eSusar Integration Service Account</t>
        </is>
      </c>
      <c r="J1438" s="4" t="n">
        <v>45469.33766203704</v>
      </c>
      <c r="K1438" s="5" t="n">
        <v>45468.0</v>
      </c>
      <c r="L1438" s="5" t="n">
        <v>45468.0</v>
      </c>
      <c r="M1438" s="3" t="inlineStr">
        <is>
          <t>Approved</t>
        </is>
      </c>
      <c r="N1438" s="3" t="inlineStr">
        <is>
          <t>Country Close</t>
        </is>
      </c>
      <c r="O1438" s="3" t="inlineStr">
        <is>
          <t>42847922MDD3003</t>
        </is>
      </c>
    </row>
    <row r="1439">
      <c r="A1439" s="2" t="str">
        <f>HYPERLINK("https://vtmf.veevavault.com/ui/#doc_info/30742029/1/0", "42847922MDD3003---Team Meetings-01 Apr 2025 (v1.0)")</f>
        <v>42847922MDD3003---Team Meetings-01 Apr 2025 (v1.0)</v>
      </c>
      <c r="B1439" s="3" t="inlineStr">
        <is>
          <t>Trial Management</t>
        </is>
      </c>
      <c r="C1439" s="3" t="inlineStr">
        <is>
          <t>Meetings</t>
        </is>
      </c>
      <c r="D1439" s="3" t="inlineStr">
        <is>
          <t>Team Meetings</t>
        </is>
      </c>
      <c r="E1439" s="3" t="inlineStr">
        <is>
          <t>Data Quality Dashboard April 2025</t>
        </is>
      </c>
      <c r="F1439" s="2" t="str">
        <f>HYPERLINK("https://vtmf.veevavault.com/ui/#doc_info/30742029/1/0", "VTMF-24770976")</f>
        <v>VTMF-24770976</v>
      </c>
      <c r="G1439" s="3" t="inlineStr">
        <is>
          <t/>
        </is>
      </c>
      <c r="H1439" s="3" t="inlineStr">
        <is>
          <t>System</t>
        </is>
      </c>
      <c r="I1439" s="3" t="inlineStr">
        <is>
          <t>Debhora Garcia</t>
        </is>
      </c>
      <c r="J1439" s="4" t="n">
        <v>46030.701157407406</v>
      </c>
      <c r="K1439" s="5" t="n">
        <v>46030.0</v>
      </c>
      <c r="L1439" s="5" t="n">
        <v>45748.0</v>
      </c>
      <c r="M1439" s="3" t="inlineStr">
        <is>
          <t>Approved</t>
        </is>
      </c>
      <c r="N1439" s="3" t="inlineStr">
        <is>
          <t>Study Close</t>
        </is>
      </c>
      <c r="O1439" s="3" t="inlineStr">
        <is>
          <t>42847922MDD3003</t>
        </is>
      </c>
    </row>
    <row r="1440">
      <c r="A1440" s="2" t="str">
        <f>HYPERLINK("https://vtmf.veevavault.com/ui/#doc_info/30804542/1/0", "42847922MDD3003---Team Meetings-01 Dec 2025 (v1.0)")</f>
        <v>42847922MDD3003---Team Meetings-01 Dec 2025 (v1.0)</v>
      </c>
      <c r="B1440" s="3" t="inlineStr">
        <is>
          <t>Trial Management</t>
        </is>
      </c>
      <c r="C1440" s="3" t="inlineStr">
        <is>
          <t>Meetings</t>
        </is>
      </c>
      <c r="D1440" s="3" t="inlineStr">
        <is>
          <t>Team Meetings</t>
        </is>
      </c>
      <c r="E1440" s="3" t="inlineStr">
        <is>
          <t>Data Quality Dashboard December 2025</t>
        </is>
      </c>
      <c r="F1440" s="2" t="str">
        <f>HYPERLINK("https://vtmf.veevavault.com/ui/#doc_info/30804542/1/0", "VTMF-24823673")</f>
        <v>VTMF-24823673</v>
      </c>
      <c r="G1440" s="3" t="inlineStr">
        <is>
          <t/>
        </is>
      </c>
      <c r="H1440" s="3" t="inlineStr">
        <is>
          <t>System</t>
        </is>
      </c>
      <c r="I1440" s="3" t="inlineStr">
        <is>
          <t>Debhora Garcia</t>
        </is>
      </c>
      <c r="J1440" s="4" t="n">
        <v>46041.70040509259</v>
      </c>
      <c r="K1440" s="5" t="n">
        <v>46041.0</v>
      </c>
      <c r="L1440" s="5" t="n">
        <v>45992.0</v>
      </c>
      <c r="M1440" s="3" t="inlineStr">
        <is>
          <t>Approved</t>
        </is>
      </c>
      <c r="N1440" s="3" t="inlineStr">
        <is>
          <t>Study Close</t>
        </is>
      </c>
      <c r="O1440" s="3" t="inlineStr">
        <is>
          <t>42847922MDD3003</t>
        </is>
      </c>
    </row>
    <row r="1441">
      <c r="A1441" s="2" t="str">
        <f>HYPERLINK("https://vtmf.veevavault.com/ui/#doc_info/31538714/1/0", "42847922MDD3003---Team Meetings-01 Jan 2026 (v1.0)")</f>
        <v>42847922MDD3003---Team Meetings-01 Jan 2026 (v1.0)</v>
      </c>
      <c r="B1441" s="3" t="inlineStr">
        <is>
          <t>Trial Management</t>
        </is>
      </c>
      <c r="C1441" s="3" t="inlineStr">
        <is>
          <t>Meetings</t>
        </is>
      </c>
      <c r="D1441" s="3" t="inlineStr">
        <is>
          <t>Team Meetings</t>
        </is>
      </c>
      <c r="E1441" s="3" t="inlineStr">
        <is>
          <t>Data Quality Dashboard January 2026</t>
        </is>
      </c>
      <c r="F1441" s="2" t="str">
        <f>HYPERLINK("https://vtmf.veevavault.com/ui/#doc_info/31538714/1/0", "VTMF-25451406")</f>
        <v>VTMF-25451406</v>
      </c>
      <c r="G1441" s="3" t="inlineStr">
        <is>
          <t/>
        </is>
      </c>
      <c r="H1441" s="3" t="inlineStr">
        <is>
          <t>System</t>
        </is>
      </c>
      <c r="I1441" s="3" t="inlineStr">
        <is>
          <t>Debhora Garcia</t>
        </is>
      </c>
      <c r="J1441" s="4" t="n">
        <v>46140.04446759259</v>
      </c>
      <c r="K1441" s="5" t="n">
        <v>46139.0</v>
      </c>
      <c r="L1441" s="5" t="n">
        <v>46023.0</v>
      </c>
      <c r="M1441" s="3" t="inlineStr">
        <is>
          <t>Approved</t>
        </is>
      </c>
      <c r="N1441" s="3" t="inlineStr">
        <is>
          <t>Study Close</t>
        </is>
      </c>
      <c r="O1441" s="3" t="inlineStr">
        <is>
          <t>42847922MDD3003</t>
        </is>
      </c>
    </row>
    <row r="1442">
      <c r="A1442" s="2" t="str">
        <f>HYPERLINK("https://vtmf.veevavault.com/ui/#doc_info/29485204/1/0", "42847922MDD3003---Team Meetings-01 Jul 2025 (v1.0)")</f>
        <v>42847922MDD3003---Team Meetings-01 Jul 2025 (v1.0)</v>
      </c>
      <c r="B1442" s="3" t="inlineStr">
        <is>
          <t>Trial Management</t>
        </is>
      </c>
      <c r="C1442" s="3" t="inlineStr">
        <is>
          <t>Meetings</t>
        </is>
      </c>
      <c r="D1442" s="3" t="inlineStr">
        <is>
          <t>Team Meetings</t>
        </is>
      </c>
      <c r="E1442" s="3" t="inlineStr">
        <is>
          <t>OARS_Moonlight_PSE connect_01Jul2025.pptx</t>
        </is>
      </c>
      <c r="F1442" s="2" t="str">
        <f>HYPERLINK("https://vtmf.veevavault.com/ui/#doc_info/29485204/1/0", "VTMF-23713017")</f>
        <v>VTMF-23713017</v>
      </c>
      <c r="G1442" s="3" t="inlineStr">
        <is>
          <t/>
        </is>
      </c>
      <c r="H1442" s="3" t="inlineStr">
        <is>
          <t>System</t>
        </is>
      </c>
      <c r="I1442" s="3" t="inlineStr">
        <is>
          <t>Astrid Lenaerts</t>
        </is>
      </c>
      <c r="J1442" s="4" t="n">
        <v>45840.69495370371</v>
      </c>
      <c r="K1442" s="5" t="n">
        <v>45840.0</v>
      </c>
      <c r="L1442" s="5" t="n">
        <v>45839.0</v>
      </c>
      <c r="M1442" s="3" t="inlineStr">
        <is>
          <t>Approved</t>
        </is>
      </c>
      <c r="N1442" s="3" t="inlineStr">
        <is>
          <t>Study Close</t>
        </is>
      </c>
      <c r="O1442" s="3" t="inlineStr">
        <is>
          <t>42847922MDD3003, 42847922MDD3011, 89495120MDD2001</t>
        </is>
      </c>
    </row>
    <row r="1443">
      <c r="A1443" s="2" t="str">
        <f>HYPERLINK("https://vtmf.veevavault.com/ui/#doc_info/30735761/1/0", "42847922MDD3003---Team Meetings-01 Jul 2025 (v1.0)")</f>
        <v>42847922MDD3003---Team Meetings-01 Jul 2025 (v1.0)</v>
      </c>
      <c r="B1443" s="3" t="inlineStr">
        <is>
          <t>Trial Management</t>
        </is>
      </c>
      <c r="C1443" s="3" t="inlineStr">
        <is>
          <t>Meetings</t>
        </is>
      </c>
      <c r="D1443" s="3" t="inlineStr">
        <is>
          <t>Team Meetings</t>
        </is>
      </c>
      <c r="E1443" s="3" t="inlineStr">
        <is>
          <t>Data Quality Dashboard July 2025</t>
        </is>
      </c>
      <c r="F1443" s="2" t="str">
        <f>HYPERLINK("https://vtmf.veevavault.com/ui/#doc_info/30735761/1/0", "VTMF-24765893")</f>
        <v>VTMF-24765893</v>
      </c>
      <c r="G1443" s="3" t="inlineStr">
        <is>
          <t/>
        </is>
      </c>
      <c r="H1443" s="3" t="inlineStr">
        <is>
          <t>Debhora Garcia</t>
        </is>
      </c>
      <c r="I1443" s="3" t="inlineStr">
        <is>
          <t>Debhora Garcia</t>
        </is>
      </c>
      <c r="J1443" s="4" t="n">
        <v>46029.91662037037</v>
      </c>
      <c r="K1443" s="5" t="n">
        <v>46029.0</v>
      </c>
      <c r="L1443" s="5" t="n">
        <v>45839.0</v>
      </c>
      <c r="M1443" s="3" t="inlineStr">
        <is>
          <t>Approved</t>
        </is>
      </c>
      <c r="N1443" s="3" t="inlineStr">
        <is>
          <t>Study Close</t>
        </is>
      </c>
      <c r="O1443" s="3" t="inlineStr">
        <is>
          <t>42847922MDD3003</t>
        </is>
      </c>
    </row>
    <row r="1444">
      <c r="A1444" s="2" t="str">
        <f>HYPERLINK("https://vtmf.veevavault.com/ui/#doc_info/31883160/1/0", "42847922MDD3003---Team Meetings-01 May 2026 (v1.0)")</f>
        <v>42847922MDD3003---Team Meetings-01 May 2026 (v1.0)</v>
      </c>
      <c r="B1444" s="3" t="inlineStr">
        <is>
          <t>Trial Management</t>
        </is>
      </c>
      <c r="C1444" s="3" t="inlineStr">
        <is>
          <t>Meetings</t>
        </is>
      </c>
      <c r="D1444" s="3" t="inlineStr">
        <is>
          <t>Team Meetings</t>
        </is>
      </c>
      <c r="E1444" s="3" t="inlineStr">
        <is>
          <t>Data Quality Dashboard May 2026</t>
        </is>
      </c>
      <c r="F1444" s="2" t="str">
        <f>HYPERLINK("https://vtmf.veevavault.com/ui/#doc_info/31883160/1/0", "VTMF-25739904")</f>
        <v>VTMF-25739904</v>
      </c>
      <c r="G1444" s="3" t="inlineStr">
        <is>
          <t/>
        </is>
      </c>
      <c r="H1444" s="3" t="inlineStr">
        <is>
          <t>System</t>
        </is>
      </c>
      <c r="I1444" s="3" t="inlineStr">
        <is>
          <t>Debhora Garcia</t>
        </is>
      </c>
      <c r="J1444" s="4" t="n">
        <v>46189.257581018515</v>
      </c>
      <c r="K1444" s="5" t="n">
        <v>46189.0</v>
      </c>
      <c r="L1444" s="5" t="n">
        <v>46143.0</v>
      </c>
      <c r="M1444" s="3" t="inlineStr">
        <is>
          <t>Approved</t>
        </is>
      </c>
      <c r="N1444" s="3" t="inlineStr">
        <is>
          <t>Study Close</t>
        </is>
      </c>
      <c r="O1444" s="3" t="inlineStr">
        <is>
          <t>42847922MDD3003</t>
        </is>
      </c>
    </row>
    <row r="1445">
      <c r="A1445" s="2" t="str">
        <f>HYPERLINK("https://vtmf.veevavault.com/ui/#doc_info/30735641/1/0", "42847922MDD3003---Team Meetings-01 Sep 2025 (v1.0)")</f>
        <v>42847922MDD3003---Team Meetings-01 Sep 2025 (v1.0)</v>
      </c>
      <c r="B1445" s="3" t="inlineStr">
        <is>
          <t>Trial Management</t>
        </is>
      </c>
      <c r="C1445" s="3" t="inlineStr">
        <is>
          <t>Meetings</t>
        </is>
      </c>
      <c r="D1445" s="3" t="inlineStr">
        <is>
          <t>Team Meetings</t>
        </is>
      </c>
      <c r="E1445" s="3" t="inlineStr">
        <is>
          <t>Data Quality Dashboard September 2025</t>
        </is>
      </c>
      <c r="F1445" s="2" t="str">
        <f>HYPERLINK("https://vtmf.veevavault.com/ui/#doc_info/30735641/1/0", "VTMF-24765872")</f>
        <v>VTMF-24765872</v>
      </c>
      <c r="G1445" s="3" t="inlineStr">
        <is>
          <t/>
        </is>
      </c>
      <c r="H1445" s="3" t="inlineStr">
        <is>
          <t>Debhora Garcia</t>
        </is>
      </c>
      <c r="I1445" s="3" t="inlineStr">
        <is>
          <t>Debhora Garcia</t>
        </is>
      </c>
      <c r="J1445" s="4" t="n">
        <v>46029.90939814815</v>
      </c>
      <c r="K1445" s="5" t="n">
        <v>46029.0</v>
      </c>
      <c r="L1445" s="5" t="n">
        <v>45901.0</v>
      </c>
      <c r="M1445" s="3" t="inlineStr">
        <is>
          <t>Approved</t>
        </is>
      </c>
      <c r="N1445" s="3" t="inlineStr">
        <is>
          <t>Study Close</t>
        </is>
      </c>
      <c r="O1445" s="3" t="inlineStr">
        <is>
          <t>42847922MDD3003</t>
        </is>
      </c>
    </row>
    <row r="1446">
      <c r="A1446" s="2" t="str">
        <f>HYPERLINK("https://vtmf.veevavault.com/ui/#doc_info/24646762/1/0", "42847922MDD3003---Team Meetings-02 Aug 2023 (v1.0)")</f>
        <v>42847922MDD3003---Team Meetings-02 Aug 2023 (v1.0)</v>
      </c>
      <c r="B1446" s="3" t="inlineStr">
        <is>
          <t>Trial Management</t>
        </is>
      </c>
      <c r="C1446" s="3" t="inlineStr">
        <is>
          <t>Meetings</t>
        </is>
      </c>
      <c r="D1446" s="3" t="inlineStr">
        <is>
          <t>Team Meetings</t>
        </is>
      </c>
      <c r="E1446" s="3" t="inlineStr">
        <is>
          <t>CFTT Meeting Minutes</t>
        </is>
      </c>
      <c r="F1446" s="2" t="str">
        <f>HYPERLINK("https://vtmf.veevavault.com/ui/#doc_info/24646762/1/0", "VTMF-19592773")</f>
        <v>VTMF-19592773</v>
      </c>
      <c r="G1446" s="3" t="inlineStr">
        <is>
          <t/>
        </is>
      </c>
      <c r="H1446" s="3" t="inlineStr">
        <is>
          <t>Gina Stefanelli</t>
        </is>
      </c>
      <c r="I1446" s="3" t="inlineStr">
        <is>
          <t>Debhora Garcia</t>
        </is>
      </c>
      <c r="J1446" s="4" t="n">
        <v>45155.72638888889</v>
      </c>
      <c r="K1446" s="5" t="n">
        <v>45155.0</v>
      </c>
      <c r="L1446" s="5" t="n">
        <v>45140.0</v>
      </c>
      <c r="M1446" s="3" t="inlineStr">
        <is>
          <t>Approved</t>
        </is>
      </c>
      <c r="N1446" s="3" t="inlineStr">
        <is>
          <t>Study Close</t>
        </is>
      </c>
      <c r="O1446" s="3" t="inlineStr">
        <is>
          <t>42847922MDD3003</t>
        </is>
      </c>
    </row>
    <row r="1447">
      <c r="A1447" s="2" t="str">
        <f>HYPERLINK("https://vtmf.veevavault.com/ui/#doc_info/29487496/1/0", "42847922MDD3003---Team Meetings-02 Jul 2025 (v1.0)")</f>
        <v>42847922MDD3003---Team Meetings-02 Jul 2025 (v1.0)</v>
      </c>
      <c r="B1447" s="3" t="inlineStr">
        <is>
          <t>Trial Management</t>
        </is>
      </c>
      <c r="C1447" s="3" t="inlineStr">
        <is>
          <t>Meetings</t>
        </is>
      </c>
      <c r="D1447" s="3" t="inlineStr">
        <is>
          <t>Team Meetings</t>
        </is>
      </c>
      <c r="E1447" s="3" t="inlineStr">
        <is>
          <t>CFTT meeting minutes</t>
        </is>
      </c>
      <c r="F1447" s="2" t="str">
        <f>HYPERLINK("https://vtmf.veevavault.com/ui/#doc_info/29487496/1/0", "VTMF-23715067")</f>
        <v>VTMF-23715067</v>
      </c>
      <c r="G1447" s="3" t="inlineStr">
        <is>
          <t/>
        </is>
      </c>
      <c r="H1447" s="3" t="inlineStr">
        <is>
          <t>Anthony Suarez (veeva.com)</t>
        </is>
      </c>
      <c r="I1447" s="3" t="inlineStr">
        <is>
          <t>Debhora Garcia</t>
        </is>
      </c>
      <c r="J1447" s="4" t="n">
        <v>45840.99837962963</v>
      </c>
      <c r="K1447" s="5" t="n">
        <v>45840.0</v>
      </c>
      <c r="L1447" s="5" t="n">
        <v>45840.0</v>
      </c>
      <c r="M1447" s="3" t="inlineStr">
        <is>
          <t>Approved</t>
        </is>
      </c>
      <c r="N1447" s="3" t="inlineStr">
        <is>
          <t>Study Close</t>
        </is>
      </c>
      <c r="O1447" s="3" t="inlineStr">
        <is>
          <t>42847922MDD3003</t>
        </is>
      </c>
    </row>
    <row r="1448">
      <c r="A1448" s="2" t="str">
        <f>HYPERLINK("https://vtmf.veevavault.com/ui/#doc_info/29246307/1/0", "42847922MDD3003---Team Meetings-02 Jun 2025 (v1.0)")</f>
        <v>42847922MDD3003---Team Meetings-02 Jun 2025 (v1.0)</v>
      </c>
      <c r="B1448" s="3" t="inlineStr">
        <is>
          <t>Trial Management</t>
        </is>
      </c>
      <c r="C1448" s="3" t="inlineStr">
        <is>
          <t>Meetings</t>
        </is>
      </c>
      <c r="D1448" s="3" t="inlineStr">
        <is>
          <t>Team Meetings</t>
        </is>
      </c>
      <c r="E1448" s="3" t="inlineStr">
        <is>
          <t>OARS_Moonlight_PSE connect_02Jun2025</t>
        </is>
      </c>
      <c r="F1448" s="2" t="str">
        <f>HYPERLINK("https://vtmf.veevavault.com/ui/#doc_info/29246307/1/0", "VTMF-23507962")</f>
        <v>VTMF-23507962</v>
      </c>
      <c r="G1448" s="3" t="inlineStr">
        <is>
          <t/>
        </is>
      </c>
      <c r="H1448" s="3" t="inlineStr">
        <is>
          <t>System</t>
        </is>
      </c>
      <c r="I1448" s="3" t="inlineStr">
        <is>
          <t>Astrid Lenaerts</t>
        </is>
      </c>
      <c r="J1448" s="4" t="n">
        <v>45810.72577546296</v>
      </c>
      <c r="K1448" s="5" t="n">
        <v>45810.0</v>
      </c>
      <c r="L1448" s="5" t="n">
        <v>45810.0</v>
      </c>
      <c r="M1448" s="3" t="inlineStr">
        <is>
          <t>Approved</t>
        </is>
      </c>
      <c r="N1448" s="3" t="inlineStr">
        <is>
          <t>Study Close</t>
        </is>
      </c>
      <c r="O1448" s="3" t="inlineStr">
        <is>
          <t>42847922MDD3003, 42847922MDD3011, 89495120MDD2001</t>
        </is>
      </c>
    </row>
    <row r="1449">
      <c r="A1449" s="2" t="str">
        <f>HYPERLINK("https://vtmf.veevavault.com/ui/#doc_info/29319016/1/0", "42847922MDD3003---Team Meetings-02 Jun 2025 (v1.0)")</f>
        <v>42847922MDD3003---Team Meetings-02 Jun 2025 (v1.0)</v>
      </c>
      <c r="B1449" s="3" t="inlineStr">
        <is>
          <t>Trial Management</t>
        </is>
      </c>
      <c r="C1449" s="3" t="inlineStr">
        <is>
          <t>Meetings</t>
        </is>
      </c>
      <c r="D1449" s="3" t="inlineStr">
        <is>
          <t>Team Meetings</t>
        </is>
      </c>
      <c r="E1449" s="3" t="inlineStr">
        <is>
          <t>PDIE Meeting Minutes</t>
        </is>
      </c>
      <c r="F1449" s="2" t="str">
        <f>HYPERLINK("https://vtmf.veevavault.com/ui/#doc_info/29319016/1/0", "VTMF-23567988")</f>
        <v>VTMF-23567988</v>
      </c>
      <c r="G1449" s="3" t="inlineStr">
        <is>
          <t/>
        </is>
      </c>
      <c r="H1449" s="3" t="inlineStr">
        <is>
          <t>Gina Stefanelli</t>
        </is>
      </c>
      <c r="I1449" s="3" t="inlineStr">
        <is>
          <t>Gina Stefanelli</t>
        </is>
      </c>
      <c r="J1449" s="4" t="n">
        <v>45817.92773148148</v>
      </c>
      <c r="K1449" s="5" t="n">
        <v>45817.0</v>
      </c>
      <c r="L1449" s="5" t="n">
        <v>45810.0</v>
      </c>
      <c r="M1449" s="3" t="inlineStr">
        <is>
          <t>Approved</t>
        </is>
      </c>
      <c r="N1449" s="3" t="inlineStr">
        <is>
          <t>Study Close</t>
        </is>
      </c>
      <c r="O1449" s="3" t="inlineStr">
        <is>
          <t>42847922MDD3003</t>
        </is>
      </c>
    </row>
    <row r="1450">
      <c r="A1450" s="2" t="str">
        <f>HYPERLINK("https://vtmf.veevavault.com/ui/#doc_info/30742024/1/0", "42847922MDD3003---Team Meetings-02 Jun 2025 (v1.0)")</f>
        <v>42847922MDD3003---Team Meetings-02 Jun 2025 (v1.0)</v>
      </c>
      <c r="B1450" s="3" t="inlineStr">
        <is>
          <t>Trial Management</t>
        </is>
      </c>
      <c r="C1450" s="3" t="inlineStr">
        <is>
          <t>Meetings</t>
        </is>
      </c>
      <c r="D1450" s="3" t="inlineStr">
        <is>
          <t>Team Meetings</t>
        </is>
      </c>
      <c r="E1450" s="3" t="inlineStr">
        <is>
          <t>Data Quality Dashboard June 2025</t>
        </is>
      </c>
      <c r="F1450" s="2" t="str">
        <f>HYPERLINK("https://vtmf.veevavault.com/ui/#doc_info/30742024/1/0", "VTMF-24770960")</f>
        <v>VTMF-24770960</v>
      </c>
      <c r="G1450" s="3" t="inlineStr">
        <is>
          <t/>
        </is>
      </c>
      <c r="H1450" s="3" t="inlineStr">
        <is>
          <t>System</t>
        </is>
      </c>
      <c r="I1450" s="3" t="inlineStr">
        <is>
          <t>Debhora Garcia</t>
        </is>
      </c>
      <c r="J1450" s="4" t="n">
        <v>46030.6987037037</v>
      </c>
      <c r="K1450" s="5" t="n">
        <v>46030.0</v>
      </c>
      <c r="L1450" s="5" t="n">
        <v>45810.0</v>
      </c>
      <c r="M1450" s="3" t="inlineStr">
        <is>
          <t>Approved</t>
        </is>
      </c>
      <c r="N1450" s="3" t="inlineStr">
        <is>
          <t>Study Close</t>
        </is>
      </c>
      <c r="O1450" s="3" t="inlineStr">
        <is>
          <t>42847922MDD3003</t>
        </is>
      </c>
    </row>
    <row r="1451">
      <c r="A1451" s="2" t="str">
        <f>HYPERLINK("https://vtmf.veevavault.com/ui/#doc_info/31808724/1/0", "42847922MDD3003---Team Meetings-02 Jun 2026 (v1.0)")</f>
        <v>42847922MDD3003---Team Meetings-02 Jun 2026 (v1.0)</v>
      </c>
      <c r="B1451" s="3" t="inlineStr">
        <is>
          <t>Trial Management</t>
        </is>
      </c>
      <c r="C1451" s="3" t="inlineStr">
        <is>
          <t>Meetings</t>
        </is>
      </c>
      <c r="D1451" s="3" t="inlineStr">
        <is>
          <t>Team Meetings</t>
        </is>
      </c>
      <c r="E1451" s="3" t="inlineStr">
        <is>
          <t>SMT Meeting minutes</t>
        </is>
      </c>
      <c r="F1451" s="2" t="str">
        <f>HYPERLINK("https://vtmf.veevavault.com/ui/#doc_info/31808724/1/0", "VTMF-25676536")</f>
        <v>VTMF-25676536</v>
      </c>
      <c r="G1451" s="3" t="inlineStr">
        <is>
          <t/>
        </is>
      </c>
      <c r="H1451" s="3" t="inlineStr">
        <is>
          <t>System</t>
        </is>
      </c>
      <c r="I1451" s="3" t="inlineStr">
        <is>
          <t>Debhora Garcia</t>
        </is>
      </c>
      <c r="J1451" s="4" t="n">
        <v>46176.773506944446</v>
      </c>
      <c r="K1451" s="5" t="n">
        <v>46176.0</v>
      </c>
      <c r="L1451" s="5" t="n">
        <v>46175.0</v>
      </c>
      <c r="M1451" s="3" t="inlineStr">
        <is>
          <t>Approved</t>
        </is>
      </c>
      <c r="N1451" s="3" t="inlineStr">
        <is>
          <t>Study Close</t>
        </is>
      </c>
      <c r="O1451" s="3" t="inlineStr">
        <is>
          <t>42847922MDD3003</t>
        </is>
      </c>
    </row>
    <row r="1452">
      <c r="A1452" s="2" t="str">
        <f>HYPERLINK("https://vtmf.veevavault.com/ui/#doc_info/31538810/1/0", "42847922MDD3003---Team Meetings-02 Mar 2026 (v1.0)")</f>
        <v>42847922MDD3003---Team Meetings-02 Mar 2026 (v1.0)</v>
      </c>
      <c r="B1452" s="3" t="inlineStr">
        <is>
          <t>Trial Management</t>
        </is>
      </c>
      <c r="C1452" s="3" t="inlineStr">
        <is>
          <t>Meetings</t>
        </is>
      </c>
      <c r="D1452" s="3" t="inlineStr">
        <is>
          <t>Team Meetings</t>
        </is>
      </c>
      <c r="E1452" s="3" t="inlineStr">
        <is>
          <t>Data Quality Dashboard March 2026</t>
        </is>
      </c>
      <c r="F1452" s="2" t="str">
        <f>HYPERLINK("https://vtmf.veevavault.com/ui/#doc_info/31538810/1/0", "VTMF-25451416")</f>
        <v>VTMF-25451416</v>
      </c>
      <c r="G1452" s="3" t="inlineStr">
        <is>
          <t/>
        </is>
      </c>
      <c r="H1452" s="3" t="inlineStr">
        <is>
          <t>System</t>
        </is>
      </c>
      <c r="I1452" s="3" t="inlineStr">
        <is>
          <t>Debhora Garcia</t>
        </is>
      </c>
      <c r="J1452" s="4" t="n">
        <v>46140.04770833333</v>
      </c>
      <c r="K1452" s="5" t="n">
        <v>46139.0</v>
      </c>
      <c r="L1452" s="5" t="n">
        <v>46083.0</v>
      </c>
      <c r="M1452" s="3" t="inlineStr">
        <is>
          <t>Approved</t>
        </is>
      </c>
      <c r="N1452" s="3" t="inlineStr">
        <is>
          <t>Study Close</t>
        </is>
      </c>
      <c r="O1452" s="3" t="inlineStr">
        <is>
          <t>42847922MDD3003</t>
        </is>
      </c>
    </row>
    <row r="1453">
      <c r="A1453" s="2" t="str">
        <f>HYPERLINK("https://vtmf.veevavault.com/ui/#doc_info/31791987/1/0", "42847922MDD3003---Team Meetings-03 Apr 2026 (v1.0)")</f>
        <v>42847922MDD3003---Team Meetings-03 Apr 2026 (v1.0)</v>
      </c>
      <c r="B1453" s="3" t="inlineStr">
        <is>
          <t>Trial Management</t>
        </is>
      </c>
      <c r="C1453" s="3" t="inlineStr">
        <is>
          <t>Meetings</t>
        </is>
      </c>
      <c r="D1453" s="3" t="inlineStr">
        <is>
          <t>Team Meetings</t>
        </is>
      </c>
      <c r="E1453" s="3" t="inlineStr">
        <is>
          <t>Site review discussion - sites for discussion - meeting minutes</t>
        </is>
      </c>
      <c r="F1453" s="2" t="str">
        <f>HYPERLINK("https://vtmf.veevavault.com/ui/#doc_info/31791987/1/0", "VTMF-25662491")</f>
        <v>VTMF-25662491</v>
      </c>
      <c r="G1453" s="3" t="inlineStr">
        <is>
          <t/>
        </is>
      </c>
      <c r="H1453" s="3" t="inlineStr">
        <is>
          <t>System</t>
        </is>
      </c>
      <c r="I1453" s="3" t="inlineStr">
        <is>
          <t>Debhora Garcia</t>
        </is>
      </c>
      <c r="J1453" s="4" t="n">
        <v>46175.00818287037</v>
      </c>
      <c r="K1453" s="5" t="n">
        <v>46174.0</v>
      </c>
      <c r="L1453" s="5" t="n">
        <v>46115.0</v>
      </c>
      <c r="M1453" s="3" t="inlineStr">
        <is>
          <t>Approved</t>
        </is>
      </c>
      <c r="N1453" s="3" t="inlineStr">
        <is>
          <t>Study Close</t>
        </is>
      </c>
      <c r="O1453" s="3" t="inlineStr">
        <is>
          <t>42847922MDD3003</t>
        </is>
      </c>
    </row>
    <row r="1454">
      <c r="A1454" s="2" t="str">
        <f>HYPERLINK("https://vtmf.veevavault.com/ui/#doc_info/27802752/1/0", "42847922MDD3003---Team Meetings-03 Dec 2024 (v1.0)")</f>
        <v>42847922MDD3003---Team Meetings-03 Dec 2024 (v1.0)</v>
      </c>
      <c r="B1454" s="3" t="inlineStr">
        <is>
          <t>Trial Management</t>
        </is>
      </c>
      <c r="C1454" s="3" t="inlineStr">
        <is>
          <t>Meetings</t>
        </is>
      </c>
      <c r="D1454" s="3" t="inlineStr">
        <is>
          <t>Team Meetings</t>
        </is>
      </c>
      <c r="E1454" s="3" t="inlineStr">
        <is>
          <t>SMT Meeting minutes</t>
        </is>
      </c>
      <c r="F1454" s="2" t="str">
        <f>HYPERLINK("https://vtmf.veevavault.com/ui/#doc_info/27802752/1/0", "VTMF-22291818")</f>
        <v>VTMF-22291818</v>
      </c>
      <c r="G1454" s="3" t="inlineStr">
        <is>
          <t/>
        </is>
      </c>
      <c r="H1454" s="3" t="inlineStr">
        <is>
          <t>Anthony Suarez (veeva.com)</t>
        </is>
      </c>
      <c r="I1454" s="3" t="inlineStr">
        <is>
          <t>Debhora Garcia</t>
        </is>
      </c>
      <c r="J1454" s="4" t="n">
        <v>45630.74796296296</v>
      </c>
      <c r="K1454" s="5" t="n">
        <v>45630.0</v>
      </c>
      <c r="L1454" s="5" t="n">
        <v>45629.0</v>
      </c>
      <c r="M1454" s="3" t="inlineStr">
        <is>
          <t>Approved</t>
        </is>
      </c>
      <c r="N1454" s="3" t="inlineStr">
        <is>
          <t>Study Close</t>
        </is>
      </c>
      <c r="O1454" s="3" t="inlineStr">
        <is>
          <t>42847922MDD3003</t>
        </is>
      </c>
    </row>
    <row r="1455">
      <c r="A1455" s="2" t="str">
        <f>HYPERLINK("https://vtmf.veevavault.com/ui/#doc_info/30548355/1/0", "42847922MDD3003---Team Meetings-03 Dec 2025 (v1.0)")</f>
        <v>42847922MDD3003---Team Meetings-03 Dec 2025 (v1.0)</v>
      </c>
      <c r="B1455" s="3" t="inlineStr">
        <is>
          <t>Trial Management</t>
        </is>
      </c>
      <c r="C1455" s="3" t="inlineStr">
        <is>
          <t>Meetings</t>
        </is>
      </c>
      <c r="D1455" s="3" t="inlineStr">
        <is>
          <t>Team Meetings</t>
        </is>
      </c>
      <c r="E1455" s="3" t="inlineStr">
        <is>
          <t>CFTT Meeting minutes</t>
        </is>
      </c>
      <c r="F1455" s="2" t="str">
        <f>HYPERLINK("https://vtmf.veevavault.com/ui/#doc_info/30548355/1/0", "VTMF-24611870")</f>
        <v>VTMF-24611870</v>
      </c>
      <c r="G1455" s="3" t="inlineStr">
        <is>
          <t/>
        </is>
      </c>
      <c r="H1455" s="3" t="inlineStr">
        <is>
          <t>System</t>
        </is>
      </c>
      <c r="I1455" s="3" t="inlineStr">
        <is>
          <t>Debhora Garcia</t>
        </is>
      </c>
      <c r="J1455" s="4" t="n">
        <v>45996.78611111111</v>
      </c>
      <c r="K1455" s="5" t="n">
        <v>45996.0</v>
      </c>
      <c r="L1455" s="5" t="n">
        <v>45994.0</v>
      </c>
      <c r="M1455" s="3" t="inlineStr">
        <is>
          <t>Approved</t>
        </is>
      </c>
      <c r="N1455" s="3" t="inlineStr">
        <is>
          <t>Study Close</t>
        </is>
      </c>
      <c r="O1455" s="3" t="inlineStr">
        <is>
          <t>42847922MDD3003, 42847922MDD3014</t>
        </is>
      </c>
    </row>
    <row r="1456">
      <c r="A1456" s="2" t="str">
        <f>HYPERLINK("https://vtmf.veevavault.com/ui/#doc_info/25453715/1/0", "42847922MDD3003---Team Meetings-03 Jan 2024 (v1.0)")</f>
        <v>42847922MDD3003---Team Meetings-03 Jan 2024 (v1.0)</v>
      </c>
      <c r="B1456" s="3" t="inlineStr">
        <is>
          <t>Trial Management</t>
        </is>
      </c>
      <c r="C1456" s="3" t="inlineStr">
        <is>
          <t>Meetings</t>
        </is>
      </c>
      <c r="D1456" s="3" t="inlineStr">
        <is>
          <t>Team Meetings</t>
        </is>
      </c>
      <c r="E1456" s="3" t="inlineStr">
        <is>
          <t>CFTT Meeting Minutes</t>
        </is>
      </c>
      <c r="F1456" s="2" t="str">
        <f>HYPERLINK("https://vtmf.veevavault.com/ui/#doc_info/25453715/1/0", "VTMF-20299673")</f>
        <v>VTMF-20299673</v>
      </c>
      <c r="G1456" s="3" t="inlineStr">
        <is>
          <t/>
        </is>
      </c>
      <c r="H1456" s="3" t="inlineStr">
        <is>
          <t>Gina Stefanelli</t>
        </is>
      </c>
      <c r="I1456" s="3" t="inlineStr">
        <is>
          <t>Jamie Hardy</t>
        </is>
      </c>
      <c r="J1456" s="4" t="n">
        <v>45296.64512731481</v>
      </c>
      <c r="K1456" s="5" t="n">
        <v>45296.0</v>
      </c>
      <c r="L1456" s="5" t="n">
        <v>45294.0</v>
      </c>
      <c r="M1456" s="3" t="inlineStr">
        <is>
          <t>Approved</t>
        </is>
      </c>
      <c r="N1456" s="3" t="inlineStr">
        <is>
          <t>Study Close</t>
        </is>
      </c>
      <c r="O1456" s="3" t="inlineStr">
        <is>
          <t>42847922MDD3003</t>
        </is>
      </c>
    </row>
    <row r="1457">
      <c r="A1457" s="2" t="str">
        <f>HYPERLINK("https://vtmf.veevavault.com/ui/#doc_info/26669069/1/0", "42847922MDD3003---Team Meetings-03 Jul 2024 (v1.0)")</f>
        <v>42847922MDD3003---Team Meetings-03 Jul 2024 (v1.0)</v>
      </c>
      <c r="B1457" s="3" t="inlineStr">
        <is>
          <t>Trial Management</t>
        </is>
      </c>
      <c r="C1457" s="3" t="inlineStr">
        <is>
          <t>Meetings</t>
        </is>
      </c>
      <c r="D1457" s="3" t="inlineStr">
        <is>
          <t>Team Meetings</t>
        </is>
      </c>
      <c r="E1457" s="3" t="inlineStr">
        <is>
          <t>CFTT Meeting Minutes</t>
        </is>
      </c>
      <c r="F1457" s="2" t="str">
        <f>HYPERLINK("https://vtmf.veevavault.com/ui/#doc_info/26669069/1/0", "VTMF-21365654")</f>
        <v>VTMF-21365654</v>
      </c>
      <c r="G1457" s="3" t="inlineStr">
        <is>
          <t/>
        </is>
      </c>
      <c r="H1457" s="3" t="inlineStr">
        <is>
          <t>Gina Stefanelli</t>
        </is>
      </c>
      <c r="I1457" s="3" t="inlineStr">
        <is>
          <t>Debhora Garcia</t>
        </is>
      </c>
      <c r="J1457" s="4" t="n">
        <v>45481.70505787037</v>
      </c>
      <c r="K1457" s="5" t="n">
        <v>45481.0</v>
      </c>
      <c r="L1457" s="5" t="n">
        <v>45476.0</v>
      </c>
      <c r="M1457" s="3" t="inlineStr">
        <is>
          <t>Approved</t>
        </is>
      </c>
      <c r="N1457" s="3" t="inlineStr">
        <is>
          <t>Study Close</t>
        </is>
      </c>
      <c r="O1457" s="3" t="inlineStr">
        <is>
          <t>42847922MDD3003</t>
        </is>
      </c>
    </row>
    <row r="1458">
      <c r="A1458" s="2" t="str">
        <f>HYPERLINK("https://vtmf.veevavault.com/ui/#doc_info/29507133/1/0", "42847922MDD3003---Team Meetings-03 Jul 2025 (v1.0)")</f>
        <v>42847922MDD3003---Team Meetings-03 Jul 2025 (v1.0)</v>
      </c>
      <c r="B1458" s="3" t="inlineStr">
        <is>
          <t>Trial Management</t>
        </is>
      </c>
      <c r="C1458" s="3" t="inlineStr">
        <is>
          <t>Meetings</t>
        </is>
      </c>
      <c r="D1458" s="3" t="inlineStr">
        <is>
          <t>Team Meetings</t>
        </is>
      </c>
      <c r="E1458" s="3" t="inlineStr">
        <is>
          <t>POL-LTM TDM call</t>
        </is>
      </c>
      <c r="F1458" s="2" t="str">
        <f>HYPERLINK("https://vtmf.veevavault.com/ui/#doc_info/29507133/1/0", "VTMF-23731669")</f>
        <v>VTMF-23731669</v>
      </c>
      <c r="G1458" s="3" t="inlineStr">
        <is>
          <t/>
        </is>
      </c>
      <c r="H1458" s="3" t="inlineStr">
        <is>
          <t>Anthony Suarez (veeva.com)</t>
        </is>
      </c>
      <c r="I1458" s="3" t="inlineStr">
        <is>
          <t>Gina Stefanelli</t>
        </is>
      </c>
      <c r="J1458" s="4" t="n">
        <v>45845.64695601852</v>
      </c>
      <c r="K1458" s="5" t="n">
        <v>45845.0</v>
      </c>
      <c r="L1458" s="5" t="n">
        <v>45841.0</v>
      </c>
      <c r="M1458" s="3" t="inlineStr">
        <is>
          <t>Approved</t>
        </is>
      </c>
      <c r="N1458" s="3" t="inlineStr">
        <is>
          <t>Study Close</t>
        </is>
      </c>
      <c r="O1458" s="3" t="inlineStr">
        <is>
          <t>42847922MDD3003</t>
        </is>
      </c>
    </row>
    <row r="1459">
      <c r="A1459" s="2" t="str">
        <f>HYPERLINK("https://vtmf.veevavault.com/ui/#doc_info/31818328/1/0", "42847922MDD3003---Team Meetings-03 Jun 2026 (v1.0)")</f>
        <v>42847922MDD3003---Team Meetings-03 Jun 2026 (v1.0)</v>
      </c>
      <c r="B1459" s="3" t="inlineStr">
        <is>
          <t>Trial Management</t>
        </is>
      </c>
      <c r="C1459" s="3" t="inlineStr">
        <is>
          <t>Meetings</t>
        </is>
      </c>
      <c r="D1459" s="3" t="inlineStr">
        <is>
          <t>Team Meetings</t>
        </is>
      </c>
      <c r="E1459" s="3" t="inlineStr">
        <is>
          <t>CFTT Meeting minutes</t>
        </is>
      </c>
      <c r="F1459" s="2" t="str">
        <f>HYPERLINK("https://vtmf.veevavault.com/ui/#doc_info/31818328/1/0", "VTMF-25684513")</f>
        <v>VTMF-25684513</v>
      </c>
      <c r="G1459" s="3" t="inlineStr">
        <is>
          <t/>
        </is>
      </c>
      <c r="H1459" s="3" t="inlineStr">
        <is>
          <t>System</t>
        </is>
      </c>
      <c r="I1459" s="3" t="inlineStr">
        <is>
          <t>Debhora Garcia</t>
        </is>
      </c>
      <c r="J1459" s="4" t="n">
        <v>46177.815787037034</v>
      </c>
      <c r="K1459" s="5" t="n">
        <v>46177.0</v>
      </c>
      <c r="L1459" s="5" t="n">
        <v>46176.0</v>
      </c>
      <c r="M1459" s="3" t="inlineStr">
        <is>
          <t>Approved</t>
        </is>
      </c>
      <c r="N1459" s="3" t="inlineStr">
        <is>
          <t>Study Close</t>
        </is>
      </c>
      <c r="O1459" s="3" t="inlineStr">
        <is>
          <t>42847922MDD3003, 42847922MDD3014</t>
        </is>
      </c>
    </row>
    <row r="1460">
      <c r="A1460" s="2" t="str">
        <f>HYPERLINK("https://vtmf.veevavault.com/ui/#doc_info/30735427/1/0", "42847922MDD3003---Team Meetings-03 Nov 2025 (v1.0)")</f>
        <v>42847922MDD3003---Team Meetings-03 Nov 2025 (v1.0)</v>
      </c>
      <c r="B1460" s="3" t="inlineStr">
        <is>
          <t>Trial Management</t>
        </is>
      </c>
      <c r="C1460" s="3" t="inlineStr">
        <is>
          <t>Meetings</t>
        </is>
      </c>
      <c r="D1460" s="3" t="inlineStr">
        <is>
          <t>Team Meetings</t>
        </is>
      </c>
      <c r="E1460" s="3" t="inlineStr">
        <is>
          <t>Data Quality Dashboard November 2025</t>
        </is>
      </c>
      <c r="F1460" s="2" t="str">
        <f>HYPERLINK("https://vtmf.veevavault.com/ui/#doc_info/30735427/1/0", "VTMF-24765589")</f>
        <v>VTMF-24765589</v>
      </c>
      <c r="G1460" s="3" t="inlineStr">
        <is>
          <t/>
        </is>
      </c>
      <c r="H1460" s="3" t="inlineStr">
        <is>
          <t>Debhora Garcia</t>
        </is>
      </c>
      <c r="I1460" s="3" t="inlineStr">
        <is>
          <t>Debhora Garcia</t>
        </is>
      </c>
      <c r="J1460" s="4" t="n">
        <v>46029.868159722224</v>
      </c>
      <c r="K1460" s="5" t="n">
        <v>46029.0</v>
      </c>
      <c r="L1460" s="5" t="n">
        <v>45964.0</v>
      </c>
      <c r="M1460" s="3" t="inlineStr">
        <is>
          <t>Approved</t>
        </is>
      </c>
      <c r="N1460" s="3" t="inlineStr">
        <is>
          <t>Study Close</t>
        </is>
      </c>
      <c r="O1460" s="3" t="inlineStr">
        <is>
          <t>42847922MDD3003</t>
        </is>
      </c>
    </row>
    <row r="1461">
      <c r="A1461" s="2" t="str">
        <f>HYPERLINK("https://vtmf.veevavault.com/ui/#doc_info/29892281/1/0", "42847922MDD3003---Team Meetings-03 Sep 2025 (v1.0)")</f>
        <v>42847922MDD3003---Team Meetings-03 Sep 2025 (v1.0)</v>
      </c>
      <c r="B1461" s="3" t="inlineStr">
        <is>
          <t>Trial Management</t>
        </is>
      </c>
      <c r="C1461" s="3" t="inlineStr">
        <is>
          <t>Meetings</t>
        </is>
      </c>
      <c r="D1461" s="3" t="inlineStr">
        <is>
          <t>Team Meetings</t>
        </is>
      </c>
      <c r="E1461" s="3" t="inlineStr">
        <is>
          <t>Romania Recruitment Performance</t>
        </is>
      </c>
      <c r="F1461" s="2" t="str">
        <f>HYPERLINK("https://vtmf.veevavault.com/ui/#doc_info/29892281/1/0", "VTMF-24061239")</f>
        <v>VTMF-24061239</v>
      </c>
      <c r="G1461" s="3" t="inlineStr">
        <is>
          <t/>
        </is>
      </c>
      <c r="H1461" s="3" t="inlineStr">
        <is>
          <t>System</t>
        </is>
      </c>
      <c r="I1461" s="3" t="inlineStr">
        <is>
          <t>Gina Stefanelli</t>
        </is>
      </c>
      <c r="J1461" s="4" t="n">
        <v>45904.62546296296</v>
      </c>
      <c r="K1461" s="5" t="n">
        <v>45904.0</v>
      </c>
      <c r="L1461" s="5" t="n">
        <v>45903.0</v>
      </c>
      <c r="M1461" s="3" t="inlineStr">
        <is>
          <t>Approved</t>
        </is>
      </c>
      <c r="N1461" s="3" t="inlineStr">
        <is>
          <t>Study Close</t>
        </is>
      </c>
      <c r="O1461" s="3" t="inlineStr">
        <is>
          <t>42847922MDD3003</t>
        </is>
      </c>
    </row>
    <row r="1462">
      <c r="A1462" s="2" t="str">
        <f>HYPERLINK("https://vtmf.veevavault.com/ui/#doc_info/26066291/1/0", "42847922MDD3003---Team Meetings-04 Apr 2024 (v1.0)")</f>
        <v>42847922MDD3003---Team Meetings-04 Apr 2024 (v1.0)</v>
      </c>
      <c r="B1462" s="3" t="inlineStr">
        <is>
          <t>Trial Management</t>
        </is>
      </c>
      <c r="C1462" s="3" t="inlineStr">
        <is>
          <t>Meetings</t>
        </is>
      </c>
      <c r="D1462" s="3" t="inlineStr">
        <is>
          <t>Team Meetings</t>
        </is>
      </c>
      <c r="E1462" s="3" t="inlineStr">
        <is>
          <t>tSDX discussion</t>
        </is>
      </c>
      <c r="F1462" s="2" t="str">
        <f>HYPERLINK("https://vtmf.veevavault.com/ui/#doc_info/26066291/1/0", "VTMF-20838266")</f>
        <v>VTMF-20838266</v>
      </c>
      <c r="G1462" s="3" t="inlineStr">
        <is>
          <t/>
        </is>
      </c>
      <c r="H1462" s="3" t="inlineStr">
        <is>
          <t>Anthony Suarez (veeva.com)</t>
        </is>
      </c>
      <c r="I1462" s="3" t="inlineStr">
        <is>
          <t>Tanja van den Akker</t>
        </is>
      </c>
      <c r="J1462" s="4" t="n">
        <v>45386.71600694444</v>
      </c>
      <c r="K1462" s="5" t="n">
        <v>45544.0</v>
      </c>
      <c r="L1462" s="5" t="n">
        <v>45386.0</v>
      </c>
      <c r="M1462" s="3" t="inlineStr">
        <is>
          <t>Approved</t>
        </is>
      </c>
      <c r="N1462" s="3" t="inlineStr">
        <is>
          <t>Study Close</t>
        </is>
      </c>
      <c r="O1462" s="3" t="inlineStr">
        <is>
          <t>42847922MDD3003</t>
        </is>
      </c>
    </row>
    <row r="1463">
      <c r="A1463" s="2" t="str">
        <f>HYPERLINK("https://vtmf.veevavault.com/ui/#doc_info/26093523/1/0", "42847922MDD3003---Team Meetings-04 Apr 2024 (v1.0)")</f>
        <v>42847922MDD3003---Team Meetings-04 Apr 2024 (v1.0)</v>
      </c>
      <c r="B1463" s="3" t="inlineStr">
        <is>
          <t>Trial Management</t>
        </is>
      </c>
      <c r="C1463" s="3" t="inlineStr">
        <is>
          <t>Meetings</t>
        </is>
      </c>
      <c r="D1463" s="3" t="inlineStr">
        <is>
          <t>Team Meetings</t>
        </is>
      </c>
      <c r="E1463" s="3" t="inlineStr">
        <is>
          <t>ARBM_Protocol_De-risking</t>
        </is>
      </c>
      <c r="F1463" s="2" t="str">
        <f>HYPERLINK("https://vtmf.veevavault.com/ui/#doc_info/26093523/1/0", "VTMF-20862223")</f>
        <v>VTMF-20862223</v>
      </c>
      <c r="G1463" s="3" t="inlineStr">
        <is>
          <t/>
        </is>
      </c>
      <c r="H1463" s="3" t="inlineStr">
        <is>
          <t>Anthony Suarez (veeva.com)</t>
        </is>
      </c>
      <c r="I1463" s="3" t="inlineStr">
        <is>
          <t>Vanya Drandarova</t>
        </is>
      </c>
      <c r="J1463" s="4" t="n">
        <v>45391.53165509259</v>
      </c>
      <c r="K1463" s="5" t="n">
        <v>45391.0</v>
      </c>
      <c r="L1463" s="5" t="n">
        <v>45386.0</v>
      </c>
      <c r="M1463" s="3" t="inlineStr">
        <is>
          <t>Approved</t>
        </is>
      </c>
      <c r="N1463" s="3" t="inlineStr">
        <is>
          <t>Study Close</t>
        </is>
      </c>
      <c r="O1463" s="3" t="inlineStr">
        <is>
          <t>42847922MDD3003</t>
        </is>
      </c>
    </row>
    <row r="1464">
      <c r="A1464" s="2" t="str">
        <f>HYPERLINK("https://vtmf.veevavault.com/ui/#doc_info/27819612/1/0", "42847922MDD3003---Team Meetings-04 Dec 2024 (v1.0)")</f>
        <v>42847922MDD3003---Team Meetings-04 Dec 2024 (v1.0)</v>
      </c>
      <c r="B1464" s="3" t="inlineStr">
        <is>
          <t>Trial Management</t>
        </is>
      </c>
      <c r="C1464" s="3" t="inlineStr">
        <is>
          <t>Meetings</t>
        </is>
      </c>
      <c r="D1464" s="3" t="inlineStr">
        <is>
          <t>Team Meetings</t>
        </is>
      </c>
      <c r="E1464" s="3" t="inlineStr">
        <is>
          <t>CFTT Meeting Minutes</t>
        </is>
      </c>
      <c r="F1464" s="2" t="str">
        <f>HYPERLINK("https://vtmf.veevavault.com/ui/#doc_info/27819612/1/0", "VTMF-22306728")</f>
        <v>VTMF-22306728</v>
      </c>
      <c r="G1464" s="3" t="inlineStr">
        <is>
          <t/>
        </is>
      </c>
      <c r="H1464" s="3" t="inlineStr">
        <is>
          <t>Anthony Suarez (veeva.com)</t>
        </is>
      </c>
      <c r="I1464" s="3" t="inlineStr">
        <is>
          <t>Debhora Garcia</t>
        </is>
      </c>
      <c r="J1464" s="4" t="n">
        <v>45632.73732638889</v>
      </c>
      <c r="K1464" s="5" t="n">
        <v>45632.0</v>
      </c>
      <c r="L1464" s="5" t="n">
        <v>45630.0</v>
      </c>
      <c r="M1464" s="3" t="inlineStr">
        <is>
          <t>Approved</t>
        </is>
      </c>
      <c r="N1464" s="3" t="inlineStr">
        <is>
          <t>Study Close</t>
        </is>
      </c>
      <c r="O1464" s="3" t="inlineStr">
        <is>
          <t>42847922MDD3003</t>
        </is>
      </c>
    </row>
    <row r="1465">
      <c r="A1465" s="2" t="str">
        <f>HYPERLINK("https://vtmf.veevavault.com/ui/#doc_info/28227715/1/0", "42847922MDD3003---Team Meetings-04 Feb 2025 (v1.0)")</f>
        <v>42847922MDD3003---Team Meetings-04 Feb 2025 (v1.0)</v>
      </c>
      <c r="B1465" s="3" t="inlineStr">
        <is>
          <t>Trial Management</t>
        </is>
      </c>
      <c r="C1465" s="3" t="inlineStr">
        <is>
          <t>Meetings</t>
        </is>
      </c>
      <c r="D1465" s="3" t="inlineStr">
        <is>
          <t>Team Meetings</t>
        </is>
      </c>
      <c r="E1465" s="3" t="inlineStr">
        <is>
          <t>SMT Meeting minutes</t>
        </is>
      </c>
      <c r="F1465" s="2" t="str">
        <f>HYPERLINK("https://vtmf.veevavault.com/ui/#doc_info/28227715/1/0", "VTMF-22639980")</f>
        <v>VTMF-22639980</v>
      </c>
      <c r="G1465" s="3" t="inlineStr">
        <is>
          <t/>
        </is>
      </c>
      <c r="H1465" s="3" t="inlineStr">
        <is>
          <t>Anthony Suarez (veeva.com)</t>
        </is>
      </c>
      <c r="I1465" s="3" t="inlineStr">
        <is>
          <t>Debhora Garcia</t>
        </is>
      </c>
      <c r="J1465" s="4" t="n">
        <v>45693.01660879629</v>
      </c>
      <c r="K1465" s="5" t="n">
        <v>45693.0</v>
      </c>
      <c r="L1465" s="5" t="n">
        <v>45692.0</v>
      </c>
      <c r="M1465" s="3" t="inlineStr">
        <is>
          <t>Approved</t>
        </is>
      </c>
      <c r="N1465" s="3" t="inlineStr">
        <is>
          <t>Study Close</t>
        </is>
      </c>
      <c r="O1465" s="3" t="inlineStr">
        <is>
          <t>42847922MDD3003</t>
        </is>
      </c>
    </row>
    <row r="1466">
      <c r="A1466" s="2" t="str">
        <f>HYPERLINK("https://vtmf.veevavault.com/ui/#doc_info/26478089/1/0", "42847922MDD3003---Team Meetings-04 Jun 2024 (v1.0)")</f>
        <v>42847922MDD3003---Team Meetings-04 Jun 2024 (v1.0)</v>
      </c>
      <c r="B1466" s="3" t="inlineStr">
        <is>
          <t>Trial Management</t>
        </is>
      </c>
      <c r="C1466" s="3" t="inlineStr">
        <is>
          <t>Meetings</t>
        </is>
      </c>
      <c r="D1466" s="3" t="inlineStr">
        <is>
          <t>Team Meetings</t>
        </is>
      </c>
      <c r="E1466" s="3" t="inlineStr">
        <is>
          <t>SMT Meeting Minutes</t>
        </is>
      </c>
      <c r="F1466" s="2" t="str">
        <f>HYPERLINK("https://vtmf.veevavault.com/ui/#doc_info/26478089/1/0", "VTMF-21198213")</f>
        <v>VTMF-21198213</v>
      </c>
      <c r="G1466" s="3" t="inlineStr">
        <is>
          <t/>
        </is>
      </c>
      <c r="H1466" s="3" t="inlineStr">
        <is>
          <t>Gina Stefanelli</t>
        </is>
      </c>
      <c r="I1466" s="3" t="inlineStr">
        <is>
          <t>Debhora Garcia</t>
        </is>
      </c>
      <c r="J1466" s="4" t="n">
        <v>45450.66369212963</v>
      </c>
      <c r="K1466" s="5" t="n">
        <v>45450.0</v>
      </c>
      <c r="L1466" s="5" t="n">
        <v>45447.0</v>
      </c>
      <c r="M1466" s="3" t="inlineStr">
        <is>
          <t>Approved</t>
        </is>
      </c>
      <c r="N1466" s="3" t="inlineStr">
        <is>
          <t>Study Close</t>
        </is>
      </c>
      <c r="O1466" s="3" t="inlineStr">
        <is>
          <t>42847922MDD3003</t>
        </is>
      </c>
    </row>
    <row r="1467">
      <c r="A1467" s="2" t="str">
        <f>HYPERLINK("https://vtmf.veevavault.com/ui/#doc_info/29299791/1/0", "42847922MDD3003---Team Meetings-04 Jun 2025 (v1.0)")</f>
        <v>42847922MDD3003---Team Meetings-04 Jun 2025 (v1.0)</v>
      </c>
      <c r="B1467" s="3" t="inlineStr">
        <is>
          <t>Trial Management</t>
        </is>
      </c>
      <c r="C1467" s="3" t="inlineStr">
        <is>
          <t>Meetings</t>
        </is>
      </c>
      <c r="D1467" s="3" t="inlineStr">
        <is>
          <t>Team Meetings</t>
        </is>
      </c>
      <c r="E1467" s="3" t="inlineStr">
        <is>
          <t>CFTT meeting minutes</t>
        </is>
      </c>
      <c r="F1467" s="2" t="str">
        <f>HYPERLINK("https://vtmf.veevavault.com/ui/#doc_info/29299791/1/0", "VTMF-23551179")</f>
        <v>VTMF-23551179</v>
      </c>
      <c r="G1467" s="3" t="inlineStr">
        <is>
          <t/>
        </is>
      </c>
      <c r="H1467" s="3" t="inlineStr">
        <is>
          <t>Anthony Suarez (veeva.com)</t>
        </is>
      </c>
      <c r="I1467" s="3" t="inlineStr">
        <is>
          <t>Debhora Garcia</t>
        </is>
      </c>
      <c r="J1467" s="4" t="n">
        <v>45814.06667824074</v>
      </c>
      <c r="K1467" s="5" t="n">
        <v>45813.0</v>
      </c>
      <c r="L1467" s="5" t="n">
        <v>45812.0</v>
      </c>
      <c r="M1467" s="3" t="inlineStr">
        <is>
          <t>Approved</t>
        </is>
      </c>
      <c r="N1467" s="3" t="inlineStr">
        <is>
          <t>Study Close</t>
        </is>
      </c>
      <c r="O1467" s="3" t="inlineStr">
        <is>
          <t>42847922MDD3003</t>
        </is>
      </c>
    </row>
    <row r="1468">
      <c r="A1468" s="2" t="str">
        <f>HYPERLINK("https://vtmf.veevavault.com/ui/#doc_info/26481568/1/0", "42847922MDD3003---Team Meetings-05 Jun 2024 (v1.0)")</f>
        <v>42847922MDD3003---Team Meetings-05 Jun 2024 (v1.0)</v>
      </c>
      <c r="B1468" s="3" t="inlineStr">
        <is>
          <t>Trial Management</t>
        </is>
      </c>
      <c r="C1468" s="3" t="inlineStr">
        <is>
          <t>Meetings</t>
        </is>
      </c>
      <c r="D1468" s="3" t="inlineStr">
        <is>
          <t>Team Meetings</t>
        </is>
      </c>
      <c r="E1468" s="3" t="inlineStr">
        <is>
          <t>CFTT Meeting Minutes</t>
        </is>
      </c>
      <c r="F1468" s="2" t="str">
        <f>HYPERLINK("https://vtmf.veevavault.com/ui/#doc_info/26481568/1/0", "VTMF-21201280")</f>
        <v>VTMF-21201280</v>
      </c>
      <c r="G1468" s="3" t="inlineStr">
        <is>
          <t/>
        </is>
      </c>
      <c r="H1468" s="3" t="inlineStr">
        <is>
          <t>Gina Stefanelli</t>
        </is>
      </c>
      <c r="I1468" s="3" t="inlineStr">
        <is>
          <t>Debhora Garcia</t>
        </is>
      </c>
      <c r="J1468" s="4" t="n">
        <v>45450.98979166667</v>
      </c>
      <c r="K1468" s="5" t="n">
        <v>45451.0</v>
      </c>
      <c r="L1468" s="5" t="n">
        <v>45448.0</v>
      </c>
      <c r="M1468" s="3" t="inlineStr">
        <is>
          <t>Approved</t>
        </is>
      </c>
      <c r="N1468" s="3" t="inlineStr">
        <is>
          <t>Study Close</t>
        </is>
      </c>
      <c r="O1468" s="3" t="inlineStr">
        <is>
          <t>42847922MDD3003</t>
        </is>
      </c>
    </row>
    <row r="1469">
      <c r="A1469" s="2" t="str">
        <f>HYPERLINK("https://vtmf.veevavault.com/ui/#doc_info/31791979/1/0", "42847922MDD3003---Team Meetings-05 Mar 2026 (v1.0)")</f>
        <v>42847922MDD3003---Team Meetings-05 Mar 2026 (v1.0)</v>
      </c>
      <c r="B1469" s="3" t="inlineStr">
        <is>
          <t>Trial Management</t>
        </is>
      </c>
      <c r="C1469" s="3" t="inlineStr">
        <is>
          <t>Meetings</t>
        </is>
      </c>
      <c r="D1469" s="3" t="inlineStr">
        <is>
          <t>Team Meetings</t>
        </is>
      </c>
      <c r="E1469" s="3" t="inlineStr">
        <is>
          <t>Site review discussion - sites for discussion- meeting minutes</t>
        </is>
      </c>
      <c r="F1469" s="2" t="str">
        <f>HYPERLINK("https://vtmf.veevavault.com/ui/#doc_info/31791979/1/0", "VTMF-25662474")</f>
        <v>VTMF-25662474</v>
      </c>
      <c r="G1469" s="3" t="inlineStr">
        <is>
          <t/>
        </is>
      </c>
      <c r="H1469" s="3" t="inlineStr">
        <is>
          <t>System</t>
        </is>
      </c>
      <c r="I1469" s="3" t="inlineStr">
        <is>
          <t>Debhora Garcia</t>
        </is>
      </c>
      <c r="J1469" s="4" t="n">
        <v>46175.00393518519</v>
      </c>
      <c r="K1469" s="5" t="n">
        <v>46174.0</v>
      </c>
      <c r="L1469" s="5" t="n">
        <v>46086.0</v>
      </c>
      <c r="M1469" s="3" t="inlineStr">
        <is>
          <t>Approved</t>
        </is>
      </c>
      <c r="N1469" s="3" t="inlineStr">
        <is>
          <t>Study Close</t>
        </is>
      </c>
      <c r="O1469" s="3" t="inlineStr">
        <is>
          <t>42847922MDD3003</t>
        </is>
      </c>
    </row>
    <row r="1470">
      <c r="A1470" s="2" t="str">
        <f>HYPERLINK("https://vtmf.veevavault.com/ui/#doc_info/30323746/1/0", "42847922MDD3003---Team Meetings-05 Nov 2025 (v1.0)")</f>
        <v>42847922MDD3003---Team Meetings-05 Nov 2025 (v1.0)</v>
      </c>
      <c r="B1470" s="3" t="inlineStr">
        <is>
          <t>Trial Management</t>
        </is>
      </c>
      <c r="C1470" s="3" t="inlineStr">
        <is>
          <t>Meetings</t>
        </is>
      </c>
      <c r="D1470" s="3" t="inlineStr">
        <is>
          <t>Team Meetings</t>
        </is>
      </c>
      <c r="E1470" s="3" t="inlineStr">
        <is>
          <t>CFTT Meeting minutes</t>
        </is>
      </c>
      <c r="F1470" s="2" t="str">
        <f>HYPERLINK("https://vtmf.veevavault.com/ui/#doc_info/30323746/1/0", "VTMF-24420350")</f>
        <v>VTMF-24420350</v>
      </c>
      <c r="G1470" s="3" t="inlineStr">
        <is>
          <t/>
        </is>
      </c>
      <c r="H1470" s="3" t="inlineStr">
        <is>
          <t>System</t>
        </is>
      </c>
      <c r="I1470" s="3" t="inlineStr">
        <is>
          <t>Gina Stefanelli</t>
        </is>
      </c>
      <c r="J1470" s="4" t="n">
        <v>45968.06355324074</v>
      </c>
      <c r="K1470" s="5" t="n">
        <v>45967.0</v>
      </c>
      <c r="L1470" s="5" t="n">
        <v>45966.0</v>
      </c>
      <c r="M1470" s="3" t="inlineStr">
        <is>
          <t>Approved</t>
        </is>
      </c>
      <c r="N1470" s="3" t="inlineStr">
        <is>
          <t>Study Close</t>
        </is>
      </c>
      <c r="O1470" s="3" t="inlineStr">
        <is>
          <t>42847922MDD3003, 42847922MDD3014</t>
        </is>
      </c>
    </row>
    <row r="1471">
      <c r="A1471" s="2" t="str">
        <f>HYPERLINK("https://vtmf.veevavault.com/ui/#doc_info/31791175/1/0", "42847922MDD3003---Team Meetings-05 Sep 2025 (v1.0)")</f>
        <v>42847922MDD3003---Team Meetings-05 Sep 2025 (v1.0)</v>
      </c>
      <c r="B1471" s="3" t="inlineStr">
        <is>
          <t>Trial Management</t>
        </is>
      </c>
      <c r="C1471" s="3" t="inlineStr">
        <is>
          <t>Meetings</t>
        </is>
      </c>
      <c r="D1471" s="3" t="inlineStr">
        <is>
          <t>Team Meetings</t>
        </is>
      </c>
      <c r="E1471" s="3" t="inlineStr">
        <is>
          <t>Site review discussion - sites for discussion - meeting minutes</t>
        </is>
      </c>
      <c r="F1471" s="2" t="str">
        <f>HYPERLINK("https://vtmf.veevavault.com/ui/#doc_info/31791175/1/0", "VTMF-25661516")</f>
        <v>VTMF-25661516</v>
      </c>
      <c r="G1471" s="3" t="inlineStr">
        <is>
          <t/>
        </is>
      </c>
      <c r="H1471" s="3" t="inlineStr">
        <is>
          <t>System</t>
        </is>
      </c>
      <c r="I1471" s="3" t="inlineStr">
        <is>
          <t>Debhora Garcia</t>
        </is>
      </c>
      <c r="J1471" s="4" t="n">
        <v>46174.83636574074</v>
      </c>
      <c r="K1471" s="5" t="n">
        <v>46174.0</v>
      </c>
      <c r="L1471" s="5" t="n">
        <v>45905.0</v>
      </c>
      <c r="M1471" s="3" t="inlineStr">
        <is>
          <t>Approved</t>
        </is>
      </c>
      <c r="N1471" s="3" t="inlineStr">
        <is>
          <t>Study Close</t>
        </is>
      </c>
      <c r="O1471" s="3" t="inlineStr">
        <is>
          <t>42847922MDD3003</t>
        </is>
      </c>
    </row>
    <row r="1472">
      <c r="A1472" s="2" t="str">
        <f>HYPERLINK("https://vtmf.veevavault.com/ui/#doc_info/25314544/1/0", "42847922MDD3003---Team Meetings-06 Dec 2023 (v1.0)")</f>
        <v>42847922MDD3003---Team Meetings-06 Dec 2023 (v1.0)</v>
      </c>
      <c r="B1472" s="3" t="inlineStr">
        <is>
          <t>Trial Management</t>
        </is>
      </c>
      <c r="C1472" s="3" t="inlineStr">
        <is>
          <t>Meetings</t>
        </is>
      </c>
      <c r="D1472" s="3" t="inlineStr">
        <is>
          <t>Team Meetings</t>
        </is>
      </c>
      <c r="E1472" s="3" t="inlineStr">
        <is>
          <t>CFTT Meeting Minutes</t>
        </is>
      </c>
      <c r="F1472" s="2" t="str">
        <f>HYPERLINK("https://vtmf.veevavault.com/ui/#doc_info/25314544/1/0", "VTMF-20178180")</f>
        <v>VTMF-20178180</v>
      </c>
      <c r="G1472" s="3" t="inlineStr">
        <is>
          <t/>
        </is>
      </c>
      <c r="H1472" s="3" t="inlineStr">
        <is>
          <t>Gina Stefanelli</t>
        </is>
      </c>
      <c r="I1472" s="3" t="inlineStr">
        <is>
          <t>Debhora Garcia</t>
        </is>
      </c>
      <c r="J1472" s="4" t="n">
        <v>45268.726111111115</v>
      </c>
      <c r="K1472" s="5" t="n">
        <v>45268.0</v>
      </c>
      <c r="L1472" s="5" t="n">
        <v>45266.0</v>
      </c>
      <c r="M1472" s="3" t="inlineStr">
        <is>
          <t>Approved</t>
        </is>
      </c>
      <c r="N1472" s="3" t="inlineStr">
        <is>
          <t>Study Close</t>
        </is>
      </c>
      <c r="O1472" s="3" t="inlineStr">
        <is>
          <t>42847922MDD3003</t>
        </is>
      </c>
    </row>
    <row r="1473">
      <c r="A1473" s="2" t="str">
        <f>HYPERLINK("https://vtmf.veevavault.com/ui/#doc_info/31791974/1/0", "42847922MDD3003---Team Meetings-06 Feb 2026 (v1.0)")</f>
        <v>42847922MDD3003---Team Meetings-06 Feb 2026 (v1.0)</v>
      </c>
      <c r="B1473" s="3" t="inlineStr">
        <is>
          <t>Trial Management</t>
        </is>
      </c>
      <c r="C1473" s="3" t="inlineStr">
        <is>
          <t>Meetings</t>
        </is>
      </c>
      <c r="D1473" s="3" t="inlineStr">
        <is>
          <t>Team Meetings</t>
        </is>
      </c>
      <c r="E1473" s="3" t="inlineStr">
        <is>
          <t>Site review discussion - sites for discussion- meeting minutes</t>
        </is>
      </c>
      <c r="F1473" s="2" t="str">
        <f>HYPERLINK("https://vtmf.veevavault.com/ui/#doc_info/31791974/1/0", "VTMF-25662461")</f>
        <v>VTMF-25662461</v>
      </c>
      <c r="G1473" s="3" t="inlineStr">
        <is>
          <t/>
        </is>
      </c>
      <c r="H1473" s="3" t="inlineStr">
        <is>
          <t>System</t>
        </is>
      </c>
      <c r="I1473" s="3" t="inlineStr">
        <is>
          <t>Debhora Garcia</t>
        </is>
      </c>
      <c r="J1473" s="4" t="n">
        <v>46175.00068287037</v>
      </c>
      <c r="K1473" s="5" t="n">
        <v>46174.0</v>
      </c>
      <c r="L1473" s="5" t="n">
        <v>46059.0</v>
      </c>
      <c r="M1473" s="3" t="inlineStr">
        <is>
          <t>Approved</t>
        </is>
      </c>
      <c r="N1473" s="3" t="inlineStr">
        <is>
          <t>Study Close</t>
        </is>
      </c>
      <c r="O1473" s="3" t="inlineStr">
        <is>
          <t>42847922MDD3003</t>
        </is>
      </c>
    </row>
    <row r="1474">
      <c r="A1474" s="2" t="str">
        <f>HYPERLINK("https://vtmf.veevavault.com/ui/#doc_info/31618482/1/0", "42847922MDD3003---Team Meetings-06 May 2026 (v1.0)")</f>
        <v>42847922MDD3003---Team Meetings-06 May 2026 (v1.0)</v>
      </c>
      <c r="B1474" s="3" t="inlineStr">
        <is>
          <t>Trial Management</t>
        </is>
      </c>
      <c r="C1474" s="3" t="inlineStr">
        <is>
          <t>Meetings</t>
        </is>
      </c>
      <c r="D1474" s="3" t="inlineStr">
        <is>
          <t>Team Meetings</t>
        </is>
      </c>
      <c r="E1474" s="3" t="inlineStr">
        <is>
          <t>CFTT Meeting Minutes</t>
        </is>
      </c>
      <c r="F1474" s="2" t="str">
        <f>HYPERLINK("https://vtmf.veevavault.com/ui/#doc_info/31618482/1/0", "VTMF-25517207")</f>
        <v>VTMF-25517207</v>
      </c>
      <c r="G1474" s="3" t="inlineStr">
        <is>
          <t/>
        </is>
      </c>
      <c r="H1474" s="3" t="inlineStr">
        <is>
          <t>System</t>
        </is>
      </c>
      <c r="I1474" s="3" t="inlineStr">
        <is>
          <t>Gina Stefanelli</t>
        </is>
      </c>
      <c r="J1474" s="4" t="n">
        <v>46150.67123842592</v>
      </c>
      <c r="K1474" s="5" t="n">
        <v>46150.0</v>
      </c>
      <c r="L1474" s="5" t="n">
        <v>46148.0</v>
      </c>
      <c r="M1474" s="3" t="inlineStr">
        <is>
          <t>Approved</t>
        </is>
      </c>
      <c r="N1474" s="3" t="inlineStr">
        <is>
          <t>Study Close</t>
        </is>
      </c>
      <c r="O1474" s="3" t="inlineStr">
        <is>
          <t>42847922MDD3003, 42847922MDD3014</t>
        </is>
      </c>
    </row>
    <row r="1475">
      <c r="A1475" s="2" t="str">
        <f>HYPERLINK("https://vtmf.veevavault.com/ui/#doc_info/26850332/1/0", "42847922MDD3003---Team Meetings-07 Aug 2024 (v1.0)")</f>
        <v>42847922MDD3003---Team Meetings-07 Aug 2024 (v1.0)</v>
      </c>
      <c r="B1475" s="3" t="inlineStr">
        <is>
          <t>Trial Management</t>
        </is>
      </c>
      <c r="C1475" s="3" t="inlineStr">
        <is>
          <t>Meetings</t>
        </is>
      </c>
      <c r="D1475" s="3" t="inlineStr">
        <is>
          <t>Team Meetings</t>
        </is>
      </c>
      <c r="E1475" s="3" t="inlineStr">
        <is>
          <t>2847922MDD3003 IQVIA Medical Review Team Meeting</t>
        </is>
      </c>
      <c r="F1475" s="2" t="str">
        <f>HYPERLINK("https://vtmf.veevavault.com/ui/#doc_info/26850332/1/0", "VTMF-21520793")</f>
        <v>VTMF-21520793</v>
      </c>
      <c r="G1475" s="3" t="inlineStr">
        <is>
          <t/>
        </is>
      </c>
      <c r="H1475" s="3" t="inlineStr">
        <is>
          <t>Anthony Suarez (veeva.com)</t>
        </is>
      </c>
      <c r="I1475" s="3" t="inlineStr">
        <is>
          <t>Debhora Garcia</t>
        </is>
      </c>
      <c r="J1475" s="4" t="n">
        <v>45511.921944444446</v>
      </c>
      <c r="K1475" s="5" t="n">
        <v>45511.0</v>
      </c>
      <c r="L1475" s="5" t="n">
        <v>45511.0</v>
      </c>
      <c r="M1475" s="3" t="inlineStr">
        <is>
          <t>Approved</t>
        </is>
      </c>
      <c r="N1475" s="3" t="inlineStr">
        <is>
          <t>Study Close</t>
        </is>
      </c>
      <c r="O1475" s="3" t="inlineStr">
        <is>
          <t>42847922MDD3003</t>
        </is>
      </c>
    </row>
    <row r="1476">
      <c r="A1476" s="2" t="str">
        <f>HYPERLINK("https://vtmf.veevavault.com/ui/#doc_info/28252502/1/0", "42847922MDD3003---Team Meetings-07 Feb 2025 (v1.0)")</f>
        <v>42847922MDD3003---Team Meetings-07 Feb 2025 (v1.0)</v>
      </c>
      <c r="B1476" s="3" t="inlineStr">
        <is>
          <t>Trial Management</t>
        </is>
      </c>
      <c r="C1476" s="3" t="inlineStr">
        <is>
          <t>Meetings</t>
        </is>
      </c>
      <c r="D1476" s="3" t="inlineStr">
        <is>
          <t>Team Meetings</t>
        </is>
      </c>
      <c r="E1476" s="3" t="inlineStr">
        <is>
          <t>Ventura_OARS_Moonlight_PSE connect_07Feb2025.pptx</t>
        </is>
      </c>
      <c r="F1476" s="2" t="str">
        <f>HYPERLINK("https://vtmf.veevavault.com/ui/#doc_info/28252502/1/0", "VTMF-22661299")</f>
        <v>VTMF-22661299</v>
      </c>
      <c r="G1476" s="3" t="inlineStr">
        <is>
          <t/>
        </is>
      </c>
      <c r="H1476" s="3" t="inlineStr">
        <is>
          <t>Anthony Suarez (veeva.com)</t>
        </is>
      </c>
      <c r="I1476" s="3" t="inlineStr">
        <is>
          <t>Astrid Lenaerts</t>
        </is>
      </c>
      <c r="J1476" s="4" t="n">
        <v>45695.63584490741</v>
      </c>
      <c r="K1476" s="5" t="n">
        <v>45695.0</v>
      </c>
      <c r="L1476" s="5" t="n">
        <v>45695.0</v>
      </c>
      <c r="M1476" s="3" t="inlineStr">
        <is>
          <t>Approved</t>
        </is>
      </c>
      <c r="N1476" s="3" t="inlineStr">
        <is>
          <t>Study Close</t>
        </is>
      </c>
      <c r="O1476" s="3" t="inlineStr">
        <is>
          <t>42847922MDD3003, 67953964MDD3005, 67953964MDD3007, 89495120MDD2001</t>
        </is>
      </c>
    </row>
    <row r="1477">
      <c r="A1477" s="2" t="str">
        <f>HYPERLINK("https://vtmf.veevavault.com/ui/#doc_info/29074137/1/0", "42847922MDD3003---Team Meetings-07 May 2025 (v1.0)")</f>
        <v>42847922MDD3003---Team Meetings-07 May 2025 (v1.0)</v>
      </c>
      <c r="B1477" s="3" t="inlineStr">
        <is>
          <t>Trial Management</t>
        </is>
      </c>
      <c r="C1477" s="3" t="inlineStr">
        <is>
          <t>Meetings</t>
        </is>
      </c>
      <c r="D1477" s="3" t="inlineStr">
        <is>
          <t>Team Meetings</t>
        </is>
      </c>
      <c r="E1477" s="3" t="inlineStr">
        <is>
          <t>CFTT Meeting Minutes</t>
        </is>
      </c>
      <c r="F1477" s="2" t="str">
        <f>HYPERLINK("https://vtmf.veevavault.com/ui/#doc_info/29074137/1/0", "VTMF-23360585")</f>
        <v>VTMF-23360585</v>
      </c>
      <c r="G1477" s="3" t="inlineStr">
        <is>
          <t/>
        </is>
      </c>
      <c r="H1477" s="3" t="inlineStr">
        <is>
          <t>Anthony Suarez (veeva.com)</t>
        </is>
      </c>
      <c r="I1477" s="3" t="inlineStr">
        <is>
          <t>Debhora Garcia</t>
        </is>
      </c>
      <c r="J1477" s="4" t="n">
        <v>45785.97087962963</v>
      </c>
      <c r="K1477" s="5" t="n">
        <v>45786.0</v>
      </c>
      <c r="L1477" s="5" t="n">
        <v>45784.0</v>
      </c>
      <c r="M1477" s="3" t="inlineStr">
        <is>
          <t>Approved</t>
        </is>
      </c>
      <c r="N1477" s="3" t="inlineStr">
        <is>
          <t>Study Close</t>
        </is>
      </c>
      <c r="O1477" s="3" t="inlineStr">
        <is>
          <t>42847922MDD3003</t>
        </is>
      </c>
    </row>
    <row r="1478">
      <c r="A1478" s="2" t="str">
        <f>HYPERLINK("https://vtmf.veevavault.com/ui/#doc_info/31423714/1/0", "42847922MDD3003---Team Meetings-08 Apr 2026 (v1.0)")</f>
        <v>42847922MDD3003---Team Meetings-08 Apr 2026 (v1.0)</v>
      </c>
      <c r="B1478" s="3" t="inlineStr">
        <is>
          <t>Trial Management</t>
        </is>
      </c>
      <c r="C1478" s="3" t="inlineStr">
        <is>
          <t>Meetings</t>
        </is>
      </c>
      <c r="D1478" s="3" t="inlineStr">
        <is>
          <t>Team Meetings</t>
        </is>
      </c>
      <c r="E1478" s="3" t="inlineStr">
        <is>
          <t>CFTT Meeting minutes</t>
        </is>
      </c>
      <c r="F1478" s="2" t="str">
        <f>HYPERLINK("https://vtmf.veevavault.com/ui/#doc_info/31423714/1/0", "VTMF-25354621")</f>
        <v>VTMF-25354621</v>
      </c>
      <c r="G1478" s="3" t="inlineStr">
        <is>
          <t/>
        </is>
      </c>
      <c r="H1478" s="3" t="inlineStr">
        <is>
          <t>System</t>
        </is>
      </c>
      <c r="I1478" s="3" t="inlineStr">
        <is>
          <t>Debhora Garcia</t>
        </is>
      </c>
      <c r="J1478" s="4" t="n">
        <v>46121.83275462963</v>
      </c>
      <c r="K1478" s="5" t="n">
        <v>46121.0</v>
      </c>
      <c r="L1478" s="5" t="n">
        <v>46120.0</v>
      </c>
      <c r="M1478" s="3" t="inlineStr">
        <is>
          <t>Approved</t>
        </is>
      </c>
      <c r="N1478" s="3" t="inlineStr">
        <is>
          <t>Study Close</t>
        </is>
      </c>
      <c r="O1478" s="3" t="inlineStr">
        <is>
          <t>42847922MDD3003, 42847922MDD3014</t>
        </is>
      </c>
    </row>
    <row r="1479">
      <c r="A1479" s="2" t="str">
        <f>HYPERLINK("https://vtmf.veevavault.com/ui/#doc_info/31791146/1/0", "42847922MDD3003---Team Meetings-08 Aug 2025 (v1.0)")</f>
        <v>42847922MDD3003---Team Meetings-08 Aug 2025 (v1.0)</v>
      </c>
      <c r="B1479" s="3" t="inlineStr">
        <is>
          <t>Trial Management</t>
        </is>
      </c>
      <c r="C1479" s="3" t="inlineStr">
        <is>
          <t>Meetings</t>
        </is>
      </c>
      <c r="D1479" s="3" t="inlineStr">
        <is>
          <t>Team Meetings</t>
        </is>
      </c>
      <c r="E1479" s="3" t="inlineStr">
        <is>
          <t>Site review discussion - sites for discussion - meeting minutes</t>
        </is>
      </c>
      <c r="F1479" s="2" t="str">
        <f>HYPERLINK("https://vtmf.veevavault.com/ui/#doc_info/31791146/1/0", "VTMF-25661494")</f>
        <v>VTMF-25661494</v>
      </c>
      <c r="G1479" s="3" t="inlineStr">
        <is>
          <t/>
        </is>
      </c>
      <c r="H1479" s="3" t="inlineStr">
        <is>
          <t>System</t>
        </is>
      </c>
      <c r="I1479" s="3" t="inlineStr">
        <is>
          <t>Debhora Garcia</t>
        </is>
      </c>
      <c r="J1479" s="4" t="n">
        <v>46174.83144675926</v>
      </c>
      <c r="K1479" s="5" t="n">
        <v>46174.0</v>
      </c>
      <c r="L1479" s="5" t="n">
        <v>45877.0</v>
      </c>
      <c r="M1479" s="3" t="inlineStr">
        <is>
          <t>Approved</t>
        </is>
      </c>
      <c r="N1479" s="3" t="inlineStr">
        <is>
          <t>Study Close</t>
        </is>
      </c>
      <c r="O1479" s="3" t="inlineStr">
        <is>
          <t>42847922MDD3003</t>
        </is>
      </c>
    </row>
    <row r="1480">
      <c r="A1480" s="2" t="str">
        <f>HYPERLINK("https://vtmf.veevavault.com/ui/#doc_info/26314755/1/0", "42847922MDD3003---Team Meetings-08 May 2024 (v1.0)")</f>
        <v>42847922MDD3003---Team Meetings-08 May 2024 (v1.0)</v>
      </c>
      <c r="B1480" s="3" t="inlineStr">
        <is>
          <t>Trial Management</t>
        </is>
      </c>
      <c r="C1480" s="3" t="inlineStr">
        <is>
          <t>Meetings</t>
        </is>
      </c>
      <c r="D1480" s="3" t="inlineStr">
        <is>
          <t>Team Meetings</t>
        </is>
      </c>
      <c r="E1480" s="3" t="inlineStr">
        <is>
          <t>CFTT Meeting Minutes</t>
        </is>
      </c>
      <c r="F1480" s="2" t="str">
        <f>HYPERLINK("https://vtmf.veevavault.com/ui/#doc_info/26314755/1/0", "VTMF-21054464")</f>
        <v>VTMF-21054464</v>
      </c>
      <c r="G1480" s="3" t="inlineStr">
        <is>
          <t/>
        </is>
      </c>
      <c r="H1480" s="3" t="inlineStr">
        <is>
          <t>Anthony Suarez (veeva.com)</t>
        </is>
      </c>
      <c r="I1480" s="3" t="inlineStr">
        <is>
          <t>Debhora Garcia</t>
        </is>
      </c>
      <c r="J1480" s="4" t="n">
        <v>45425.73488425926</v>
      </c>
      <c r="K1480" s="5" t="n">
        <v>45425.0</v>
      </c>
      <c r="L1480" s="5" t="n">
        <v>45420.0</v>
      </c>
      <c r="M1480" s="3" t="inlineStr">
        <is>
          <t>Approved</t>
        </is>
      </c>
      <c r="N1480" s="3" t="inlineStr">
        <is>
          <t>Study Close</t>
        </is>
      </c>
      <c r="O1480" s="3" t="inlineStr">
        <is>
          <t>42847922MDD3003</t>
        </is>
      </c>
    </row>
    <row r="1481">
      <c r="A1481" s="2" t="str">
        <f>HYPERLINK("https://vtmf.veevavault.com/ui/#doc_info/25150498/1/0", "42847922MDD3003---Team Meetings-08 Nov 2023 (v1.0)")</f>
        <v>42847922MDD3003---Team Meetings-08 Nov 2023 (v1.0)</v>
      </c>
      <c r="B1481" s="3" t="inlineStr">
        <is>
          <t>Trial Management</t>
        </is>
      </c>
      <c r="C1481" s="3" t="inlineStr">
        <is>
          <t>Meetings</t>
        </is>
      </c>
      <c r="D1481" s="3" t="inlineStr">
        <is>
          <t>Team Meetings</t>
        </is>
      </c>
      <c r="E1481" s="3" t="inlineStr">
        <is>
          <t>CFTT Meeting Minutes</t>
        </is>
      </c>
      <c r="F1481" s="2" t="str">
        <f>HYPERLINK("https://vtmf.veevavault.com/ui/#doc_info/25150498/1/0", "VTMF-20035294")</f>
        <v>VTMF-20035294</v>
      </c>
      <c r="G1481" s="3" t="inlineStr">
        <is>
          <t/>
        </is>
      </c>
      <c r="H1481" s="3" t="inlineStr">
        <is>
          <t>Gina Stefanelli</t>
        </is>
      </c>
      <c r="I1481" s="3" t="inlineStr">
        <is>
          <t>Debhora Garcia</t>
        </is>
      </c>
      <c r="J1481" s="4" t="n">
        <v>45240.8209375</v>
      </c>
      <c r="K1481" s="5" t="n">
        <v>45240.0</v>
      </c>
      <c r="L1481" s="5" t="n">
        <v>45238.0</v>
      </c>
      <c r="M1481" s="3" t="inlineStr">
        <is>
          <t>Approved</t>
        </is>
      </c>
      <c r="N1481" s="3" t="inlineStr">
        <is>
          <t>Study Close</t>
        </is>
      </c>
      <c r="O1481" s="3" t="inlineStr">
        <is>
          <t>42847922MDD3003</t>
        </is>
      </c>
    </row>
    <row r="1482">
      <c r="A1482" s="2" t="str">
        <f>HYPERLINK("https://vtmf.veevavault.com/ui/#doc_info/27235795/1/0", "42847922MDD3003---Team Meetings-08 Oct 2024 (v1.0)")</f>
        <v>42847922MDD3003---Team Meetings-08 Oct 2024 (v1.0)</v>
      </c>
      <c r="B1482" s="3" t="inlineStr">
        <is>
          <t>Trial Management</t>
        </is>
      </c>
      <c r="C1482" s="3" t="inlineStr">
        <is>
          <t>Meetings</t>
        </is>
      </c>
      <c r="D1482" s="3" t="inlineStr">
        <is>
          <t>Team Meetings</t>
        </is>
      </c>
      <c r="E1482" s="3" t="inlineStr">
        <is>
          <t>SMT Meeting Minutes</t>
        </is>
      </c>
      <c r="F1482" s="2" t="str">
        <f>HYPERLINK("https://vtmf.veevavault.com/ui/#doc_info/27235795/1/0", "VTMF-21841389")</f>
        <v>VTMF-21841389</v>
      </c>
      <c r="G1482" s="3" t="inlineStr">
        <is>
          <t/>
        </is>
      </c>
      <c r="H1482" s="3" t="inlineStr">
        <is>
          <t>Anthony Suarez (veeva.com)</t>
        </is>
      </c>
      <c r="I1482" s="3" t="inlineStr">
        <is>
          <t>Debhora Garcia</t>
        </is>
      </c>
      <c r="J1482" s="4" t="n">
        <v>45575.917858796296</v>
      </c>
      <c r="K1482" s="5" t="n">
        <v>45575.0</v>
      </c>
      <c r="L1482" s="5" t="n">
        <v>45573.0</v>
      </c>
      <c r="M1482" s="3" t="inlineStr">
        <is>
          <t>Approved</t>
        </is>
      </c>
      <c r="N1482" s="3" t="inlineStr">
        <is>
          <t>Study Close</t>
        </is>
      </c>
      <c r="O1482" s="3" t="inlineStr">
        <is>
          <t>42847922MDD3003</t>
        </is>
      </c>
    </row>
    <row r="1483">
      <c r="A1483" s="2" t="str">
        <f>HYPERLINK("https://vtmf.veevavault.com/ui/#doc_info/30145483/1/0", "42847922MDD3003---Team Meetings-08 Oct 2025 (v1.0)")</f>
        <v>42847922MDD3003---Team Meetings-08 Oct 2025 (v1.0)</v>
      </c>
      <c r="B1483" s="3" t="inlineStr">
        <is>
          <t>Trial Management</t>
        </is>
      </c>
      <c r="C1483" s="3" t="inlineStr">
        <is>
          <t>Meetings</t>
        </is>
      </c>
      <c r="D1483" s="3" t="inlineStr">
        <is>
          <t>Team Meetings</t>
        </is>
      </c>
      <c r="E1483" s="3" t="inlineStr">
        <is>
          <t>CFTT Meeting minutes</t>
        </is>
      </c>
      <c r="F1483" s="2" t="str">
        <f>HYPERLINK("https://vtmf.veevavault.com/ui/#doc_info/30145483/1/0", "VTMF-24268776")</f>
        <v>VTMF-24268776</v>
      </c>
      <c r="G1483" s="3" t="inlineStr">
        <is>
          <t/>
        </is>
      </c>
      <c r="H1483" s="3" t="inlineStr">
        <is>
          <t>System</t>
        </is>
      </c>
      <c r="I1483" s="3" t="inlineStr">
        <is>
          <t>Debhora Garcia</t>
        </is>
      </c>
      <c r="J1483" s="4" t="n">
        <v>45943.70416666667</v>
      </c>
      <c r="K1483" s="5" t="n">
        <v>45943.0</v>
      </c>
      <c r="L1483" s="5" t="n">
        <v>45938.0</v>
      </c>
      <c r="M1483" s="3" t="inlineStr">
        <is>
          <t>Approved</t>
        </is>
      </c>
      <c r="N1483" s="3" t="inlineStr">
        <is>
          <t>Study Close</t>
        </is>
      </c>
      <c r="O1483" s="3" t="inlineStr">
        <is>
          <t>42847922MDD3003, 42847922MDD3014</t>
        </is>
      </c>
    </row>
    <row r="1484">
      <c r="A1484" s="2" t="str">
        <f>HYPERLINK("https://vtmf.veevavault.com/ui/#doc_info/26105824/1/0", "42847922MDD3003---Team Meetings-09 Apr 2024 (v1.0)")</f>
        <v>42847922MDD3003---Team Meetings-09 Apr 2024 (v1.0)</v>
      </c>
      <c r="B1484" s="3" t="inlineStr">
        <is>
          <t>Trial Management</t>
        </is>
      </c>
      <c r="C1484" s="3" t="inlineStr">
        <is>
          <t>Meetings</t>
        </is>
      </c>
      <c r="D1484" s="3" t="inlineStr">
        <is>
          <t>Team Meetings</t>
        </is>
      </c>
      <c r="E1484" s="3" t="inlineStr">
        <is>
          <t>SMT Meeting Minutes</t>
        </is>
      </c>
      <c r="F1484" s="2" t="str">
        <f>HYPERLINK("https://vtmf.veevavault.com/ui/#doc_info/26105824/1/0", "VTMF-20873338")</f>
        <v>VTMF-20873338</v>
      </c>
      <c r="G1484" s="3" t="inlineStr">
        <is>
          <t/>
        </is>
      </c>
      <c r="H1484" s="3" t="inlineStr">
        <is>
          <t>Gina Stefanelli</t>
        </is>
      </c>
      <c r="I1484" s="3" t="inlineStr">
        <is>
          <t>Jamie Hardy</t>
        </is>
      </c>
      <c r="J1484" s="4" t="n">
        <v>45392.813564814816</v>
      </c>
      <c r="K1484" s="5" t="n">
        <v>45392.0</v>
      </c>
      <c r="L1484" s="5" t="n">
        <v>45391.0</v>
      </c>
      <c r="M1484" s="3" t="inlineStr">
        <is>
          <t>Approved</t>
        </is>
      </c>
      <c r="N1484" s="3" t="inlineStr">
        <is>
          <t>Study Close</t>
        </is>
      </c>
      <c r="O1484" s="3" t="inlineStr">
        <is>
          <t>42847922MDD3003</t>
        </is>
      </c>
    </row>
    <row r="1485">
      <c r="A1485" s="2" t="str">
        <f>HYPERLINK("https://vtmf.veevavault.com/ui/#doc_info/28855031/2/0", "42847922MDD3003---Team Meetings-09 Apr 2025 (v2.0)")</f>
        <v>42847922MDD3003---Team Meetings-09 Apr 2025 (v2.0)</v>
      </c>
      <c r="B1485" s="3" t="inlineStr">
        <is>
          <t>Trial Management</t>
        </is>
      </c>
      <c r="C1485" s="3" t="inlineStr">
        <is>
          <t>Meetings</t>
        </is>
      </c>
      <c r="D1485" s="3" t="inlineStr">
        <is>
          <t>Team Meetings</t>
        </is>
      </c>
      <c r="E1485" s="3" t="inlineStr">
        <is>
          <t>CFTT Meeting Minutes</t>
        </is>
      </c>
      <c r="F1485" s="2" t="str">
        <f>HYPERLINK("https://vtmf.veevavault.com/ui/#doc_info/28855031/2/0", "VTMF-23185524")</f>
        <v>VTMF-23185524</v>
      </c>
      <c r="G1485" s="3" t="inlineStr">
        <is>
          <t/>
        </is>
      </c>
      <c r="H1485" s="3" t="inlineStr">
        <is>
          <t>Anthony Suarez (veeva.com)</t>
        </is>
      </c>
      <c r="I1485" s="3" t="inlineStr">
        <is>
          <t>Debhora Garcia</t>
        </is>
      </c>
      <c r="J1485" s="4" t="n">
        <v>45758.97576388889</v>
      </c>
      <c r="K1485" s="5" t="n">
        <v>45758.0</v>
      </c>
      <c r="L1485" s="5" t="n">
        <v>45756.0</v>
      </c>
      <c r="M1485" s="3" t="inlineStr">
        <is>
          <t>Approved</t>
        </is>
      </c>
      <c r="N1485" s="3" t="inlineStr">
        <is>
          <t>Study Close</t>
        </is>
      </c>
      <c r="O1485" s="3" t="inlineStr">
        <is>
          <t>42847922MDD3003</t>
        </is>
      </c>
    </row>
    <row r="1486">
      <c r="A1486" s="2" t="str">
        <f>HYPERLINK("https://vtmf.veevavault.com/ui/#doc_info/30758814/1/0", "42847922MDD3003---Team Meetings-09 Jan 2026 (v1.0)")</f>
        <v>42847922MDD3003---Team Meetings-09 Jan 2026 (v1.0)</v>
      </c>
      <c r="B1486" s="3" t="inlineStr">
        <is>
          <t>Trial Management</t>
        </is>
      </c>
      <c r="C1486" s="3" t="inlineStr">
        <is>
          <t>Meetings</t>
        </is>
      </c>
      <c r="D1486" s="3" t="inlineStr">
        <is>
          <t>Team Meetings</t>
        </is>
      </c>
      <c r="E1486" s="3" t="inlineStr">
        <is>
          <t>CMWG_Meeting minutes</t>
        </is>
      </c>
      <c r="F1486" s="2" t="str">
        <f>HYPERLINK("https://vtmf.veevavault.com/ui/#doc_info/30758814/1/0", "VTMF-24785666")</f>
        <v>VTMF-24785666</v>
      </c>
      <c r="G1486" s="3" t="inlineStr">
        <is>
          <t/>
        </is>
      </c>
      <c r="H1486" s="3" t="inlineStr">
        <is>
          <t>System</t>
        </is>
      </c>
      <c r="I1486" s="3" t="inlineStr">
        <is>
          <t>Elena Toshkova</t>
        </is>
      </c>
      <c r="J1486" s="4" t="n">
        <v>46034.43309027778</v>
      </c>
      <c r="K1486" s="5" t="n">
        <v>46034.0</v>
      </c>
      <c r="L1486" s="5" t="n">
        <v>46031.0</v>
      </c>
      <c r="M1486" s="3" t="inlineStr">
        <is>
          <t>Approved</t>
        </is>
      </c>
      <c r="N1486" s="3" t="inlineStr">
        <is>
          <t>Study Close</t>
        </is>
      </c>
      <c r="O1486" s="3" t="inlineStr">
        <is>
          <t>42847922MDD3003</t>
        </is>
      </c>
    </row>
    <row r="1487">
      <c r="A1487" s="2" t="str">
        <f>HYPERLINK("https://vtmf.veevavault.com/ui/#doc_info/27655366/1/0", "42847922MDD3003---Team Meetings-09 Jul 2024 (v1.0)")</f>
        <v>42847922MDD3003---Team Meetings-09 Jul 2024 (v1.0)</v>
      </c>
      <c r="B1487" s="3" t="inlineStr">
        <is>
          <t>Trial Management</t>
        </is>
      </c>
      <c r="C1487" s="3" t="inlineStr">
        <is>
          <t>Meetings</t>
        </is>
      </c>
      <c r="D1487" s="3" t="inlineStr">
        <is>
          <t>Team Meetings</t>
        </is>
      </c>
      <c r="E1487" s="3" t="inlineStr">
        <is>
          <t>Protocol De-Risking Meeting Minutes Final</t>
        </is>
      </c>
      <c r="F1487" s="2" t="str">
        <f>HYPERLINK("https://vtmf.veevavault.com/ui/#doc_info/27655366/1/0", "VTMF-22200704")</f>
        <v>VTMF-22200704</v>
      </c>
      <c r="G1487" s="3" t="inlineStr">
        <is>
          <t/>
        </is>
      </c>
      <c r="H1487" s="3" t="inlineStr">
        <is>
          <t>Anthony Suarez (veeva.com)</t>
        </is>
      </c>
      <c r="I1487" s="3" t="inlineStr">
        <is>
          <t>Sara Aguilar</t>
        </is>
      </c>
      <c r="J1487" s="4" t="n">
        <v>45617.381875</v>
      </c>
      <c r="K1487" s="5" t="n">
        <v>45617.0</v>
      </c>
      <c r="L1487" s="5" t="n">
        <v>45482.0</v>
      </c>
      <c r="M1487" s="3" t="inlineStr">
        <is>
          <t>Approved</t>
        </is>
      </c>
      <c r="N1487" s="3" t="inlineStr">
        <is>
          <t>Study Close</t>
        </is>
      </c>
      <c r="O1487" s="3" t="inlineStr">
        <is>
          <t>42847922MDD3003</t>
        </is>
      </c>
    </row>
    <row r="1488">
      <c r="A1488" s="2" t="str">
        <f>HYPERLINK("https://vtmf.veevavault.com/ui/#doc_info/31179999/1/0", "42847922MDD3003---Team Meetings-09 Mar 2026 (v1.0)")</f>
        <v>42847922MDD3003---Team Meetings-09 Mar 2026 (v1.0)</v>
      </c>
      <c r="B1488" s="3" t="inlineStr">
        <is>
          <t>Trial Management</t>
        </is>
      </c>
      <c r="C1488" s="3" t="inlineStr">
        <is>
          <t>Meetings</t>
        </is>
      </c>
      <c r="D1488" s="3" t="inlineStr">
        <is>
          <t>Team Meetings</t>
        </is>
      </c>
      <c r="E1488" s="3" t="inlineStr">
        <is>
          <t>PDIE Meeting Minutes</t>
        </is>
      </c>
      <c r="F1488" s="2" t="str">
        <f>HYPERLINK("https://vtmf.veevavault.com/ui/#doc_info/31179999/1/0", "VTMF-25141501")</f>
        <v>VTMF-25141501</v>
      </c>
      <c r="G1488" s="3" t="inlineStr">
        <is>
          <t/>
        </is>
      </c>
      <c r="H1488" s="3" t="inlineStr">
        <is>
          <t>System</t>
        </is>
      </c>
      <c r="I1488" s="3" t="inlineStr">
        <is>
          <t>Kristina Ruzinska</t>
        </is>
      </c>
      <c r="J1488" s="4" t="n">
        <v>46094.51574074074</v>
      </c>
      <c r="K1488" s="5" t="n">
        <v>46094.0</v>
      </c>
      <c r="L1488" s="5" t="n">
        <v>46090.0</v>
      </c>
      <c r="M1488" s="3" t="inlineStr">
        <is>
          <t>Approved</t>
        </is>
      </c>
      <c r="N1488" s="3" t="inlineStr">
        <is>
          <t>Study Close</t>
        </is>
      </c>
      <c r="O1488" s="3" t="inlineStr">
        <is>
          <t>42847922MDD3003</t>
        </is>
      </c>
    </row>
    <row r="1489">
      <c r="A1489" s="2" t="str">
        <f>HYPERLINK("https://vtmf.veevavault.com/ui/#doc_info/29071001/2/0", "42847922MDD3003---Team Meetings-09 May 2025 (v2.0)")</f>
        <v>42847922MDD3003---Team Meetings-09 May 2025 (v2.0)</v>
      </c>
      <c r="B1489" s="3" t="inlineStr">
        <is>
          <t>Trial Management</t>
        </is>
      </c>
      <c r="C1489" s="3" t="inlineStr">
        <is>
          <t>Meetings</t>
        </is>
      </c>
      <c r="D1489" s="3" t="inlineStr">
        <is>
          <t>Team Meetings</t>
        </is>
      </c>
      <c r="E1489" s="3" t="inlineStr">
        <is>
          <t>42847922MDD3003 Study Overview</t>
        </is>
      </c>
      <c r="F1489" s="2" t="str">
        <f>HYPERLINK("https://vtmf.veevavault.com/ui/#doc_info/29071001/2/0", "VTMF-23357901")</f>
        <v>VTMF-23357901</v>
      </c>
      <c r="G1489" s="3" t="inlineStr">
        <is>
          <t/>
        </is>
      </c>
      <c r="H1489" s="3" t="inlineStr">
        <is>
          <t>System</t>
        </is>
      </c>
      <c r="I1489" s="3" t="inlineStr">
        <is>
          <t>Katelyn Long</t>
        </is>
      </c>
      <c r="J1489" s="4" t="n">
        <v>45789.64261574074</v>
      </c>
      <c r="K1489" s="5" t="n">
        <v>45789.0</v>
      </c>
      <c r="L1489" s="5" t="n">
        <v>45786.0</v>
      </c>
      <c r="M1489" s="3" t="inlineStr">
        <is>
          <t>Approved</t>
        </is>
      </c>
      <c r="N1489" s="3" t="inlineStr">
        <is>
          <t>Study Close</t>
        </is>
      </c>
      <c r="O1489" s="3" t="inlineStr">
        <is>
          <t>42847922MDD3003</t>
        </is>
      </c>
    </row>
    <row r="1490">
      <c r="A1490" s="2" t="str">
        <f>HYPERLINK("https://vtmf.veevavault.com/ui/#doc_info/27243088/1/0", "42847922MDD3003---Team Meetings-09 Oct 2024 (v1.0)")</f>
        <v>42847922MDD3003---Team Meetings-09 Oct 2024 (v1.0)</v>
      </c>
      <c r="B1490" s="3" t="inlineStr">
        <is>
          <t>Trial Management</t>
        </is>
      </c>
      <c r="C1490" s="3" t="inlineStr">
        <is>
          <t>Meetings</t>
        </is>
      </c>
      <c r="D1490" s="3" t="inlineStr">
        <is>
          <t>Team Meetings</t>
        </is>
      </c>
      <c r="E1490" s="3" t="inlineStr">
        <is>
          <t>CFTT Meeting Minutes</t>
        </is>
      </c>
      <c r="F1490" s="2" t="str">
        <f>HYPERLINK("https://vtmf.veevavault.com/ui/#doc_info/27243088/1/0", "VTMF-21847883")</f>
        <v>VTMF-21847883</v>
      </c>
      <c r="G1490" s="3" t="inlineStr">
        <is>
          <t/>
        </is>
      </c>
      <c r="H1490" s="3" t="inlineStr">
        <is>
          <t>Anthony Suarez (veeva.com)</t>
        </is>
      </c>
      <c r="I1490" s="3" t="inlineStr">
        <is>
          <t>Debhora Garcia</t>
        </is>
      </c>
      <c r="J1490" s="4" t="n">
        <v>45576.82435185185</v>
      </c>
      <c r="K1490" s="5" t="n">
        <v>45576.0</v>
      </c>
      <c r="L1490" s="5" t="n">
        <v>45574.0</v>
      </c>
      <c r="M1490" s="3" t="inlineStr">
        <is>
          <t>Approved</t>
        </is>
      </c>
      <c r="N1490" s="3" t="inlineStr">
        <is>
          <t>Study Close</t>
        </is>
      </c>
      <c r="O1490" s="3" t="inlineStr">
        <is>
          <t>42847922MDD3003</t>
        </is>
      </c>
    </row>
    <row r="1491">
      <c r="A1491" s="2" t="str">
        <f>HYPERLINK("https://vtmf.veevavault.com/ui/#doc_info/26122136/1/0", "42847922MDD3003---Team Meetings-10 Apr 2024 (v1.0)")</f>
        <v>42847922MDD3003---Team Meetings-10 Apr 2024 (v1.0)</v>
      </c>
      <c r="B1491" s="3" t="inlineStr">
        <is>
          <t>Trial Management</t>
        </is>
      </c>
      <c r="C1491" s="3" t="inlineStr">
        <is>
          <t>Meetings</t>
        </is>
      </c>
      <c r="D1491" s="3" t="inlineStr">
        <is>
          <t>Team Meetings</t>
        </is>
      </c>
      <c r="E1491" s="3" t="inlineStr">
        <is>
          <t>CFTT Meeting Minutes</t>
        </is>
      </c>
      <c r="F1491" s="2" t="str">
        <f>HYPERLINK("https://vtmf.veevavault.com/ui/#doc_info/26122136/1/0", "VTMF-20887763")</f>
        <v>VTMF-20887763</v>
      </c>
      <c r="G1491" s="3" t="inlineStr">
        <is>
          <t/>
        </is>
      </c>
      <c r="H1491" s="3" t="inlineStr">
        <is>
          <t>Gina Stefanelli</t>
        </is>
      </c>
      <c r="I1491" s="3" t="inlineStr">
        <is>
          <t>Debhora Garcia</t>
        </is>
      </c>
      <c r="J1491" s="4" t="n">
        <v>45394.70196759259</v>
      </c>
      <c r="K1491" s="5" t="n">
        <v>45394.0</v>
      </c>
      <c r="L1491" s="5" t="n">
        <v>45392.0</v>
      </c>
      <c r="M1491" s="3" t="inlineStr">
        <is>
          <t>Approved</t>
        </is>
      </c>
      <c r="N1491" s="3" t="inlineStr">
        <is>
          <t>Study Close</t>
        </is>
      </c>
      <c r="O1491" s="3" t="inlineStr">
        <is>
          <t>42847922MDD3003</t>
        </is>
      </c>
    </row>
    <row r="1492">
      <c r="A1492" s="2" t="str">
        <f>HYPERLINK("https://vtmf.veevavault.com/ui/#doc_info/29337897/1/0", "42847922MDD3003---Team Meetings-10 Jun 2025 (v1.0)")</f>
        <v>42847922MDD3003---Team Meetings-10 Jun 2025 (v1.0)</v>
      </c>
      <c r="B1492" s="3" t="inlineStr">
        <is>
          <t>Trial Management</t>
        </is>
      </c>
      <c r="C1492" s="3" t="inlineStr">
        <is>
          <t>Meetings</t>
        </is>
      </c>
      <c r="D1492" s="3" t="inlineStr">
        <is>
          <t>Team Meetings</t>
        </is>
      </c>
      <c r="E1492" s="3" t="inlineStr">
        <is>
          <t>Data Quality Dashboard May 2025</t>
        </is>
      </c>
      <c r="F1492" s="2" t="str">
        <f>HYPERLINK("https://vtmf.veevavault.com/ui/#doc_info/29337897/1/0", "VTMF-23583700")</f>
        <v>VTMF-23583700</v>
      </c>
      <c r="G1492" s="3" t="inlineStr">
        <is>
          <t/>
        </is>
      </c>
      <c r="H1492" s="3" t="inlineStr">
        <is>
          <t>Debhora Garcia</t>
        </is>
      </c>
      <c r="I1492" s="3" t="inlineStr">
        <is>
          <t>Debhora Garcia</t>
        </is>
      </c>
      <c r="J1492" s="4" t="n">
        <v>45820.044641203705</v>
      </c>
      <c r="K1492" s="5" t="n">
        <v>45820.0</v>
      </c>
      <c r="L1492" s="5" t="n">
        <v>45818.0</v>
      </c>
      <c r="M1492" s="3" t="inlineStr">
        <is>
          <t>Approved</t>
        </is>
      </c>
      <c r="N1492" s="3" t="inlineStr">
        <is>
          <t>Study Close</t>
        </is>
      </c>
      <c r="O1492" s="3" t="inlineStr">
        <is>
          <t>42847922MDD3003</t>
        </is>
      </c>
    </row>
    <row r="1493">
      <c r="A1493" s="2" t="str">
        <f>HYPERLINK("https://vtmf.veevavault.com/ui/#doc_info/26316072/1/0", "42847922MDD3003---Team Meetings-10 May 2024 (v1.0)")</f>
        <v>42847922MDD3003---Team Meetings-10 May 2024 (v1.0)</v>
      </c>
      <c r="B1493" s="3" t="inlineStr">
        <is>
          <t>Trial Management</t>
        </is>
      </c>
      <c r="C1493" s="3" t="inlineStr">
        <is>
          <t>Meetings</t>
        </is>
      </c>
      <c r="D1493" s="3" t="inlineStr">
        <is>
          <t>Team Meetings</t>
        </is>
      </c>
      <c r="E1493" s="3" t="inlineStr">
        <is>
          <t>Safety Management Plan (SMP) - review - Meeting minutes_10May2024</t>
        </is>
      </c>
      <c r="F1493" s="2" t="str">
        <f>HYPERLINK("https://vtmf.veevavault.com/ui/#doc_info/26316072/1/0", "VTMF-21055843")</f>
        <v>VTMF-21055843</v>
      </c>
      <c r="G1493" s="3" t="inlineStr">
        <is>
          <t/>
        </is>
      </c>
      <c r="H1493" s="3" t="inlineStr">
        <is>
          <t>Gina Stefanelli</t>
        </is>
      </c>
      <c r="I1493" s="3" t="inlineStr">
        <is>
          <t>Gina Stefanelli</t>
        </is>
      </c>
      <c r="J1493" s="4" t="n">
        <v>45425.91006944444</v>
      </c>
      <c r="K1493" s="5" t="n">
        <v>45425.0</v>
      </c>
      <c r="L1493" s="5" t="n">
        <v>45422.0</v>
      </c>
      <c r="M1493" s="3" t="inlineStr">
        <is>
          <t>Approved</t>
        </is>
      </c>
      <c r="N1493" s="3" t="inlineStr">
        <is>
          <t>Study Close</t>
        </is>
      </c>
      <c r="O1493" s="3" t="inlineStr">
        <is>
          <t>42847922MDD3003</t>
        </is>
      </c>
    </row>
    <row r="1494">
      <c r="A1494" s="2" t="str">
        <f>HYPERLINK("https://vtmf.veevavault.com/ui/#doc_info/27074085/1/0", "42847922MDD3003---Team Meetings-10 Sep 2024 (v1.0)")</f>
        <v>42847922MDD3003---Team Meetings-10 Sep 2024 (v1.0)</v>
      </c>
      <c r="B1494" s="3" t="inlineStr">
        <is>
          <t>Trial Management</t>
        </is>
      </c>
      <c r="C1494" s="3" t="inlineStr">
        <is>
          <t>Meetings</t>
        </is>
      </c>
      <c r="D1494" s="3" t="inlineStr">
        <is>
          <t>Team Meetings</t>
        </is>
      </c>
      <c r="E1494" s="3" t="inlineStr">
        <is>
          <t>SMT Meeting Minutes</t>
        </is>
      </c>
      <c r="F1494" s="2" t="str">
        <f>HYPERLINK("https://vtmf.veevavault.com/ui/#doc_info/27074085/1/0", "VTMF-21702724")</f>
        <v>VTMF-21702724</v>
      </c>
      <c r="G1494" s="3" t="inlineStr">
        <is>
          <t/>
        </is>
      </c>
      <c r="H1494" s="3" t="inlineStr">
        <is>
          <t>Anthony Suarez (veeva.com)</t>
        </is>
      </c>
      <c r="I1494" s="3" t="inlineStr">
        <is>
          <t>Gina Stefanelli</t>
        </is>
      </c>
      <c r="J1494" s="4" t="n">
        <v>45548.62318287037</v>
      </c>
      <c r="K1494" s="5" t="n">
        <v>45548.0</v>
      </c>
      <c r="L1494" s="5" t="n">
        <v>45545.0</v>
      </c>
      <c r="M1494" s="3" t="inlineStr">
        <is>
          <t>Approved</t>
        </is>
      </c>
      <c r="N1494" s="3" t="inlineStr">
        <is>
          <t>Study Close</t>
        </is>
      </c>
      <c r="O1494" s="3" t="inlineStr">
        <is>
          <t>42847922MDD3003</t>
        </is>
      </c>
    </row>
    <row r="1495">
      <c r="A1495" s="2" t="str">
        <f>HYPERLINK("https://vtmf.veevavault.com/ui/#doc_info/29938631/1/0", "42847922MDD3003---Team Meetings-10 Sep 2025 (v1.0)")</f>
        <v>42847922MDD3003---Team Meetings-10 Sep 2025 (v1.0)</v>
      </c>
      <c r="B1495" s="3" t="inlineStr">
        <is>
          <t>Trial Management</t>
        </is>
      </c>
      <c r="C1495" s="3" t="inlineStr">
        <is>
          <t>Meetings</t>
        </is>
      </c>
      <c r="D1495" s="3" t="inlineStr">
        <is>
          <t>Team Meetings</t>
        </is>
      </c>
      <c r="E1495" s="3" t="inlineStr">
        <is>
          <t>CFTT Meeting minutes</t>
        </is>
      </c>
      <c r="F1495" s="2" t="str">
        <f>HYPERLINK("https://vtmf.veevavault.com/ui/#doc_info/29938631/1/0", "VTMF-24100478")</f>
        <v>VTMF-24100478</v>
      </c>
      <c r="G1495" s="3" t="inlineStr">
        <is>
          <t/>
        </is>
      </c>
      <c r="H1495" s="3" t="inlineStr">
        <is>
          <t>System</t>
        </is>
      </c>
      <c r="I1495" s="3" t="inlineStr">
        <is>
          <t>Debhora Garcia</t>
        </is>
      </c>
      <c r="J1495" s="4" t="n">
        <v>45912.03689814815</v>
      </c>
      <c r="K1495" s="5" t="n">
        <v>45911.0</v>
      </c>
      <c r="L1495" s="5" t="n">
        <v>45910.0</v>
      </c>
      <c r="M1495" s="3" t="inlineStr">
        <is>
          <t>Approved</t>
        </is>
      </c>
      <c r="N1495" s="3" t="inlineStr">
        <is>
          <t>Study Close</t>
        </is>
      </c>
      <c r="O1495" s="3" t="inlineStr">
        <is>
          <t>42847922MDD3003, 42847922MDD3014</t>
        </is>
      </c>
    </row>
    <row r="1496">
      <c r="A1496" s="2" t="str">
        <f>HYPERLINK("https://vtmf.veevavault.com/ui/#doc_info/30980551/1/0", "42847922MDD3003---Team Meetings-11 Feb 2026 (v1.0)")</f>
        <v>42847922MDD3003---Team Meetings-11 Feb 2026 (v1.0)</v>
      </c>
      <c r="B1496" s="3" t="inlineStr">
        <is>
          <t>Trial Management</t>
        </is>
      </c>
      <c r="C1496" s="3" t="inlineStr">
        <is>
          <t>Meetings</t>
        </is>
      </c>
      <c r="D1496" s="3" t="inlineStr">
        <is>
          <t>Team Meetings</t>
        </is>
      </c>
      <c r="E1496" s="3" t="inlineStr">
        <is>
          <t>CFTT Meeting minutes</t>
        </is>
      </c>
      <c r="F1496" s="2" t="str">
        <f>HYPERLINK("https://vtmf.veevavault.com/ui/#doc_info/30980551/1/0", "VTMF-24972251")</f>
        <v>VTMF-24972251</v>
      </c>
      <c r="G1496" s="3" t="inlineStr">
        <is>
          <t/>
        </is>
      </c>
      <c r="H1496" s="3" t="inlineStr">
        <is>
          <t>System</t>
        </is>
      </c>
      <c r="I1496" s="3" t="inlineStr">
        <is>
          <t>Debhora Garcia</t>
        </is>
      </c>
      <c r="J1496" s="4" t="n">
        <v>46065.82371527778</v>
      </c>
      <c r="K1496" s="5" t="n">
        <v>46065.0</v>
      </c>
      <c r="L1496" s="5" t="n">
        <v>46064.0</v>
      </c>
      <c r="M1496" s="3" t="inlineStr">
        <is>
          <t>Approved</t>
        </is>
      </c>
      <c r="N1496" s="3" t="inlineStr">
        <is>
          <t>Study Close</t>
        </is>
      </c>
      <c r="O1496" s="3" t="inlineStr">
        <is>
          <t>42847922MDD3003, 42847922MDD3014</t>
        </is>
      </c>
    </row>
    <row r="1497">
      <c r="A1497" s="2" t="str">
        <f>HYPERLINK("https://vtmf.veevavault.com/ui/#doc_info/31791016/1/0", "42847922MDD3003---Team Meetings-11 Jul 2025 (v1.0)")</f>
        <v>42847922MDD3003---Team Meetings-11 Jul 2025 (v1.0)</v>
      </c>
      <c r="B1497" s="3" t="inlineStr">
        <is>
          <t>Trial Management</t>
        </is>
      </c>
      <c r="C1497" s="3" t="inlineStr">
        <is>
          <t>Meetings</t>
        </is>
      </c>
      <c r="D1497" s="3" t="inlineStr">
        <is>
          <t>Team Meetings</t>
        </is>
      </c>
      <c r="E1497" s="3" t="inlineStr">
        <is>
          <t>Site review discussion - sites for discussion - meeting minutes</t>
        </is>
      </c>
      <c r="F1497" s="2" t="str">
        <f>HYPERLINK("https://vtmf.veevavault.com/ui/#doc_info/31791016/1/0", "VTMF-25661434")</f>
        <v>VTMF-25661434</v>
      </c>
      <c r="G1497" s="3" t="inlineStr">
        <is>
          <t/>
        </is>
      </c>
      <c r="H1497" s="3" t="inlineStr">
        <is>
          <t>System</t>
        </is>
      </c>
      <c r="I1497" s="3" t="inlineStr">
        <is>
          <t>Debhora Garcia</t>
        </is>
      </c>
      <c r="J1497" s="4" t="n">
        <v>46174.820231481484</v>
      </c>
      <c r="K1497" s="5" t="n">
        <v>46174.0</v>
      </c>
      <c r="L1497" s="5" t="n">
        <v>45849.0</v>
      </c>
      <c r="M1497" s="3" t="inlineStr">
        <is>
          <t>Approved</t>
        </is>
      </c>
      <c r="N1497" s="3" t="inlineStr">
        <is>
          <t>Study Close</t>
        </is>
      </c>
      <c r="O1497" s="3" t="inlineStr">
        <is>
          <t>42847922MDD3003</t>
        </is>
      </c>
    </row>
    <row r="1498">
      <c r="A1498" s="2" t="str">
        <f>HYPERLINK("https://vtmf.veevavault.com/ui/#doc_info/31164202/1/0", "42847922MDD3003---Team Meetings-11 Mar 2026 (v1.0)")</f>
        <v>42847922MDD3003---Team Meetings-11 Mar 2026 (v1.0)</v>
      </c>
      <c r="B1498" s="3" t="inlineStr">
        <is>
          <t>Trial Management</t>
        </is>
      </c>
      <c r="C1498" s="3" t="inlineStr">
        <is>
          <t>Meetings</t>
        </is>
      </c>
      <c r="D1498" s="3" t="inlineStr">
        <is>
          <t>Team Meetings</t>
        </is>
      </c>
      <c r="E1498" s="3" t="inlineStr">
        <is>
          <t>CFTT Meeting Minutes</t>
        </is>
      </c>
      <c r="F1498" s="2" t="str">
        <f>HYPERLINK("https://vtmf.veevavault.com/ui/#doc_info/31164202/1/0", "VTMF-25127804")</f>
        <v>VTMF-25127804</v>
      </c>
      <c r="G1498" s="3" t="inlineStr">
        <is>
          <t/>
        </is>
      </c>
      <c r="H1498" s="3" t="inlineStr">
        <is>
          <t>System</t>
        </is>
      </c>
      <c r="I1498" s="3" t="inlineStr">
        <is>
          <t>Debhora Garcia</t>
        </is>
      </c>
      <c r="J1498" s="4" t="n">
        <v>46093.01719907407</v>
      </c>
      <c r="K1498" s="5" t="n">
        <v>46092.0</v>
      </c>
      <c r="L1498" s="5" t="n">
        <v>46092.0</v>
      </c>
      <c r="M1498" s="3" t="inlineStr">
        <is>
          <t>Approved</t>
        </is>
      </c>
      <c r="N1498" s="3" t="inlineStr">
        <is>
          <t>Study Close</t>
        </is>
      </c>
      <c r="O1498" s="3" t="inlineStr">
        <is>
          <t>42847922MDD3003, 42847922MDD3014</t>
        </is>
      </c>
    </row>
    <row r="1499">
      <c r="A1499" s="2" t="str">
        <f>HYPERLINK("https://vtmf.veevavault.com/ui/#doc_info/24964869/1/0", "42847922MDD3003---Team Meetings-11 Oct 2023 (v1.0)")</f>
        <v>42847922MDD3003---Team Meetings-11 Oct 2023 (v1.0)</v>
      </c>
      <c r="B1499" s="3" t="inlineStr">
        <is>
          <t>Trial Management</t>
        </is>
      </c>
      <c r="C1499" s="3" t="inlineStr">
        <is>
          <t>Meetings</t>
        </is>
      </c>
      <c r="D1499" s="3" t="inlineStr">
        <is>
          <t>Team Meetings</t>
        </is>
      </c>
      <c r="E1499" s="3" t="inlineStr">
        <is>
          <t>CFTT Meeting Minutes</t>
        </is>
      </c>
      <c r="F1499" s="2" t="str">
        <f>HYPERLINK("https://vtmf.veevavault.com/ui/#doc_info/24964869/1/0", "VTMF-19872679")</f>
        <v>VTMF-19872679</v>
      </c>
      <c r="G1499" s="3" t="inlineStr">
        <is>
          <t/>
        </is>
      </c>
      <c r="H1499" s="3" t="inlineStr">
        <is>
          <t>Gina Stefanelli</t>
        </is>
      </c>
      <c r="I1499" s="3" t="inlineStr">
        <is>
          <t>Debhora Garcia</t>
        </is>
      </c>
      <c r="J1499" s="4" t="n">
        <v>45211.85429398148</v>
      </c>
      <c r="K1499" s="5" t="n">
        <v>45225.0</v>
      </c>
      <c r="L1499" s="5" t="n">
        <v>45210.0</v>
      </c>
      <c r="M1499" s="3" t="inlineStr">
        <is>
          <t>Approved</t>
        </is>
      </c>
      <c r="N1499" s="3" t="inlineStr">
        <is>
          <t>Study Close</t>
        </is>
      </c>
      <c r="O1499" s="3" t="inlineStr">
        <is>
          <t>42847922MDD3003</t>
        </is>
      </c>
    </row>
    <row r="1500">
      <c r="A1500" s="2" t="str">
        <f>HYPERLINK("https://vtmf.veevavault.com/ui/#doc_info/27242083/1/0", "42847922MDD3003---Team Meetings-11 Oct 2024 (v1.0)")</f>
        <v>42847922MDD3003---Team Meetings-11 Oct 2024 (v1.0)</v>
      </c>
      <c r="B1500" s="3" t="inlineStr">
        <is>
          <t>Trial Management</t>
        </is>
      </c>
      <c r="C1500" s="3" t="inlineStr">
        <is>
          <t>Meetings</t>
        </is>
      </c>
      <c r="D1500" s="3" t="inlineStr">
        <is>
          <t>Team Meetings</t>
        </is>
      </c>
      <c r="E1500" s="3" t="inlineStr">
        <is>
          <t>Ventura_OARS_Moonlight_PSE connect_11Oct2024.pptx</t>
        </is>
      </c>
      <c r="F1500" s="2" t="str">
        <f>HYPERLINK("https://vtmf.veevavault.com/ui/#doc_info/27242083/1/0", "VTMF-21846978")</f>
        <v>VTMF-21846978</v>
      </c>
      <c r="G1500" s="3" t="inlineStr">
        <is>
          <t/>
        </is>
      </c>
      <c r="H1500" s="3" t="inlineStr">
        <is>
          <t>System</t>
        </is>
      </c>
      <c r="I1500" s="3" t="inlineStr">
        <is>
          <t>Astrid Lenaerts</t>
        </is>
      </c>
      <c r="J1500" s="4" t="n">
        <v>45576.68033564815</v>
      </c>
      <c r="K1500" s="5" t="n">
        <v>45576.0</v>
      </c>
      <c r="L1500" s="5" t="n">
        <v>45576.0</v>
      </c>
      <c r="M1500" s="3" t="inlineStr">
        <is>
          <t>Approved</t>
        </is>
      </c>
      <c r="N1500" s="3" t="inlineStr">
        <is>
          <t>Study Close</t>
        </is>
      </c>
      <c r="O1500" s="3" t="inlineStr">
        <is>
          <t>42847922MDD3003, 67953964MDD3005, 67953964MDD3007, 89495120MDD2001</t>
        </is>
      </c>
    </row>
    <row r="1501">
      <c r="A1501" s="2" t="str">
        <f>HYPERLINK("https://vtmf.veevavault.com/ui/#doc_info/27068562/1/0", "42847922MDD3003---Team Meetings-11 Sep 2024 (v1.0)")</f>
        <v>42847922MDD3003---Team Meetings-11 Sep 2024 (v1.0)</v>
      </c>
      <c r="B1501" s="3" t="inlineStr">
        <is>
          <t>Trial Management</t>
        </is>
      </c>
      <c r="C1501" s="3" t="inlineStr">
        <is>
          <t>Meetings</t>
        </is>
      </c>
      <c r="D1501" s="3" t="inlineStr">
        <is>
          <t>Team Meetings</t>
        </is>
      </c>
      <c r="E1501" s="3" t="inlineStr">
        <is>
          <t>CFTT Meeting Minutes</t>
        </is>
      </c>
      <c r="F1501" s="2" t="str">
        <f>HYPERLINK("https://vtmf.veevavault.com/ui/#doc_info/27068562/1/0", "VTMF-21697863")</f>
        <v>VTMF-21697863</v>
      </c>
      <c r="G1501" s="3" t="inlineStr">
        <is>
          <t/>
        </is>
      </c>
      <c r="H1501" s="3" t="inlineStr">
        <is>
          <t>Anthony Suarez (veeva.com)</t>
        </is>
      </c>
      <c r="I1501" s="3" t="inlineStr">
        <is>
          <t>Debhora Garcia</t>
        </is>
      </c>
      <c r="J1501" s="4" t="n">
        <v>45548.0075462963</v>
      </c>
      <c r="K1501" s="5" t="n">
        <v>45548.0</v>
      </c>
      <c r="L1501" s="5" t="n">
        <v>45546.0</v>
      </c>
      <c r="M1501" s="3" t="inlineStr">
        <is>
          <t>Approved</t>
        </is>
      </c>
      <c r="N1501" s="3" t="inlineStr">
        <is>
          <t>Study Close</t>
        </is>
      </c>
      <c r="O1501" s="3" t="inlineStr">
        <is>
          <t>42847922MDD3003</t>
        </is>
      </c>
    </row>
    <row r="1502">
      <c r="A1502" s="2" t="str">
        <f>HYPERLINK("https://vtmf.veevavault.com/ui/#doc_info/31791367/1/0", "42847922MDD3003---Team Meetings-12 Dec 2025 (v1.0)")</f>
        <v>42847922MDD3003---Team Meetings-12 Dec 2025 (v1.0)</v>
      </c>
      <c r="B1502" s="3" t="inlineStr">
        <is>
          <t>Trial Management</t>
        </is>
      </c>
      <c r="C1502" s="3" t="inlineStr">
        <is>
          <t>Meetings</t>
        </is>
      </c>
      <c r="D1502" s="3" t="inlineStr">
        <is>
          <t>Team Meetings</t>
        </is>
      </c>
      <c r="E1502" s="3" t="inlineStr">
        <is>
          <t>Site review discussion - sites for discussion- meeting minutes</t>
        </is>
      </c>
      <c r="F1502" s="2" t="str">
        <f>HYPERLINK("https://vtmf.veevavault.com/ui/#doc_info/31791367/1/0", "VTMF-25661769")</f>
        <v>VTMF-25661769</v>
      </c>
      <c r="G1502" s="3" t="inlineStr">
        <is>
          <t/>
        </is>
      </c>
      <c r="H1502" s="3" t="inlineStr">
        <is>
          <t>System</t>
        </is>
      </c>
      <c r="I1502" s="3" t="inlineStr">
        <is>
          <t>Debhora Garcia</t>
        </is>
      </c>
      <c r="J1502" s="4" t="n">
        <v>46174.873564814814</v>
      </c>
      <c r="K1502" s="5" t="n">
        <v>46174.0</v>
      </c>
      <c r="L1502" s="5" t="n">
        <v>46003.0</v>
      </c>
      <c r="M1502" s="3" t="inlineStr">
        <is>
          <t>Approved</t>
        </is>
      </c>
      <c r="N1502" s="3" t="inlineStr">
        <is>
          <t>Study Close</t>
        </is>
      </c>
      <c r="O1502" s="3" t="inlineStr">
        <is>
          <t>42847922MDD3003</t>
        </is>
      </c>
    </row>
    <row r="1503">
      <c r="A1503" s="2" t="str">
        <f>HYPERLINK("https://vtmf.veevavault.com/ui/#doc_info/28304352/1/0", "42847922MDD3003---Team Meetings-12 Feb 2025 (v1.0)")</f>
        <v>42847922MDD3003---Team Meetings-12 Feb 2025 (v1.0)</v>
      </c>
      <c r="B1503" s="3" t="inlineStr">
        <is>
          <t>Trial Management</t>
        </is>
      </c>
      <c r="C1503" s="3" t="inlineStr">
        <is>
          <t>Meetings</t>
        </is>
      </c>
      <c r="D1503" s="3" t="inlineStr">
        <is>
          <t>Team Meetings</t>
        </is>
      </c>
      <c r="E1503" s="3" t="inlineStr">
        <is>
          <t>CFTT Meeting Minutes</t>
        </is>
      </c>
      <c r="F1503" s="2" t="str">
        <f>HYPERLINK("https://vtmf.veevavault.com/ui/#doc_info/28304352/1/0", "VTMF-22706055")</f>
        <v>VTMF-22706055</v>
      </c>
      <c r="G1503" s="3" t="inlineStr">
        <is>
          <t/>
        </is>
      </c>
      <c r="H1503" s="3" t="inlineStr">
        <is>
          <t>Anthony Suarez (veeva.com)</t>
        </is>
      </c>
      <c r="I1503" s="3" t="inlineStr">
        <is>
          <t>Debhora Garcia</t>
        </is>
      </c>
      <c r="J1503" s="4" t="n">
        <v>45702.78010416667</v>
      </c>
      <c r="K1503" s="5" t="n">
        <v>45702.0</v>
      </c>
      <c r="L1503" s="5" t="n">
        <v>45700.0</v>
      </c>
      <c r="M1503" s="3" t="inlineStr">
        <is>
          <t>Approved</t>
        </is>
      </c>
      <c r="N1503" s="3" t="inlineStr">
        <is>
          <t>Study Close</t>
        </is>
      </c>
      <c r="O1503" s="3" t="inlineStr">
        <is>
          <t>42847922MDD3003</t>
        </is>
      </c>
    </row>
    <row r="1504">
      <c r="A1504" s="2" t="str">
        <f>HYPERLINK("https://vtmf.veevavault.com/ui/#doc_info/28663271/1/0", "42847922MDD3003---Team Meetings-12 Mar 2025 (v1.0)")</f>
        <v>42847922MDD3003---Team Meetings-12 Mar 2025 (v1.0)</v>
      </c>
      <c r="B1504" s="3" t="inlineStr">
        <is>
          <t>Trial Management</t>
        </is>
      </c>
      <c r="C1504" s="3" t="inlineStr">
        <is>
          <t>Meetings</t>
        </is>
      </c>
      <c r="D1504" s="3" t="inlineStr">
        <is>
          <t>Team Meetings</t>
        </is>
      </c>
      <c r="E1504" s="3" t="inlineStr">
        <is>
          <t>CFTT Meeting minutes</t>
        </is>
      </c>
      <c r="F1504" s="2" t="str">
        <f>HYPERLINK("https://vtmf.veevavault.com/ui/#doc_info/28663271/1/0", "VTMF-23024782")</f>
        <v>VTMF-23024782</v>
      </c>
      <c r="G1504" s="3" t="inlineStr">
        <is>
          <t/>
        </is>
      </c>
      <c r="H1504" s="3" t="inlineStr">
        <is>
          <t>Anthony Suarez (veeva.com)</t>
        </is>
      </c>
      <c r="I1504" s="3" t="inlineStr">
        <is>
          <t>Debhora Garcia</t>
        </is>
      </c>
      <c r="J1504" s="4" t="n">
        <v>45729.83925925926</v>
      </c>
      <c r="K1504" s="5" t="n">
        <v>45729.0</v>
      </c>
      <c r="L1504" s="5" t="n">
        <v>45728.0</v>
      </c>
      <c r="M1504" s="3" t="inlineStr">
        <is>
          <t>Approved</t>
        </is>
      </c>
      <c r="N1504" s="3" t="inlineStr">
        <is>
          <t>Study Close</t>
        </is>
      </c>
      <c r="O1504" s="3" t="inlineStr">
        <is>
          <t>42847922MDD3003</t>
        </is>
      </c>
    </row>
    <row r="1505">
      <c r="A1505" s="2" t="str">
        <f>HYPERLINK("https://vtmf.veevavault.com/ui/#doc_info/29945879/1/0", "42847922MDD3003---Team Meetings-12 Sep 2025 (v1.0)")</f>
        <v>42847922MDD3003---Team Meetings-12 Sep 2025 (v1.0)</v>
      </c>
      <c r="B1505" s="3" t="inlineStr">
        <is>
          <t>Trial Management</t>
        </is>
      </c>
      <c r="C1505" s="3" t="inlineStr">
        <is>
          <t>Meetings</t>
        </is>
      </c>
      <c r="D1505" s="3" t="inlineStr">
        <is>
          <t>Team Meetings</t>
        </is>
      </c>
      <c r="E1505" s="3" t="inlineStr">
        <is>
          <t>Data Quality Dashboard August 2025</t>
        </is>
      </c>
      <c r="F1505" s="2" t="str">
        <f>HYPERLINK("https://vtmf.veevavault.com/ui/#doc_info/29945879/1/0", "VTMF-24107178")</f>
        <v>VTMF-24107178</v>
      </c>
      <c r="G1505" s="3" t="inlineStr">
        <is>
          <t/>
        </is>
      </c>
      <c r="H1505" s="3" t="inlineStr">
        <is>
          <t>Debhora Garcia</t>
        </is>
      </c>
      <c r="I1505" s="3" t="inlineStr">
        <is>
          <t>Debhora Garcia</t>
        </is>
      </c>
      <c r="J1505" s="4" t="n">
        <v>45912.96560185185</v>
      </c>
      <c r="K1505" s="5" t="n">
        <v>45913.0</v>
      </c>
      <c r="L1505" s="5" t="n">
        <v>45912.0</v>
      </c>
      <c r="M1505" s="3" t="inlineStr">
        <is>
          <t>Approved</t>
        </is>
      </c>
      <c r="N1505" s="3" t="inlineStr">
        <is>
          <t>Study Close</t>
        </is>
      </c>
      <c r="O1505" s="3" t="inlineStr">
        <is>
          <t>42847922MDD3003</t>
        </is>
      </c>
    </row>
    <row r="1506">
      <c r="A1506" s="2" t="str">
        <f>HYPERLINK("https://vtmf.veevavault.com/ui/#doc_info/29760746/1/0", "42847922MDD3003---Team Meetings-13 Aug 2025 (v1.0)")</f>
        <v>42847922MDD3003---Team Meetings-13 Aug 2025 (v1.0)</v>
      </c>
      <c r="B1506" s="3" t="inlineStr">
        <is>
          <t>Trial Management</t>
        </is>
      </c>
      <c r="C1506" s="3" t="inlineStr">
        <is>
          <t>Meetings</t>
        </is>
      </c>
      <c r="D1506" s="3" t="inlineStr">
        <is>
          <t>Team Meetings</t>
        </is>
      </c>
      <c r="E1506" s="3" t="inlineStr">
        <is>
          <t>CFTT meeting minutes</t>
        </is>
      </c>
      <c r="F1506" s="2" t="str">
        <f>HYPERLINK("https://vtmf.veevavault.com/ui/#doc_info/29760746/1/0", "VTMF-23947818")</f>
        <v>VTMF-23947818</v>
      </c>
      <c r="G1506" s="3" t="inlineStr">
        <is>
          <t/>
        </is>
      </c>
      <c r="H1506" s="3" t="inlineStr">
        <is>
          <t>System</t>
        </is>
      </c>
      <c r="I1506" s="3" t="inlineStr">
        <is>
          <t>Debhora Garcia</t>
        </is>
      </c>
      <c r="J1506" s="4" t="n">
        <v>45883.09104166667</v>
      </c>
      <c r="K1506" s="5" t="n">
        <v>45882.0</v>
      </c>
      <c r="L1506" s="5" t="n">
        <v>45882.0</v>
      </c>
      <c r="M1506" s="3" t="inlineStr">
        <is>
          <t>Approved</t>
        </is>
      </c>
      <c r="N1506" s="3" t="inlineStr">
        <is>
          <t>Study Close</t>
        </is>
      </c>
      <c r="O1506" s="3" t="inlineStr">
        <is>
          <t>42847922MDD3003</t>
        </is>
      </c>
    </row>
    <row r="1507">
      <c r="A1507" s="2" t="str">
        <f>HYPERLINK("https://vtmf.veevavault.com/ui/#doc_info/27874347/1/0", "42847922MDD3003---Team Meetings-13 Dec 2024 (v1.0)")</f>
        <v>42847922MDD3003---Team Meetings-13 Dec 2024 (v1.0)</v>
      </c>
      <c r="B1507" s="3" t="inlineStr">
        <is>
          <t>Trial Management</t>
        </is>
      </c>
      <c r="C1507" s="3" t="inlineStr">
        <is>
          <t>Meetings</t>
        </is>
      </c>
      <c r="D1507" s="3" t="inlineStr">
        <is>
          <t>Team Meetings</t>
        </is>
      </c>
      <c r="E1507" s="3" t="inlineStr">
        <is>
          <t>Ventura_OARS_Moonlight_PSE connect_13Dec2024.pptx</t>
        </is>
      </c>
      <c r="F1507" s="2" t="str">
        <f>HYPERLINK("https://vtmf.veevavault.com/ui/#doc_info/27874347/1/0", "VTMF-22353227")</f>
        <v>VTMF-22353227</v>
      </c>
      <c r="G1507" s="3" t="inlineStr">
        <is>
          <t/>
        </is>
      </c>
      <c r="H1507" s="3" t="inlineStr">
        <is>
          <t>System</t>
        </is>
      </c>
      <c r="I1507" s="3" t="inlineStr">
        <is>
          <t>Astrid Lenaerts</t>
        </is>
      </c>
      <c r="J1507" s="4" t="n">
        <v>45639.62486111111</v>
      </c>
      <c r="K1507" s="5" t="n">
        <v>45639.0</v>
      </c>
      <c r="L1507" s="5" t="n">
        <v>45639.0</v>
      </c>
      <c r="M1507" s="3" t="inlineStr">
        <is>
          <t>Approved</t>
        </is>
      </c>
      <c r="N1507" s="3" t="inlineStr">
        <is>
          <t>Study Close</t>
        </is>
      </c>
      <c r="O1507" s="3" t="inlineStr">
        <is>
          <t>42847922MDD3003, 67953964MDD3005, 67953964MDD3007, 89495120MDD2001</t>
        </is>
      </c>
    </row>
    <row r="1508">
      <c r="A1508" s="2" t="str">
        <f>HYPERLINK("https://vtmf.veevavault.com/ui/#doc_info/27944869/1/0", "42847922MDD3003---Team Meetings-13 Dec 2024 (v1.0)")</f>
        <v>42847922MDD3003---Team Meetings-13 Dec 2024 (v1.0)</v>
      </c>
      <c r="B1508" s="3" t="inlineStr">
        <is>
          <t>Trial Management</t>
        </is>
      </c>
      <c r="C1508" s="3" t="inlineStr">
        <is>
          <t>Meetings</t>
        </is>
      </c>
      <c r="D1508" s="3" t="inlineStr">
        <is>
          <t>Team Meetings</t>
        </is>
      </c>
      <c r="E1508" s="3" t="inlineStr">
        <is>
          <t>CMWG_Meeting minutes</t>
        </is>
      </c>
      <c r="F1508" s="2" t="str">
        <f>HYPERLINK("https://vtmf.veevavault.com/ui/#doc_info/27944869/1/0", "VTMF-22405025")</f>
        <v>VTMF-22405025</v>
      </c>
      <c r="G1508" s="3" t="inlineStr">
        <is>
          <t/>
        </is>
      </c>
      <c r="H1508" s="3" t="inlineStr">
        <is>
          <t>Anthony Suarez (veeva.com)</t>
        </is>
      </c>
      <c r="I1508" s="3" t="inlineStr">
        <is>
          <t>Elena Toshkova</t>
        </is>
      </c>
      <c r="J1508" s="4" t="n">
        <v>45645.62211805556</v>
      </c>
      <c r="K1508" s="5" t="n">
        <v>45645.0</v>
      </c>
      <c r="L1508" s="5" t="n">
        <v>45639.0</v>
      </c>
      <c r="M1508" s="3" t="inlineStr">
        <is>
          <t>Approved</t>
        </is>
      </c>
      <c r="N1508" s="3" t="inlineStr">
        <is>
          <t>Study Close</t>
        </is>
      </c>
      <c r="O1508" s="3" t="inlineStr">
        <is>
          <t>42847922MDD3003</t>
        </is>
      </c>
    </row>
    <row r="1509">
      <c r="A1509" s="2" t="str">
        <f>HYPERLINK("https://vtmf.veevavault.com/ui/#doc_info/31780910/1/0", "42847922MDD3003---Team Meetings-13 Jun 2025 (v1.0)")</f>
        <v>42847922MDD3003---Team Meetings-13 Jun 2025 (v1.0)</v>
      </c>
      <c r="B1509" s="3" t="inlineStr">
        <is>
          <t>Trial Management</t>
        </is>
      </c>
      <c r="C1509" s="3" t="inlineStr">
        <is>
          <t>Meetings</t>
        </is>
      </c>
      <c r="D1509" s="3" t="inlineStr">
        <is>
          <t>Team Meetings</t>
        </is>
      </c>
      <c r="E1509" s="3" t="inlineStr">
        <is>
          <t>Site review discussion - sites for discussion - meeting minutes</t>
        </is>
      </c>
      <c r="F1509" s="2" t="str">
        <f>HYPERLINK("https://vtmf.veevavault.com/ui/#doc_info/31780910/1/0", "VTMF-25652637")</f>
        <v>VTMF-25652637</v>
      </c>
      <c r="G1509" s="3" t="inlineStr">
        <is>
          <t/>
        </is>
      </c>
      <c r="H1509" s="3" t="inlineStr">
        <is>
          <t>System</t>
        </is>
      </c>
      <c r="I1509" s="3" t="inlineStr">
        <is>
          <t>Debhora Garcia</t>
        </is>
      </c>
      <c r="J1509" s="4" t="n">
        <v>46171.90027777778</v>
      </c>
      <c r="K1509" s="5" t="n">
        <v>46171.0</v>
      </c>
      <c r="L1509" s="5" t="n">
        <v>45821.0</v>
      </c>
      <c r="M1509" s="3" t="inlineStr">
        <is>
          <t>Approved</t>
        </is>
      </c>
      <c r="N1509" s="3" t="inlineStr">
        <is>
          <t>Study Close</t>
        </is>
      </c>
      <c r="O1509" s="3" t="inlineStr">
        <is>
          <t>42847922MDD3003</t>
        </is>
      </c>
    </row>
    <row r="1510">
      <c r="A1510" s="2" t="str">
        <f>HYPERLINK("https://vtmf.veevavault.com/ui/#doc_info/24802008/1/0", "42847922MDD3003---Team Meetings-13 Sep 2023 (v1.0)")</f>
        <v>42847922MDD3003---Team Meetings-13 Sep 2023 (v1.0)</v>
      </c>
      <c r="B1510" s="3" t="inlineStr">
        <is>
          <t>Trial Management</t>
        </is>
      </c>
      <c r="C1510" s="3" t="inlineStr">
        <is>
          <t>Meetings</t>
        </is>
      </c>
      <c r="D1510" s="3" t="inlineStr">
        <is>
          <t>Team Meetings</t>
        </is>
      </c>
      <c r="E1510" s="3" t="inlineStr">
        <is>
          <t>CFTT Meeting Minutes</t>
        </is>
      </c>
      <c r="F1510" s="2" t="str">
        <f>HYPERLINK("https://vtmf.veevavault.com/ui/#doc_info/24802008/1/0", "VTMF-19727912")</f>
        <v>VTMF-19727912</v>
      </c>
      <c r="G1510" s="3" t="inlineStr">
        <is>
          <t/>
        </is>
      </c>
      <c r="H1510" s="3" t="inlineStr">
        <is>
          <t>Gina Stefanelli</t>
        </is>
      </c>
      <c r="I1510" s="3" t="inlineStr">
        <is>
          <t>Debhora Garcia</t>
        </is>
      </c>
      <c r="J1510" s="4" t="n">
        <v>45183.69962962963</v>
      </c>
      <c r="K1510" s="5" t="n">
        <v>45183.0</v>
      </c>
      <c r="L1510" s="5" t="n">
        <v>45182.0</v>
      </c>
      <c r="M1510" s="3" t="inlineStr">
        <is>
          <t>Approved</t>
        </is>
      </c>
      <c r="N1510" s="3" t="inlineStr">
        <is>
          <t>Study Close</t>
        </is>
      </c>
      <c r="O1510" s="3" t="inlineStr">
        <is>
          <t>42847922MDD3003</t>
        </is>
      </c>
    </row>
    <row r="1511">
      <c r="A1511" s="2" t="str">
        <f>HYPERLINK("https://vtmf.veevavault.com/ui/#doc_info/26900933/1/0", "42847922MDD3003---Team Meetings-14 Aug 2024 (v1.0)")</f>
        <v>42847922MDD3003---Team Meetings-14 Aug 2024 (v1.0)</v>
      </c>
      <c r="B1511" s="3" t="inlineStr">
        <is>
          <t>Trial Management</t>
        </is>
      </c>
      <c r="C1511" s="3" t="inlineStr">
        <is>
          <t>Meetings</t>
        </is>
      </c>
      <c r="D1511" s="3" t="inlineStr">
        <is>
          <t>Team Meetings</t>
        </is>
      </c>
      <c r="E1511" s="3" t="inlineStr">
        <is>
          <t>CFTT Meeting Minutes</t>
        </is>
      </c>
      <c r="F1511" s="2" t="str">
        <f>HYPERLINK("https://vtmf.veevavault.com/ui/#doc_info/26900933/1/0", "VTMF-21563475")</f>
        <v>VTMF-21563475</v>
      </c>
      <c r="G1511" s="3" t="inlineStr">
        <is>
          <t/>
        </is>
      </c>
      <c r="H1511" s="3" t="inlineStr">
        <is>
          <t>Anthony Suarez (veeva.com)</t>
        </is>
      </c>
      <c r="I1511" s="3" t="inlineStr">
        <is>
          <t>Debhora Garcia</t>
        </is>
      </c>
      <c r="J1511" s="4" t="n">
        <v>45520.215162037035</v>
      </c>
      <c r="K1511" s="5" t="n">
        <v>45519.0</v>
      </c>
      <c r="L1511" s="5" t="n">
        <v>45518.0</v>
      </c>
      <c r="M1511" s="3" t="inlineStr">
        <is>
          <t>Approved</t>
        </is>
      </c>
      <c r="N1511" s="3" t="inlineStr">
        <is>
          <t>Study Close</t>
        </is>
      </c>
      <c r="O1511" s="3" t="inlineStr">
        <is>
          <t>42847922MDD3003</t>
        </is>
      </c>
    </row>
    <row r="1512">
      <c r="A1512" s="2" t="str">
        <f>HYPERLINK("https://vtmf.veevavault.com/ui/#doc_info/25348759/1/0", "42847922MDD3003---Team Meetings-14 Dec 2023 (v1.0)")</f>
        <v>42847922MDD3003---Team Meetings-14 Dec 2023 (v1.0)</v>
      </c>
      <c r="B1512" s="3" t="inlineStr">
        <is>
          <t>Trial Management</t>
        </is>
      </c>
      <c r="C1512" s="3" t="inlineStr">
        <is>
          <t>Meetings</t>
        </is>
      </c>
      <c r="D1512" s="3" t="inlineStr">
        <is>
          <t>Team Meetings</t>
        </is>
      </c>
      <c r="E1512" s="3" t="inlineStr">
        <is>
          <t>ARBM kick off meeting</t>
        </is>
      </c>
      <c r="F1512" s="2" t="str">
        <f>HYPERLINK("https://vtmf.veevavault.com/ui/#doc_info/25348759/1/0", "VTMF-20208087")</f>
        <v>VTMF-20208087</v>
      </c>
      <c r="G1512" s="3" t="inlineStr">
        <is>
          <t/>
        </is>
      </c>
      <c r="H1512" s="3" t="inlineStr">
        <is>
          <t>Anthony Suarez (veeva.com)</t>
        </is>
      </c>
      <c r="I1512" s="3" t="inlineStr">
        <is>
          <t>Tanja van den Akker</t>
        </is>
      </c>
      <c r="J1512" s="4" t="n">
        <v>45274.944074074076</v>
      </c>
      <c r="K1512" s="5" t="n">
        <v>45281.0</v>
      </c>
      <c r="L1512" s="5" t="n">
        <v>45274.0</v>
      </c>
      <c r="M1512" s="3" t="inlineStr">
        <is>
          <t>Approved</t>
        </is>
      </c>
      <c r="N1512" s="3" t="inlineStr">
        <is>
          <t>Study Close</t>
        </is>
      </c>
      <c r="O1512" s="3" t="inlineStr">
        <is>
          <t>42847922MDD3003</t>
        </is>
      </c>
    </row>
    <row r="1513">
      <c r="A1513" s="2" t="str">
        <f>HYPERLINK("https://vtmf.veevavault.com/ui/#doc_info/25735848/1/0", "42847922MDD3003---Team Meetings-14 Feb 2024 (v1.0)")</f>
        <v>42847922MDD3003---Team Meetings-14 Feb 2024 (v1.0)</v>
      </c>
      <c r="B1513" s="3" t="inlineStr">
        <is>
          <t>Trial Management</t>
        </is>
      </c>
      <c r="C1513" s="3" t="inlineStr">
        <is>
          <t>Meetings</t>
        </is>
      </c>
      <c r="D1513" s="3" t="inlineStr">
        <is>
          <t>Team Meetings</t>
        </is>
      </c>
      <c r="E1513" s="3" t="inlineStr">
        <is>
          <t>CFTT Meeting Minutes</t>
        </is>
      </c>
      <c r="F1513" s="2" t="str">
        <f>HYPERLINK("https://vtmf.veevavault.com/ui/#doc_info/25735848/1/0", "VTMF-20546655")</f>
        <v>VTMF-20546655</v>
      </c>
      <c r="G1513" s="3" t="inlineStr">
        <is>
          <t/>
        </is>
      </c>
      <c r="H1513" s="3" t="inlineStr">
        <is>
          <t>Gina Stefanelli</t>
        </is>
      </c>
      <c r="I1513" s="3" t="inlineStr">
        <is>
          <t>Debhora Garcia</t>
        </is>
      </c>
      <c r="J1513" s="4" t="n">
        <v>45338.90056712963</v>
      </c>
      <c r="K1513" s="5" t="n">
        <v>45338.0</v>
      </c>
      <c r="L1513" s="5" t="n">
        <v>45336.0</v>
      </c>
      <c r="M1513" s="3" t="inlineStr">
        <is>
          <t>Approved</t>
        </is>
      </c>
      <c r="N1513" s="3" t="inlineStr">
        <is>
          <t>Study Close</t>
        </is>
      </c>
      <c r="O1513" s="3" t="inlineStr">
        <is>
          <t>42847922MDD3003</t>
        </is>
      </c>
    </row>
    <row r="1514">
      <c r="A1514" s="2" t="str">
        <f>HYPERLINK("https://vtmf.veevavault.com/ui/#doc_info/28078987/1/0", "42847922MDD3003---Team Meetings-14 Jan 2025 (v1.0)")</f>
        <v>42847922MDD3003---Team Meetings-14 Jan 2025 (v1.0)</v>
      </c>
      <c r="B1514" s="3" t="inlineStr">
        <is>
          <t>Trial Management</t>
        </is>
      </c>
      <c r="C1514" s="3" t="inlineStr">
        <is>
          <t>Meetings</t>
        </is>
      </c>
      <c r="D1514" s="3" t="inlineStr">
        <is>
          <t>Team Meetings</t>
        </is>
      </c>
      <c r="E1514" s="3" t="inlineStr">
        <is>
          <t>SMT Meeting Minutes</t>
        </is>
      </c>
      <c r="F1514" s="2" t="str">
        <f>HYPERLINK("https://vtmf.veevavault.com/ui/#doc_info/28078987/1/0", "VTMF-22517926")</f>
        <v>VTMF-22517926</v>
      </c>
      <c r="G1514" s="3" t="inlineStr">
        <is>
          <t/>
        </is>
      </c>
      <c r="H1514" s="3" t="inlineStr">
        <is>
          <t>Anthony Suarez (veeva.com)</t>
        </is>
      </c>
      <c r="I1514" s="3" t="inlineStr">
        <is>
          <t>Debhora Garcia</t>
        </is>
      </c>
      <c r="J1514" s="4" t="n">
        <v>45672.089837962965</v>
      </c>
      <c r="K1514" s="5" t="n">
        <v>45672.0</v>
      </c>
      <c r="L1514" s="5" t="n">
        <v>45671.0</v>
      </c>
      <c r="M1514" s="3" t="inlineStr">
        <is>
          <t>Approved</t>
        </is>
      </c>
      <c r="N1514" s="3" t="inlineStr">
        <is>
          <t>Study Close</t>
        </is>
      </c>
      <c r="O1514" s="3" t="inlineStr">
        <is>
          <t>42847922MDD3003</t>
        </is>
      </c>
    </row>
    <row r="1515">
      <c r="A1515" s="2" t="str">
        <f>HYPERLINK("https://vtmf.veevavault.com/ui/#doc_info/30787287/1/0", "42847922MDD3003---Team Meetings-14 Jan 2026 (v1.0)")</f>
        <v>42847922MDD3003---Team Meetings-14 Jan 2026 (v1.0)</v>
      </c>
      <c r="B1515" s="3" t="inlineStr">
        <is>
          <t>Trial Management</t>
        </is>
      </c>
      <c r="C1515" s="3" t="inlineStr">
        <is>
          <t>Meetings</t>
        </is>
      </c>
      <c r="D1515" s="3" t="inlineStr">
        <is>
          <t>Team Meetings</t>
        </is>
      </c>
      <c r="E1515" s="3" t="inlineStr">
        <is>
          <t>CFTT Meeting minutes</t>
        </is>
      </c>
      <c r="F1515" s="2" t="str">
        <f>HYPERLINK("https://vtmf.veevavault.com/ui/#doc_info/30787287/1/0", "VTMF-24809553")</f>
        <v>VTMF-24809553</v>
      </c>
      <c r="G1515" s="3" t="inlineStr">
        <is>
          <t/>
        </is>
      </c>
      <c r="H1515" s="3" t="inlineStr">
        <is>
          <t>System</t>
        </is>
      </c>
      <c r="I1515" s="3" t="inlineStr">
        <is>
          <t>Debhora Garcia</t>
        </is>
      </c>
      <c r="J1515" s="4" t="n">
        <v>46037.77842592593</v>
      </c>
      <c r="K1515" s="5" t="n">
        <v>46037.0</v>
      </c>
      <c r="L1515" s="5" t="n">
        <v>46036.0</v>
      </c>
      <c r="M1515" s="3" t="inlineStr">
        <is>
          <t>Approved</t>
        </is>
      </c>
      <c r="N1515" s="3" t="inlineStr">
        <is>
          <t>Study Close</t>
        </is>
      </c>
      <c r="O1515" s="3" t="inlineStr">
        <is>
          <t>42847922MDD3003, 42847922MDD3014</t>
        </is>
      </c>
    </row>
    <row r="1516">
      <c r="A1516" s="2" t="str">
        <f>HYPERLINK("https://vtmf.veevavault.com/ui/#doc_info/27488724/1/0", "42847922MDD3003---Team Meetings-14 Nov 2024 (v1.0)")</f>
        <v>42847922MDD3003---Team Meetings-14 Nov 2024 (v1.0)</v>
      </c>
      <c r="B1516" s="3" t="inlineStr">
        <is>
          <t>Trial Management</t>
        </is>
      </c>
      <c r="C1516" s="3" t="inlineStr">
        <is>
          <t>Meetings</t>
        </is>
      </c>
      <c r="D1516" s="3" t="inlineStr">
        <is>
          <t>Team Meetings</t>
        </is>
      </c>
      <c r="E1516" s="3" t="inlineStr">
        <is>
          <t>Ventura_OARS_Moonlight_IPE connect_14November2024.pptx</t>
        </is>
      </c>
      <c r="F1516" s="2" t="str">
        <f>HYPERLINK("https://vtmf.veevavault.com/ui/#doc_info/27488724/1/0", "VTMF-22047012")</f>
        <v>VTMF-22047012</v>
      </c>
      <c r="G1516" s="3" t="inlineStr">
        <is>
          <t/>
        </is>
      </c>
      <c r="H1516" s="3" t="inlineStr">
        <is>
          <t>Anthony Suarez (veeva.com)</t>
        </is>
      </c>
      <c r="I1516" s="3" t="inlineStr">
        <is>
          <t>Katelyn Long</t>
        </is>
      </c>
      <c r="J1516" s="4" t="n">
        <v>45610.83579861111</v>
      </c>
      <c r="K1516" s="5" t="n">
        <v>45610.0</v>
      </c>
      <c r="L1516" s="5" t="n">
        <v>45610.0</v>
      </c>
      <c r="M1516" s="3" t="inlineStr">
        <is>
          <t>Approved</t>
        </is>
      </c>
      <c r="N1516" s="3" t="inlineStr">
        <is>
          <t>Study Close</t>
        </is>
      </c>
      <c r="O1516" s="3" t="inlineStr">
        <is>
          <t>42847922MDD3003, 67953964MDD3005, 67953964MDD3007, 89495120MDD2001</t>
        </is>
      </c>
    </row>
    <row r="1517">
      <c r="A1517" s="2" t="str">
        <f>HYPERLINK("https://vtmf.veevavault.com/ui/#doc_info/30418894/1/0", "42847922MDD3003---Team Meetings-14 Nov 2025 (v1.0)")</f>
        <v>42847922MDD3003---Team Meetings-14 Nov 2025 (v1.0)</v>
      </c>
      <c r="B1517" s="3" t="inlineStr">
        <is>
          <t>Trial Management</t>
        </is>
      </c>
      <c r="C1517" s="3" t="inlineStr">
        <is>
          <t>Meetings</t>
        </is>
      </c>
      <c r="D1517" s="3" t="inlineStr">
        <is>
          <t>Team Meetings</t>
        </is>
      </c>
      <c r="E1517" s="3" t="inlineStr">
        <is>
          <t>PDIE Meeting minutes</t>
        </is>
      </c>
      <c r="F1517" s="2" t="str">
        <f>HYPERLINK("https://vtmf.veevavault.com/ui/#doc_info/30418894/1/0", "VTMF-24503118")</f>
        <v>VTMF-24503118</v>
      </c>
      <c r="G1517" s="3" t="inlineStr">
        <is>
          <t/>
        </is>
      </c>
      <c r="H1517" s="3" t="inlineStr">
        <is>
          <t>Debhora Garcia</t>
        </is>
      </c>
      <c r="I1517" s="3" t="inlineStr">
        <is>
          <t>Kristina Ruzinska</t>
        </is>
      </c>
      <c r="J1517" s="4" t="n">
        <v>45979.72309027778</v>
      </c>
      <c r="K1517" s="5" t="n">
        <v>45979.0</v>
      </c>
      <c r="L1517" s="5" t="n">
        <v>45975.0</v>
      </c>
      <c r="M1517" s="3" t="inlineStr">
        <is>
          <t>Approved</t>
        </is>
      </c>
      <c r="N1517" s="3" t="inlineStr">
        <is>
          <t>Study Close</t>
        </is>
      </c>
      <c r="O1517" s="3" t="inlineStr">
        <is>
          <t>42847922MDD3003</t>
        </is>
      </c>
    </row>
    <row r="1518">
      <c r="A1518" s="2" t="str">
        <f>HYPERLINK("https://vtmf.veevavault.com/ui/#doc_info/31791320/1/0", "42847922MDD3003---Team Meetings-14 Nov 2025 (v1.0)")</f>
        <v>42847922MDD3003---Team Meetings-14 Nov 2025 (v1.0)</v>
      </c>
      <c r="B1518" s="3" t="inlineStr">
        <is>
          <t>Trial Management</t>
        </is>
      </c>
      <c r="C1518" s="3" t="inlineStr">
        <is>
          <t>Meetings</t>
        </is>
      </c>
      <c r="D1518" s="3" t="inlineStr">
        <is>
          <t>Team Meetings</t>
        </is>
      </c>
      <c r="E1518" s="3" t="inlineStr">
        <is>
          <t>Site review discussion - sites for discussion - meeting minutes</t>
        </is>
      </c>
      <c r="F1518" s="2" t="str">
        <f>HYPERLINK("https://vtmf.veevavault.com/ui/#doc_info/31791320/1/0", "VTMF-25661645")</f>
        <v>VTMF-25661645</v>
      </c>
      <c r="G1518" s="3" t="inlineStr">
        <is>
          <t/>
        </is>
      </c>
      <c r="H1518" s="3" t="inlineStr">
        <is>
          <t>System</t>
        </is>
      </c>
      <c r="I1518" s="3" t="inlineStr">
        <is>
          <t>Debhora Garcia</t>
        </is>
      </c>
      <c r="J1518" s="4" t="n">
        <v>46174.85465277778</v>
      </c>
      <c r="K1518" s="5" t="n">
        <v>46174.0</v>
      </c>
      <c r="L1518" s="5" t="n">
        <v>45975.0</v>
      </c>
      <c r="M1518" s="3" t="inlineStr">
        <is>
          <t>Approved</t>
        </is>
      </c>
      <c r="N1518" s="3" t="inlineStr">
        <is>
          <t>Study Close</t>
        </is>
      </c>
      <c r="O1518" s="3" t="inlineStr">
        <is>
          <t>42847922MDD3003</t>
        </is>
      </c>
    </row>
    <row r="1519">
      <c r="A1519" s="2" t="str">
        <f>HYPERLINK("https://vtmf.veevavault.com/ui/#doc_info/31502095/1/0", "42847922MDD3003---Team Meetings-15 Apr 2026 (v1.0)")</f>
        <v>42847922MDD3003---Team Meetings-15 Apr 2026 (v1.0)</v>
      </c>
      <c r="B1519" s="3" t="inlineStr">
        <is>
          <t>Trial Management</t>
        </is>
      </c>
      <c r="C1519" s="3" t="inlineStr">
        <is>
          <t>Meetings</t>
        </is>
      </c>
      <c r="D1519" s="3" t="inlineStr">
        <is>
          <t>Team Meetings</t>
        </is>
      </c>
      <c r="E1519" s="3" t="inlineStr">
        <is>
          <t>CMWG_Meeting minutes</t>
        </is>
      </c>
      <c r="F1519" s="2" t="str">
        <f>HYPERLINK("https://vtmf.veevavault.com/ui/#doc_info/31502095/1/0", "VTMF-25420261")</f>
        <v>VTMF-25420261</v>
      </c>
      <c r="G1519" s="3" t="inlineStr">
        <is>
          <t/>
        </is>
      </c>
      <c r="H1519" s="3" t="inlineStr">
        <is>
          <t>System</t>
        </is>
      </c>
      <c r="I1519" s="3" t="inlineStr">
        <is>
          <t>Elena Toshkova</t>
        </is>
      </c>
      <c r="J1519" s="4" t="n">
        <v>46133.803078703706</v>
      </c>
      <c r="K1519" s="5" t="n">
        <v>46133.0</v>
      </c>
      <c r="L1519" s="5" t="n">
        <v>46127.0</v>
      </c>
      <c r="M1519" s="3" t="inlineStr">
        <is>
          <t>Approved</t>
        </is>
      </c>
      <c r="N1519" s="3" t="inlineStr">
        <is>
          <t>Study Close</t>
        </is>
      </c>
      <c r="O1519" s="3" t="inlineStr">
        <is>
          <t>42847922MDD3003</t>
        </is>
      </c>
    </row>
    <row r="1520">
      <c r="A1520" s="2" t="str">
        <f>HYPERLINK("https://vtmf.veevavault.com/ui/#doc_info/28096244/1/0", "42847922MDD3003---Team Meetings-15 Jan 2025 (v1.0)")</f>
        <v>42847922MDD3003---Team Meetings-15 Jan 2025 (v1.0)</v>
      </c>
      <c r="B1520" s="3" t="inlineStr">
        <is>
          <t>Trial Management</t>
        </is>
      </c>
      <c r="C1520" s="3" t="inlineStr">
        <is>
          <t>Meetings</t>
        </is>
      </c>
      <c r="D1520" s="3" t="inlineStr">
        <is>
          <t>Team Meetings</t>
        </is>
      </c>
      <c r="E1520" s="3" t="inlineStr">
        <is>
          <t>CFTT Meeting Minutes</t>
        </is>
      </c>
      <c r="F1520" s="2" t="str">
        <f>HYPERLINK("https://vtmf.veevavault.com/ui/#doc_info/28096244/1/0", "VTMF-22532292")</f>
        <v>VTMF-22532292</v>
      </c>
      <c r="G1520" s="3" t="inlineStr">
        <is>
          <t/>
        </is>
      </c>
      <c r="H1520" s="3" t="inlineStr">
        <is>
          <t>Anthony Suarez (veeva.com)</t>
        </is>
      </c>
      <c r="I1520" s="3" t="inlineStr">
        <is>
          <t>Debhora Garcia</t>
        </is>
      </c>
      <c r="J1520" s="4" t="n">
        <v>45674.0290625</v>
      </c>
      <c r="K1520" s="5" t="n">
        <v>45674.0</v>
      </c>
      <c r="L1520" s="5" t="n">
        <v>45672.0</v>
      </c>
      <c r="M1520" s="3" t="inlineStr">
        <is>
          <t>Approved</t>
        </is>
      </c>
      <c r="N1520" s="3" t="inlineStr">
        <is>
          <t>Study Close</t>
        </is>
      </c>
      <c r="O1520" s="3" t="inlineStr">
        <is>
          <t>42847922MDD3003</t>
        </is>
      </c>
    </row>
    <row r="1521">
      <c r="A1521" s="2" t="str">
        <f>HYPERLINK("https://vtmf.veevavault.com/ui/#doc_info/31792201/1/0", "42847922MDD3003---Team Meetings-15 May 2026 (v1.0)")</f>
        <v>42847922MDD3003---Team Meetings-15 May 2026 (v1.0)</v>
      </c>
      <c r="B1521" s="3" t="inlineStr">
        <is>
          <t>Trial Management</t>
        </is>
      </c>
      <c r="C1521" s="3" t="inlineStr">
        <is>
          <t>Meetings</t>
        </is>
      </c>
      <c r="D1521" s="3" t="inlineStr">
        <is>
          <t>Team Meetings</t>
        </is>
      </c>
      <c r="E1521" s="3" t="inlineStr">
        <is>
          <t>Site review discussion - sites for discussion - meeting minutes</t>
        </is>
      </c>
      <c r="F1521" s="2" t="str">
        <f>HYPERLINK("https://vtmf.veevavault.com/ui/#doc_info/31792201/1/0", "VTMF-25662520")</f>
        <v>VTMF-25662520</v>
      </c>
      <c r="G1521" s="3" t="inlineStr">
        <is>
          <t/>
        </is>
      </c>
      <c r="H1521" s="3" t="inlineStr">
        <is>
          <t>System</t>
        </is>
      </c>
      <c r="I1521" s="3" t="inlineStr">
        <is>
          <t>Debhora Garcia</t>
        </is>
      </c>
      <c r="J1521" s="4" t="n">
        <v>46175.011712962965</v>
      </c>
      <c r="K1521" s="5" t="n">
        <v>46174.0</v>
      </c>
      <c r="L1521" s="5" t="n">
        <v>46157.0</v>
      </c>
      <c r="M1521" s="3" t="inlineStr">
        <is>
          <t>Approved</t>
        </is>
      </c>
      <c r="N1521" s="3" t="inlineStr">
        <is>
          <t>Study Close</t>
        </is>
      </c>
      <c r="O1521" s="3" t="inlineStr">
        <is>
          <t>42847922MDD3003</t>
        </is>
      </c>
    </row>
    <row r="1522">
      <c r="A1522" s="2" t="str">
        <f>HYPERLINK("https://vtmf.veevavault.com/ui/#doc_info/24646771/1/0", "42847922MDD3003---Team Meetings-16 Aug 2023 (v1.0)")</f>
        <v>42847922MDD3003---Team Meetings-16 Aug 2023 (v1.0)</v>
      </c>
      <c r="B1522" s="3" t="inlineStr">
        <is>
          <t>Trial Management</t>
        </is>
      </c>
      <c r="C1522" s="3" t="inlineStr">
        <is>
          <t>Meetings</t>
        </is>
      </c>
      <c r="D1522" s="3" t="inlineStr">
        <is>
          <t>Team Meetings</t>
        </is>
      </c>
      <c r="E1522" s="3" t="inlineStr">
        <is>
          <t>CFTT Meeting Minutes</t>
        </is>
      </c>
      <c r="F1522" s="2" t="str">
        <f>HYPERLINK("https://vtmf.veevavault.com/ui/#doc_info/24646771/1/0", "VTMF-19592783")</f>
        <v>VTMF-19592783</v>
      </c>
      <c r="G1522" s="3" t="inlineStr">
        <is>
          <t/>
        </is>
      </c>
      <c r="H1522" s="3" t="inlineStr">
        <is>
          <t>Gina Stefanelli</t>
        </is>
      </c>
      <c r="I1522" s="3" t="inlineStr">
        <is>
          <t>Debhora Garcia</t>
        </is>
      </c>
      <c r="J1522" s="4" t="n">
        <v>45155.72792824074</v>
      </c>
      <c r="K1522" s="5" t="n">
        <v>45155.0</v>
      </c>
      <c r="L1522" s="5" t="n">
        <v>45154.0</v>
      </c>
      <c r="M1522" s="3" t="inlineStr">
        <is>
          <t>Approved</t>
        </is>
      </c>
      <c r="N1522" s="3" t="inlineStr">
        <is>
          <t>Study Close</t>
        </is>
      </c>
      <c r="O1522" s="3" t="inlineStr">
        <is>
          <t>42847922MDD3003</t>
        </is>
      </c>
    </row>
    <row r="1523">
      <c r="A1523" s="2" t="str">
        <f>HYPERLINK("https://vtmf.veevavault.com/ui/#doc_info/30643073/1/0", "42847922MDD3003---Team Meetings-16 Dec 2025 (v1.0)")</f>
        <v>42847922MDD3003---Team Meetings-16 Dec 2025 (v1.0)</v>
      </c>
      <c r="B1523" s="3" t="inlineStr">
        <is>
          <t>Trial Management</t>
        </is>
      </c>
      <c r="C1523" s="3" t="inlineStr">
        <is>
          <t>Meetings</t>
        </is>
      </c>
      <c r="D1523" s="3" t="inlineStr">
        <is>
          <t>Team Meetings</t>
        </is>
      </c>
      <c r="E1523" s="3" t="inlineStr">
        <is>
          <t>SMT Meeting minutes</t>
        </is>
      </c>
      <c r="F1523" s="2" t="str">
        <f>HYPERLINK("https://vtmf.veevavault.com/ui/#doc_info/30643073/1/0", "VTMF-24692308")</f>
        <v>VTMF-24692308</v>
      </c>
      <c r="G1523" s="3" t="inlineStr">
        <is>
          <t/>
        </is>
      </c>
      <c r="H1523" s="3" t="inlineStr">
        <is>
          <t>System</t>
        </is>
      </c>
      <c r="I1523" s="3" t="inlineStr">
        <is>
          <t>Debhora Garcia</t>
        </is>
      </c>
      <c r="J1523" s="4" t="n">
        <v>46010.03939814815</v>
      </c>
      <c r="K1523" s="5" t="n">
        <v>46009.0</v>
      </c>
      <c r="L1523" s="5" t="n">
        <v>46007.0</v>
      </c>
      <c r="M1523" s="3" t="inlineStr">
        <is>
          <t>Approved</t>
        </is>
      </c>
      <c r="N1523" s="3" t="inlineStr">
        <is>
          <t>Study Close</t>
        </is>
      </c>
      <c r="O1523" s="3" t="inlineStr">
        <is>
          <t>42847922MDD3003</t>
        </is>
      </c>
    </row>
    <row r="1524">
      <c r="A1524" s="2" t="str">
        <f>HYPERLINK("https://vtmf.veevavault.com/ui/#doc_info/26720279/1/0", "42847922MDD3003---Team Meetings-16 Jul 2024 (v1.0)")</f>
        <v>42847922MDD3003---Team Meetings-16 Jul 2024 (v1.0)</v>
      </c>
      <c r="B1524" s="3" t="inlineStr">
        <is>
          <t>Trial Management</t>
        </is>
      </c>
      <c r="C1524" s="3" t="inlineStr">
        <is>
          <t>Meetings</t>
        </is>
      </c>
      <c r="D1524" s="3" t="inlineStr">
        <is>
          <t>Team Meetings</t>
        </is>
      </c>
      <c r="E1524" s="3" t="inlineStr">
        <is>
          <t>SMT Meeting Minutes</t>
        </is>
      </c>
      <c r="F1524" s="2" t="str">
        <f>HYPERLINK("https://vtmf.veevavault.com/ui/#doc_info/26720279/1/0", "VTMF-21410399")</f>
        <v>VTMF-21410399</v>
      </c>
      <c r="G1524" s="3" t="inlineStr">
        <is>
          <t/>
        </is>
      </c>
      <c r="H1524" s="3" t="inlineStr">
        <is>
          <t>Gina Stefanelli</t>
        </is>
      </c>
      <c r="I1524" s="3" t="inlineStr">
        <is>
          <t>Debhora Garcia</t>
        </is>
      </c>
      <c r="J1524" s="4" t="n">
        <v>45490.09601851852</v>
      </c>
      <c r="K1524" s="5" t="n">
        <v>45489.0</v>
      </c>
      <c r="L1524" s="5" t="n">
        <v>45489.0</v>
      </c>
      <c r="M1524" s="3" t="inlineStr">
        <is>
          <t>Approved</t>
        </is>
      </c>
      <c r="N1524" s="3" t="inlineStr">
        <is>
          <t>Study Close</t>
        </is>
      </c>
      <c r="O1524" s="3" t="inlineStr">
        <is>
          <t>42847922MDD3003</t>
        </is>
      </c>
    </row>
    <row r="1525">
      <c r="A1525" s="2" t="str">
        <f>HYPERLINK("https://vtmf.veevavault.com/ui/#doc_info/29569593/1/0", "42847922MDD3003---Team Meetings-16 Jul 2025 (v1.0)")</f>
        <v>42847922MDD3003---Team Meetings-16 Jul 2025 (v1.0)</v>
      </c>
      <c r="B1525" s="3" t="inlineStr">
        <is>
          <t>Trial Management</t>
        </is>
      </c>
      <c r="C1525" s="3" t="inlineStr">
        <is>
          <t>Meetings</t>
        </is>
      </c>
      <c r="D1525" s="3" t="inlineStr">
        <is>
          <t>Team Meetings</t>
        </is>
      </c>
      <c r="E1525" s="3" t="inlineStr">
        <is>
          <t>CFTT Meeting minutes</t>
        </is>
      </c>
      <c r="F1525" s="2" t="str">
        <f>HYPERLINK("https://vtmf.veevavault.com/ui/#doc_info/29569593/1/0", "VTMF-23784491")</f>
        <v>VTMF-23784491</v>
      </c>
      <c r="G1525" s="3" t="inlineStr">
        <is>
          <t/>
        </is>
      </c>
      <c r="H1525" s="3" t="inlineStr">
        <is>
          <t>System</t>
        </is>
      </c>
      <c r="I1525" s="3" t="inlineStr">
        <is>
          <t>Debhora Garcia</t>
        </is>
      </c>
      <c r="J1525" s="4" t="n">
        <v>45854.90232638889</v>
      </c>
      <c r="K1525" s="5" t="n">
        <v>45854.0</v>
      </c>
      <c r="L1525" s="5" t="n">
        <v>45854.0</v>
      </c>
      <c r="M1525" s="3" t="inlineStr">
        <is>
          <t>Approved</t>
        </is>
      </c>
      <c r="N1525" s="3" t="inlineStr">
        <is>
          <t>Study Close</t>
        </is>
      </c>
      <c r="O1525" s="3" t="inlineStr">
        <is>
          <t>42847922MDD3003</t>
        </is>
      </c>
    </row>
    <row r="1526">
      <c r="A1526" s="2" t="str">
        <f>HYPERLINK("https://vtmf.veevavault.com/ui/#doc_info/31792095/1/0", "42847922MDD3003---Team Meetings-17 Apr 2026 (v1.0)")</f>
        <v>42847922MDD3003---Team Meetings-17 Apr 2026 (v1.0)</v>
      </c>
      <c r="B1526" s="3" t="inlineStr">
        <is>
          <t>Trial Management</t>
        </is>
      </c>
      <c r="C1526" s="3" t="inlineStr">
        <is>
          <t>Meetings</t>
        </is>
      </c>
      <c r="D1526" s="3" t="inlineStr">
        <is>
          <t>Team Meetings</t>
        </is>
      </c>
      <c r="E1526" s="3" t="inlineStr">
        <is>
          <t>Site review discussion - sites for discussion - meeting minutes</t>
        </is>
      </c>
      <c r="F1526" s="2" t="str">
        <f>HYPERLINK("https://vtmf.veevavault.com/ui/#doc_info/31792095/1/0", "VTMF-25662498")</f>
        <v>VTMF-25662498</v>
      </c>
      <c r="G1526" s="3" t="inlineStr">
        <is>
          <t/>
        </is>
      </c>
      <c r="H1526" s="3" t="inlineStr">
        <is>
          <t>System</t>
        </is>
      </c>
      <c r="I1526" s="3" t="inlineStr">
        <is>
          <t>Debhora Garcia</t>
        </is>
      </c>
      <c r="J1526" s="4" t="n">
        <v>46175.0096412037</v>
      </c>
      <c r="K1526" s="5" t="n">
        <v>46174.0</v>
      </c>
      <c r="L1526" s="5" t="n">
        <v>46129.0</v>
      </c>
      <c r="M1526" s="3" t="inlineStr">
        <is>
          <t>Approved</t>
        </is>
      </c>
      <c r="N1526" s="3" t="inlineStr">
        <is>
          <t>Study Close</t>
        </is>
      </c>
      <c r="O1526" s="3" t="inlineStr">
        <is>
          <t>42847922MDD3003</t>
        </is>
      </c>
    </row>
    <row r="1527">
      <c r="A1527" s="2" t="str">
        <f>HYPERLINK("https://vtmf.veevavault.com/ui/#doc_info/27937870/1/0", "42847922MDD3003---Team Meetings-17 Dec 2024 (v1.0)")</f>
        <v>42847922MDD3003---Team Meetings-17 Dec 2024 (v1.0)</v>
      </c>
      <c r="B1527" s="3" t="inlineStr">
        <is>
          <t>Trial Management</t>
        </is>
      </c>
      <c r="C1527" s="3" t="inlineStr">
        <is>
          <t>Meetings</t>
        </is>
      </c>
      <c r="D1527" s="3" t="inlineStr">
        <is>
          <t>Team Meetings</t>
        </is>
      </c>
      <c r="E1527" s="3" t="inlineStr">
        <is>
          <t>SMT Meeting minutes</t>
        </is>
      </c>
      <c r="F1527" s="2" t="str">
        <f>HYPERLINK("https://vtmf.veevavault.com/ui/#doc_info/27937870/1/0", "VTMF-22399441")</f>
        <v>VTMF-22399441</v>
      </c>
      <c r="G1527" s="3" t="inlineStr">
        <is>
          <t/>
        </is>
      </c>
      <c r="H1527" s="3" t="inlineStr">
        <is>
          <t>Anthony Suarez (veeva.com)</t>
        </is>
      </c>
      <c r="I1527" s="3" t="inlineStr">
        <is>
          <t>Debhora Garcia</t>
        </is>
      </c>
      <c r="J1527" s="4" t="n">
        <v>45644.88065972222</v>
      </c>
      <c r="K1527" s="5" t="n">
        <v>45644.0</v>
      </c>
      <c r="L1527" s="5" t="n">
        <v>45643.0</v>
      </c>
      <c r="M1527" s="3" t="inlineStr">
        <is>
          <t>Approved</t>
        </is>
      </c>
      <c r="N1527" s="3" t="inlineStr">
        <is>
          <t>Study Close</t>
        </is>
      </c>
      <c r="O1527" s="3" t="inlineStr">
        <is>
          <t>42847922MDD3003</t>
        </is>
      </c>
    </row>
    <row r="1528">
      <c r="A1528" s="2" t="str">
        <f>HYPERLINK("https://vtmf.veevavault.com/ui/#doc_info/30643153/1/0", "42847922MDD3003---Team Meetings-17 Dec 2025 (v1.0)")</f>
        <v>42847922MDD3003---Team Meetings-17 Dec 2025 (v1.0)</v>
      </c>
      <c r="B1528" s="3" t="inlineStr">
        <is>
          <t>Trial Management</t>
        </is>
      </c>
      <c r="C1528" s="3" t="inlineStr">
        <is>
          <t>Meetings</t>
        </is>
      </c>
      <c r="D1528" s="3" t="inlineStr">
        <is>
          <t>Team Meetings</t>
        </is>
      </c>
      <c r="E1528" s="3" t="inlineStr">
        <is>
          <t>CFTT Meeting minutes</t>
        </is>
      </c>
      <c r="F1528" s="2" t="str">
        <f>HYPERLINK("https://vtmf.veevavault.com/ui/#doc_info/30643153/1/0", "VTMF-24692343")</f>
        <v>VTMF-24692343</v>
      </c>
      <c r="G1528" s="3" t="inlineStr">
        <is>
          <t/>
        </is>
      </c>
      <c r="H1528" s="3" t="inlineStr">
        <is>
          <t>System</t>
        </is>
      </c>
      <c r="I1528" s="3" t="inlineStr">
        <is>
          <t>Debhora Garcia</t>
        </is>
      </c>
      <c r="J1528" s="4" t="n">
        <v>46010.04717592592</v>
      </c>
      <c r="K1528" s="5" t="n">
        <v>46009.0</v>
      </c>
      <c r="L1528" s="5" t="n">
        <v>46008.0</v>
      </c>
      <c r="M1528" s="3" t="inlineStr">
        <is>
          <t>Approved</t>
        </is>
      </c>
      <c r="N1528" s="3" t="inlineStr">
        <is>
          <t>Study Close</t>
        </is>
      </c>
      <c r="O1528" s="3" t="inlineStr">
        <is>
          <t>42847922MDD3003, 42847922MDD3014</t>
        </is>
      </c>
    </row>
    <row r="1529">
      <c r="A1529" s="2" t="str">
        <f>HYPERLINK("https://vtmf.veevavault.com/ui/#doc_info/25532650/1/0", "42847922MDD3003---Team Meetings-17 Jan 2024 (v1.0)")</f>
        <v>42847922MDD3003---Team Meetings-17 Jan 2024 (v1.0)</v>
      </c>
      <c r="B1529" s="3" t="inlineStr">
        <is>
          <t>Trial Management</t>
        </is>
      </c>
      <c r="C1529" s="3" t="inlineStr">
        <is>
          <t>Meetings</t>
        </is>
      </c>
      <c r="D1529" s="3" t="inlineStr">
        <is>
          <t>Team Meetings</t>
        </is>
      </c>
      <c r="E1529" s="3" t="inlineStr">
        <is>
          <t>CFTT Meeting Minutes</t>
        </is>
      </c>
      <c r="F1529" s="2" t="str">
        <f>HYPERLINK("https://vtmf.veevavault.com/ui/#doc_info/25532650/1/0", "VTMF-20367861")</f>
        <v>VTMF-20367861</v>
      </c>
      <c r="G1529" s="3" t="inlineStr">
        <is>
          <t/>
        </is>
      </c>
      <c r="H1529" s="3" t="inlineStr">
        <is>
          <t>Gina Stefanelli</t>
        </is>
      </c>
      <c r="I1529" s="3" t="inlineStr">
        <is>
          <t>Debhora Garcia</t>
        </is>
      </c>
      <c r="J1529" s="4" t="n">
        <v>45310.0721412037</v>
      </c>
      <c r="K1529" s="5" t="n">
        <v>45309.0</v>
      </c>
      <c r="L1529" s="5" t="n">
        <v>45308.0</v>
      </c>
      <c r="M1529" s="3" t="inlineStr">
        <is>
          <t>Approved</t>
        </is>
      </c>
      <c r="N1529" s="3" t="inlineStr">
        <is>
          <t>Study Close</t>
        </is>
      </c>
      <c r="O1529" s="3" t="inlineStr">
        <is>
          <t>42847922MDD3003</t>
        </is>
      </c>
    </row>
    <row r="1530">
      <c r="A1530" s="2" t="str">
        <f>HYPERLINK("https://vtmf.veevavault.com/ui/#doc_info/26739730/1/0", "42847922MDD3003---Team Meetings-17 Jul 2024 (v1.0)")</f>
        <v>42847922MDD3003---Team Meetings-17 Jul 2024 (v1.0)</v>
      </c>
      <c r="B1530" s="3" t="inlineStr">
        <is>
          <t>Trial Management</t>
        </is>
      </c>
      <c r="C1530" s="3" t="inlineStr">
        <is>
          <t>Meetings</t>
        </is>
      </c>
      <c r="D1530" s="3" t="inlineStr">
        <is>
          <t>Team Meetings</t>
        </is>
      </c>
      <c r="E1530" s="3" t="inlineStr">
        <is>
          <t>CFTT Meeting Minutes</t>
        </is>
      </c>
      <c r="F1530" s="2" t="str">
        <f>HYPERLINK("https://vtmf.veevavault.com/ui/#doc_info/26739730/1/0", "VTMF-21427070")</f>
        <v>VTMF-21427070</v>
      </c>
      <c r="G1530" s="3" t="inlineStr">
        <is>
          <t/>
        </is>
      </c>
      <c r="H1530" s="3" t="inlineStr">
        <is>
          <t>Gina Stefanelli</t>
        </is>
      </c>
      <c r="I1530" s="3" t="inlineStr">
        <is>
          <t>Debhora Garcia</t>
        </is>
      </c>
      <c r="J1530" s="4" t="n">
        <v>45492.892858796295</v>
      </c>
      <c r="K1530" s="5" t="n">
        <v>45492.0</v>
      </c>
      <c r="L1530" s="5" t="n">
        <v>45490.0</v>
      </c>
      <c r="M1530" s="3" t="inlineStr">
        <is>
          <t>Approved</t>
        </is>
      </c>
      <c r="N1530" s="3" t="inlineStr">
        <is>
          <t>Study Close</t>
        </is>
      </c>
      <c r="O1530" s="3" t="inlineStr">
        <is>
          <t>42847922MDD3003</t>
        </is>
      </c>
    </row>
    <row r="1531">
      <c r="A1531" s="2" t="str">
        <f>HYPERLINK("https://vtmf.veevavault.com/ui/#doc_info/31215867/1/0", "42847922MDD3003---Team Meetings-17 Mar 2026 (v1.0)")</f>
        <v>42847922MDD3003---Team Meetings-17 Mar 2026 (v1.0)</v>
      </c>
      <c r="B1531" s="3" t="inlineStr">
        <is>
          <t>Trial Management</t>
        </is>
      </c>
      <c r="C1531" s="3" t="inlineStr">
        <is>
          <t>Meetings</t>
        </is>
      </c>
      <c r="D1531" s="3" t="inlineStr">
        <is>
          <t>Team Meetings</t>
        </is>
      </c>
      <c r="E1531" s="3" t="inlineStr">
        <is>
          <t>CMWG_ Meeting minutes</t>
        </is>
      </c>
      <c r="F1531" s="2" t="str">
        <f>HYPERLINK("https://vtmf.veevavault.com/ui/#doc_info/31215867/1/0", "VTMF-25170944")</f>
        <v>VTMF-25170944</v>
      </c>
      <c r="G1531" s="3" t="inlineStr">
        <is>
          <t/>
        </is>
      </c>
      <c r="H1531" s="3" t="inlineStr">
        <is>
          <t>System</t>
        </is>
      </c>
      <c r="I1531" s="3" t="inlineStr">
        <is>
          <t>Elena Toshkova</t>
        </is>
      </c>
      <c r="J1531" s="4" t="n">
        <v>46100.92528935185</v>
      </c>
      <c r="K1531" s="5" t="n">
        <v>46100.0</v>
      </c>
      <c r="L1531" s="5" t="n">
        <v>46098.0</v>
      </c>
      <c r="M1531" s="3" t="inlineStr">
        <is>
          <t>Approved</t>
        </is>
      </c>
      <c r="N1531" s="3" t="inlineStr">
        <is>
          <t>Study Close</t>
        </is>
      </c>
      <c r="O1531" s="3" t="inlineStr">
        <is>
          <t>42847922MDD3003</t>
        </is>
      </c>
    </row>
    <row r="1532">
      <c r="A1532" s="2" t="str">
        <f>HYPERLINK("https://vtmf.veevavault.com/ui/#doc_info/31791195/1/0", "42847922MDD3003---Team Meetings-17 Oct 2025 (v1.0)")</f>
        <v>42847922MDD3003---Team Meetings-17 Oct 2025 (v1.0)</v>
      </c>
      <c r="B1532" s="3" t="inlineStr">
        <is>
          <t>Trial Management</t>
        </is>
      </c>
      <c r="C1532" s="3" t="inlineStr">
        <is>
          <t>Meetings</t>
        </is>
      </c>
      <c r="D1532" s="3" t="inlineStr">
        <is>
          <t>Team Meetings</t>
        </is>
      </c>
      <c r="E1532" s="3" t="inlineStr">
        <is>
          <t>Site reviewdiscussion - sites for discussion - meeting minutes</t>
        </is>
      </c>
      <c r="F1532" s="2" t="str">
        <f>HYPERLINK("https://vtmf.veevavault.com/ui/#doc_info/31791195/1/0", "VTMF-25661544")</f>
        <v>VTMF-25661544</v>
      </c>
      <c r="G1532" s="3" t="inlineStr">
        <is>
          <t/>
        </is>
      </c>
      <c r="H1532" s="3" t="inlineStr">
        <is>
          <t>System</t>
        </is>
      </c>
      <c r="I1532" s="3" t="inlineStr">
        <is>
          <t>Debhora Garcia</t>
        </is>
      </c>
      <c r="J1532" s="4" t="n">
        <v>46174.84028935185</v>
      </c>
      <c r="K1532" s="5" t="n">
        <v>46174.0</v>
      </c>
      <c r="L1532" s="5" t="n">
        <v>45947.0</v>
      </c>
      <c r="M1532" s="3" t="inlineStr">
        <is>
          <t>Approved</t>
        </is>
      </c>
      <c r="N1532" s="3" t="inlineStr">
        <is>
          <t>Study Close</t>
        </is>
      </c>
      <c r="O1532" s="3" t="inlineStr">
        <is>
          <t>42847922MDD3003</t>
        </is>
      </c>
    </row>
    <row r="1533">
      <c r="A1533" s="2" t="str">
        <f>HYPERLINK("https://vtmf.veevavault.com/ui/#doc_info/26188434/1/0", "42847922MDD3003---Team Meetings-18 Apr 2024 (v1.0)")</f>
        <v>42847922MDD3003---Team Meetings-18 Apr 2024 (v1.0)</v>
      </c>
      <c r="B1533" s="3" t="inlineStr">
        <is>
          <t>Trial Management</t>
        </is>
      </c>
      <c r="C1533" s="3" t="inlineStr">
        <is>
          <t>Meetings</t>
        </is>
      </c>
      <c r="D1533" s="3" t="inlineStr">
        <is>
          <t>Team Meetings</t>
        </is>
      </c>
      <c r="E1533" s="3" t="inlineStr">
        <is>
          <t>tSDV Specifications Meeting Minutes</t>
        </is>
      </c>
      <c r="F1533" s="2" t="str">
        <f>HYPERLINK("https://vtmf.veevavault.com/ui/#doc_info/26188434/1/0", "VTMF-20944756")</f>
        <v>VTMF-20944756</v>
      </c>
      <c r="G1533" s="3" t="inlineStr">
        <is>
          <t/>
        </is>
      </c>
      <c r="H1533" s="3" t="inlineStr">
        <is>
          <t>Anthony Suarez (veeva.com)</t>
        </is>
      </c>
      <c r="I1533" s="3" t="inlineStr">
        <is>
          <t>Vanya Drandarova</t>
        </is>
      </c>
      <c r="J1533" s="4" t="n">
        <v>45405.559641203705</v>
      </c>
      <c r="K1533" s="5" t="n">
        <v>45405.0</v>
      </c>
      <c r="L1533" s="5" t="n">
        <v>45400.0</v>
      </c>
      <c r="M1533" s="3" t="inlineStr">
        <is>
          <t>Approved</t>
        </is>
      </c>
      <c r="N1533" s="3" t="inlineStr">
        <is>
          <t>Study Close</t>
        </is>
      </c>
      <c r="O1533" s="3" t="inlineStr">
        <is>
          <t>42847922MDD3003</t>
        </is>
      </c>
    </row>
    <row r="1534">
      <c r="A1534" s="2" t="str">
        <f>HYPERLINK("https://vtmf.veevavault.com/ui/#doc_info/30648605/1/0", "42847922MDD3003---Team Meetings-18 Dec 2025 (v1.0)")</f>
        <v>42847922MDD3003---Team Meetings-18 Dec 2025 (v1.0)</v>
      </c>
      <c r="B1534" s="3" t="inlineStr">
        <is>
          <t>Trial Management</t>
        </is>
      </c>
      <c r="C1534" s="3" t="inlineStr">
        <is>
          <t>Meetings</t>
        </is>
      </c>
      <c r="D1534" s="3" t="inlineStr">
        <is>
          <t>Team Meetings</t>
        </is>
      </c>
      <c r="E1534" s="3" t="inlineStr">
        <is>
          <t>PDIE Meeting Minutes</t>
        </is>
      </c>
      <c r="F1534" s="2" t="str">
        <f>HYPERLINK("https://vtmf.veevavault.com/ui/#doc_info/30648605/1/0", "VTMF-24696731")</f>
        <v>VTMF-24696731</v>
      </c>
      <c r="G1534" s="3" t="inlineStr">
        <is>
          <t/>
        </is>
      </c>
      <c r="H1534" s="3" t="inlineStr">
        <is>
          <t>System</t>
        </is>
      </c>
      <c r="I1534" s="3" t="inlineStr">
        <is>
          <t>Kristina Ruzinska</t>
        </is>
      </c>
      <c r="J1534" s="4" t="n">
        <v>46010.59627314815</v>
      </c>
      <c r="K1534" s="5" t="n">
        <v>46010.0</v>
      </c>
      <c r="L1534" s="5" t="n">
        <v>46009.0</v>
      </c>
      <c r="M1534" s="3" t="inlineStr">
        <is>
          <t>Approved</t>
        </is>
      </c>
      <c r="N1534" s="3" t="inlineStr">
        <is>
          <t>Study Close</t>
        </is>
      </c>
      <c r="O1534" s="3" t="inlineStr">
        <is>
          <t>42847922MDD3003</t>
        </is>
      </c>
    </row>
    <row r="1535">
      <c r="A1535" s="2" t="str">
        <f>HYPERLINK("https://vtmf.veevavault.com/ui/#doc_info/31038502/2/0", "42847922MDD3003---Team Meetings-18 Feb 2026 (v2.0)")</f>
        <v>42847922MDD3003---Team Meetings-18 Feb 2026 (v2.0)</v>
      </c>
      <c r="B1535" s="3" t="inlineStr">
        <is>
          <t>Trial Management</t>
        </is>
      </c>
      <c r="C1535" s="3" t="inlineStr">
        <is>
          <t>Meetings</t>
        </is>
      </c>
      <c r="D1535" s="3" t="inlineStr">
        <is>
          <t>Team Meetings</t>
        </is>
      </c>
      <c r="E1535" s="3" t="inlineStr">
        <is>
          <t>CMWG_ Meeting minutes</t>
        </is>
      </c>
      <c r="F1535" s="2" t="str">
        <f>HYPERLINK("https://vtmf.veevavault.com/ui/#doc_info/31038502/2/0", "VTMF-25021788")</f>
        <v>VTMF-25021788</v>
      </c>
      <c r="G1535" s="3" t="inlineStr">
        <is>
          <t/>
        </is>
      </c>
      <c r="H1535" s="3" t="inlineStr">
        <is>
          <t>System</t>
        </is>
      </c>
      <c r="I1535" s="3" t="inlineStr">
        <is>
          <t>Shelby Lawrence</t>
        </is>
      </c>
      <c r="J1535" s="4" t="n">
        <v>46098.69386574074</v>
      </c>
      <c r="K1535" s="5" t="n">
        <v>46098.0</v>
      </c>
      <c r="L1535" s="5" t="n">
        <v>46071.0</v>
      </c>
      <c r="M1535" s="3" t="inlineStr">
        <is>
          <t>Approved</t>
        </is>
      </c>
      <c r="N1535" s="3" t="inlineStr">
        <is>
          <t>Study Close</t>
        </is>
      </c>
      <c r="O1535" s="3" t="inlineStr">
        <is>
          <t>42847922MDD3003</t>
        </is>
      </c>
    </row>
    <row r="1536">
      <c r="A1536" s="2" t="str">
        <f>HYPERLINK("https://vtmf.veevavault.com/ui/#doc_info/26732271/1/0", "42847922MDD3003---Team Meetings-18 Jul 2024 (v1.0)")</f>
        <v>42847922MDD3003---Team Meetings-18 Jul 2024 (v1.0)</v>
      </c>
      <c r="B1536" s="3" t="inlineStr">
        <is>
          <t>Trial Management</t>
        </is>
      </c>
      <c r="C1536" s="3" t="inlineStr">
        <is>
          <t>Meetings</t>
        </is>
      </c>
      <c r="D1536" s="3" t="inlineStr">
        <is>
          <t>Team Meetings</t>
        </is>
      </c>
      <c r="E1536" s="3" t="inlineStr">
        <is>
          <t>Ventura_OARS_Moonlight_IPE connect_18July2024.pptx</t>
        </is>
      </c>
      <c r="F1536" s="2" t="str">
        <f>HYPERLINK("https://vtmf.veevavault.com/ui/#doc_info/26732271/1/0", "VTMF-21420758")</f>
        <v>VTMF-21420758</v>
      </c>
      <c r="G1536" s="3" t="inlineStr">
        <is>
          <t/>
        </is>
      </c>
      <c r="H1536" s="3" t="inlineStr">
        <is>
          <t>Anthony Suarez (veeva.com)</t>
        </is>
      </c>
      <c r="I1536" s="3" t="inlineStr">
        <is>
          <t>Astrid Lenaerts</t>
        </is>
      </c>
      <c r="J1536" s="4" t="n">
        <v>45491.69763888889</v>
      </c>
      <c r="K1536" s="5" t="n">
        <v>45491.0</v>
      </c>
      <c r="L1536" s="5" t="n">
        <v>45491.0</v>
      </c>
      <c r="M1536" s="3" t="inlineStr">
        <is>
          <t>Approved</t>
        </is>
      </c>
      <c r="N1536" s="3" t="inlineStr">
        <is>
          <t>Study Close</t>
        </is>
      </c>
      <c r="O1536" s="3" t="inlineStr">
        <is>
          <t>42847922MDD3003, 67953964MDD3005, 67953964MDD3007, 89495120MDD2001</t>
        </is>
      </c>
    </row>
    <row r="1537">
      <c r="A1537" s="2" t="str">
        <f>HYPERLINK("https://vtmf.veevavault.com/ui/#doc_info/26549821/1/0", "42847922MDD3003---Team Meetings-18 Jun 2024 (v1.0)")</f>
        <v>42847922MDD3003---Team Meetings-18 Jun 2024 (v1.0)</v>
      </c>
      <c r="B1537" s="3" t="inlineStr">
        <is>
          <t>Trial Management</t>
        </is>
      </c>
      <c r="C1537" s="3" t="inlineStr">
        <is>
          <t>Meetings</t>
        </is>
      </c>
      <c r="D1537" s="3" t="inlineStr">
        <is>
          <t>Team Meetings</t>
        </is>
      </c>
      <c r="E1537" s="3" t="inlineStr">
        <is>
          <t>SMT Meeting Minutes</t>
        </is>
      </c>
      <c r="F1537" s="2" t="str">
        <f>HYPERLINK("https://vtmf.veevavault.com/ui/#doc_info/26549821/1/0", "VTMF-21261789")</f>
        <v>VTMF-21261789</v>
      </c>
      <c r="G1537" s="3" t="inlineStr">
        <is>
          <t/>
        </is>
      </c>
      <c r="H1537" s="3" t="inlineStr">
        <is>
          <t>Gina Stefanelli</t>
        </is>
      </c>
      <c r="I1537" s="3" t="inlineStr">
        <is>
          <t>Debhora Garcia</t>
        </is>
      </c>
      <c r="J1537" s="4" t="n">
        <v>45462.06028935185</v>
      </c>
      <c r="K1537" s="5" t="n">
        <v>45461.0</v>
      </c>
      <c r="L1537" s="5" t="n">
        <v>45461.0</v>
      </c>
      <c r="M1537" s="3" t="inlineStr">
        <is>
          <t>Approved</t>
        </is>
      </c>
      <c r="N1537" s="3" t="inlineStr">
        <is>
          <t>Study Close</t>
        </is>
      </c>
      <c r="O1537" s="3" t="inlineStr">
        <is>
          <t>42847922MDD3003</t>
        </is>
      </c>
    </row>
    <row r="1538">
      <c r="A1538" s="2" t="str">
        <f>HYPERLINK("https://vtmf.veevavault.com/ui/#doc_info/29384221/1/0", "42847922MDD3003---Team Meetings-18 Jun 2025 (v1.0)")</f>
        <v>42847922MDD3003---Team Meetings-18 Jun 2025 (v1.0)</v>
      </c>
      <c r="B1538" s="3" t="inlineStr">
        <is>
          <t>Trial Management</t>
        </is>
      </c>
      <c r="C1538" s="3" t="inlineStr">
        <is>
          <t>Meetings</t>
        </is>
      </c>
      <c r="D1538" s="3" t="inlineStr">
        <is>
          <t>Team Meetings</t>
        </is>
      </c>
      <c r="E1538" s="3" t="inlineStr">
        <is>
          <t>CFTT Meeting minutes</t>
        </is>
      </c>
      <c r="F1538" s="2" t="str">
        <f>HYPERLINK("https://vtmf.veevavault.com/ui/#doc_info/29384221/1/0", "VTMF-23623991")</f>
        <v>VTMF-23623991</v>
      </c>
      <c r="G1538" s="3" t="inlineStr">
        <is>
          <t/>
        </is>
      </c>
      <c r="H1538" s="3" t="inlineStr">
        <is>
          <t>Anthony Suarez (veeva.com)</t>
        </is>
      </c>
      <c r="I1538" s="3" t="inlineStr">
        <is>
          <t>Debhora Garcia</t>
        </is>
      </c>
      <c r="J1538" s="4" t="n">
        <v>45827.14855324074</v>
      </c>
      <c r="K1538" s="5" t="n">
        <v>45827.0</v>
      </c>
      <c r="L1538" s="5" t="n">
        <v>45826.0</v>
      </c>
      <c r="M1538" s="3" t="inlineStr">
        <is>
          <t>Approved</t>
        </is>
      </c>
      <c r="N1538" s="3" t="inlineStr">
        <is>
          <t>Study Close</t>
        </is>
      </c>
      <c r="O1538" s="3" t="inlineStr">
        <is>
          <t>42847922MDD3003</t>
        </is>
      </c>
    </row>
    <row r="1539">
      <c r="A1539" s="2" t="str">
        <f>HYPERLINK("https://vtmf.veevavault.com/ui/#doc_info/28713479/1/0", "42847922MDD3003---Team Meetings-18 Mar 2025 (v1.0)")</f>
        <v>42847922MDD3003---Team Meetings-18 Mar 2025 (v1.0)</v>
      </c>
      <c r="B1539" s="3" t="inlineStr">
        <is>
          <t>Trial Management</t>
        </is>
      </c>
      <c r="C1539" s="3" t="inlineStr">
        <is>
          <t>Meetings</t>
        </is>
      </c>
      <c r="D1539" s="3" t="inlineStr">
        <is>
          <t>Team Meetings</t>
        </is>
      </c>
      <c r="E1539" s="3" t="inlineStr">
        <is>
          <t>SMT Meeting Minutes</t>
        </is>
      </c>
      <c r="F1539" s="2" t="str">
        <f>HYPERLINK("https://vtmf.veevavault.com/ui/#doc_info/28713479/1/0", "VTMF-23066229")</f>
        <v>VTMF-23066229</v>
      </c>
      <c r="G1539" s="3" t="inlineStr">
        <is>
          <t/>
        </is>
      </c>
      <c r="H1539" s="3" t="inlineStr">
        <is>
          <t>Anthony Suarez (veeva.com)</t>
        </is>
      </c>
      <c r="I1539" s="3" t="inlineStr">
        <is>
          <t>Debhora Garcia</t>
        </is>
      </c>
      <c r="J1539" s="4" t="n">
        <v>45736.962789351855</v>
      </c>
      <c r="K1539" s="5" t="n">
        <v>45736.0</v>
      </c>
      <c r="L1539" s="5" t="n">
        <v>45734.0</v>
      </c>
      <c r="M1539" s="3" t="inlineStr">
        <is>
          <t>Approved</t>
        </is>
      </c>
      <c r="N1539" s="3" t="inlineStr">
        <is>
          <t>Study Close</t>
        </is>
      </c>
      <c r="O1539" s="3" t="inlineStr">
        <is>
          <t>42847922MDD3003</t>
        </is>
      </c>
    </row>
    <row r="1540">
      <c r="A1540" s="2" t="str">
        <f>HYPERLINK("https://vtmf.veevavault.com/ui/#doc_info/26565481/1/0", "42847922MDD3003---Team Meetings-19 Jun 2024 (v1.0)")</f>
        <v>42847922MDD3003---Team Meetings-19 Jun 2024 (v1.0)</v>
      </c>
      <c r="B1540" s="3" t="inlineStr">
        <is>
          <t>Trial Management</t>
        </is>
      </c>
      <c r="C1540" s="3" t="inlineStr">
        <is>
          <t>Meetings</t>
        </is>
      </c>
      <c r="D1540" s="3" t="inlineStr">
        <is>
          <t>Team Meetings</t>
        </is>
      </c>
      <c r="E1540" s="3" t="inlineStr">
        <is>
          <t>CFTT Meeting Minutes</t>
        </is>
      </c>
      <c r="F1540" s="2" t="str">
        <f>HYPERLINK("https://vtmf.veevavault.com/ui/#doc_info/26565481/1/0", "VTMF-21275279")</f>
        <v>VTMF-21275279</v>
      </c>
      <c r="G1540" s="3" t="inlineStr">
        <is>
          <t/>
        </is>
      </c>
      <c r="H1540" s="3" t="inlineStr">
        <is>
          <t>Gina Stefanelli</t>
        </is>
      </c>
      <c r="I1540" s="3" t="inlineStr">
        <is>
          <t>Debhora Garcia</t>
        </is>
      </c>
      <c r="J1540" s="4" t="n">
        <v>45464.11178240741</v>
      </c>
      <c r="K1540" s="5" t="n">
        <v>45463.0</v>
      </c>
      <c r="L1540" s="5" t="n">
        <v>45462.0</v>
      </c>
      <c r="M1540" s="3" t="inlineStr">
        <is>
          <t>Approved</t>
        </is>
      </c>
      <c r="N1540" s="3" t="inlineStr">
        <is>
          <t>Study Close</t>
        </is>
      </c>
      <c r="O1540" s="3" t="inlineStr">
        <is>
          <t>42847922MDD3003</t>
        </is>
      </c>
    </row>
    <row r="1541">
      <c r="A1541" s="2" t="str">
        <f>HYPERLINK("https://vtmf.veevavault.com/ui/#doc_info/31791982/1/0", "42847922MDD3003---Team Meetings-19 Mar 2026 (v1.0)")</f>
        <v>42847922MDD3003---Team Meetings-19 Mar 2026 (v1.0)</v>
      </c>
      <c r="B1541" s="3" t="inlineStr">
        <is>
          <t>Trial Management</t>
        </is>
      </c>
      <c r="C1541" s="3" t="inlineStr">
        <is>
          <t>Meetings</t>
        </is>
      </c>
      <c r="D1541" s="3" t="inlineStr">
        <is>
          <t>Team Meetings</t>
        </is>
      </c>
      <c r="E1541" s="3" t="inlineStr">
        <is>
          <t>Site review discussion - sites for discussion- meeting minutes</t>
        </is>
      </c>
      <c r="F1541" s="2" t="str">
        <f>HYPERLINK("https://vtmf.veevavault.com/ui/#doc_info/31791982/1/0", "VTMF-25662481")</f>
        <v>VTMF-25662481</v>
      </c>
      <c r="G1541" s="3" t="inlineStr">
        <is>
          <t/>
        </is>
      </c>
      <c r="H1541" s="3" t="inlineStr">
        <is>
          <t>System</t>
        </is>
      </c>
      <c r="I1541" s="3" t="inlineStr">
        <is>
          <t>Debhora Garcia</t>
        </is>
      </c>
      <c r="J1541" s="4" t="n">
        <v>46175.0056712963</v>
      </c>
      <c r="K1541" s="5" t="n">
        <v>46174.0</v>
      </c>
      <c r="L1541" s="5" t="n">
        <v>46100.0</v>
      </c>
      <c r="M1541" s="3" t="inlineStr">
        <is>
          <t>Approved</t>
        </is>
      </c>
      <c r="N1541" s="3" t="inlineStr">
        <is>
          <t>Study Close</t>
        </is>
      </c>
      <c r="O1541" s="3" t="inlineStr">
        <is>
          <t>42847922MDD3003</t>
        </is>
      </c>
    </row>
    <row r="1542">
      <c r="A1542" s="2" t="str">
        <f>HYPERLINK("https://vtmf.veevavault.com/ui/#doc_info/31808318/1/0", "42847922MDD3003---Team Meetings-19 May 2026 (v1.0)")</f>
        <v>42847922MDD3003---Team Meetings-19 May 2026 (v1.0)</v>
      </c>
      <c r="B1542" s="3" t="inlineStr">
        <is>
          <t>Trial Management</t>
        </is>
      </c>
      <c r="C1542" s="3" t="inlineStr">
        <is>
          <t>Meetings</t>
        </is>
      </c>
      <c r="D1542" s="3" t="inlineStr">
        <is>
          <t>Team Meetings</t>
        </is>
      </c>
      <c r="E1542" s="3" t="inlineStr">
        <is>
          <t>PD Meeting Minutes</t>
        </is>
      </c>
      <c r="F1542" s="2" t="str">
        <f>HYPERLINK("https://vtmf.veevavault.com/ui/#doc_info/31808318/1/0", "VTMF-25676219")</f>
        <v>VTMF-25676219</v>
      </c>
      <c r="G1542" s="3" t="inlineStr">
        <is>
          <t/>
        </is>
      </c>
      <c r="H1542" s="3" t="inlineStr">
        <is>
          <t>System</t>
        </is>
      </c>
      <c r="I1542" s="3" t="inlineStr">
        <is>
          <t>Gina Stefanelli</t>
        </is>
      </c>
      <c r="J1542" s="4" t="n">
        <v>46176.73101851852</v>
      </c>
      <c r="K1542" s="5" t="n">
        <v>46176.0</v>
      </c>
      <c r="L1542" s="5" t="n">
        <v>46161.0</v>
      </c>
      <c r="M1542" s="3" t="inlineStr">
        <is>
          <t>Approved</t>
        </is>
      </c>
      <c r="N1542" s="3" t="inlineStr">
        <is>
          <t>Study Close</t>
        </is>
      </c>
      <c r="O1542" s="3" t="inlineStr">
        <is>
          <t>42847922MDD3003</t>
        </is>
      </c>
    </row>
    <row r="1543">
      <c r="A1543" s="2" t="str">
        <f>HYPERLINK("https://vtmf.veevavault.com/ui/#doc_info/27547947/1/0", "42847922MDD3003---Team Meetings-19 Nov 2024 (v1.0)")</f>
        <v>42847922MDD3003---Team Meetings-19 Nov 2024 (v1.0)</v>
      </c>
      <c r="B1543" s="3" t="inlineStr">
        <is>
          <t>Trial Management</t>
        </is>
      </c>
      <c r="C1543" s="3" t="inlineStr">
        <is>
          <t>Meetings</t>
        </is>
      </c>
      <c r="D1543" s="3" t="inlineStr">
        <is>
          <t>Team Meetings</t>
        </is>
      </c>
      <c r="E1543" s="3" t="inlineStr">
        <is>
          <t>SMT Meeting Minutes</t>
        </is>
      </c>
      <c r="F1543" s="2" t="str">
        <f>HYPERLINK("https://vtmf.veevavault.com/ui/#doc_info/27547947/1/0", "VTMF-22098771")</f>
        <v>VTMF-22098771</v>
      </c>
      <c r="G1543" s="3" t="inlineStr">
        <is>
          <t/>
        </is>
      </c>
      <c r="H1543" s="3" t="inlineStr">
        <is>
          <t>Anthony Suarez (veeva.com)</t>
        </is>
      </c>
      <c r="I1543" s="3" t="inlineStr">
        <is>
          <t>Debhora Garcia</t>
        </is>
      </c>
      <c r="J1543" s="4" t="n">
        <v>45616.79248842593</v>
      </c>
      <c r="K1543" s="5" t="n">
        <v>45616.0</v>
      </c>
      <c r="L1543" s="5" t="n">
        <v>45615.0</v>
      </c>
      <c r="M1543" s="3" t="inlineStr">
        <is>
          <t>Approved</t>
        </is>
      </c>
      <c r="N1543" s="3" t="inlineStr">
        <is>
          <t>Study Close</t>
        </is>
      </c>
      <c r="O1543" s="3" t="inlineStr">
        <is>
          <t>42847922MDD3003</t>
        </is>
      </c>
    </row>
    <row r="1544">
      <c r="A1544" s="2" t="str">
        <f>HYPERLINK("https://vtmf.veevavault.com/ui/#doc_info/30444423/1/0", "42847922MDD3003---Team Meetings-19 Nov 2025 (v1.0)")</f>
        <v>42847922MDD3003---Team Meetings-19 Nov 2025 (v1.0)</v>
      </c>
      <c r="B1544" s="3" t="inlineStr">
        <is>
          <t>Trial Management</t>
        </is>
      </c>
      <c r="C1544" s="3" t="inlineStr">
        <is>
          <t>Meetings</t>
        </is>
      </c>
      <c r="D1544" s="3" t="inlineStr">
        <is>
          <t>Team Meetings</t>
        </is>
      </c>
      <c r="E1544" s="3" t="inlineStr">
        <is>
          <t>CFTT meeting minutes</t>
        </is>
      </c>
      <c r="F1544" s="2" t="str">
        <f>HYPERLINK("https://vtmf.veevavault.com/ui/#doc_info/30444423/1/0", "VTMF-24525345")</f>
        <v>VTMF-24525345</v>
      </c>
      <c r="G1544" s="3" t="inlineStr">
        <is>
          <t/>
        </is>
      </c>
      <c r="H1544" s="3" t="inlineStr">
        <is>
          <t>System</t>
        </is>
      </c>
      <c r="I1544" s="3" t="inlineStr">
        <is>
          <t>Debhora Garcia</t>
        </is>
      </c>
      <c r="J1544" s="4" t="n">
        <v>45982.20128472222</v>
      </c>
      <c r="K1544" s="5" t="n">
        <v>45981.0</v>
      </c>
      <c r="L1544" s="5" t="n">
        <v>45980.0</v>
      </c>
      <c r="M1544" s="3" t="inlineStr">
        <is>
          <t>Approved</t>
        </is>
      </c>
      <c r="N1544" s="3" t="inlineStr">
        <is>
          <t>Study Close</t>
        </is>
      </c>
      <c r="O1544" s="3" t="inlineStr">
        <is>
          <t>42847922MDD3003, 42847922MDD3014</t>
        </is>
      </c>
    </row>
    <row r="1545">
      <c r="A1545" s="2" t="str">
        <f>HYPERLINK("https://vtmf.veevavault.com/ui/#doc_info/31791188/1/0", "42847922MDD3003---Team Meetings-19 Sep 2025 (v1.0)")</f>
        <v>42847922MDD3003---Team Meetings-19 Sep 2025 (v1.0)</v>
      </c>
      <c r="B1545" s="3" t="inlineStr">
        <is>
          <t>Trial Management</t>
        </is>
      </c>
      <c r="C1545" s="3" t="inlineStr">
        <is>
          <t>Meetings</t>
        </is>
      </c>
      <c r="D1545" s="3" t="inlineStr">
        <is>
          <t>Team Meetings</t>
        </is>
      </c>
      <c r="E1545" s="3" t="inlineStr">
        <is>
          <t>Site review discussion - sites for discussion - meeting minutes</t>
        </is>
      </c>
      <c r="F1545" s="2" t="str">
        <f>HYPERLINK("https://vtmf.veevavault.com/ui/#doc_info/31791188/1/0", "VTMF-25661529")</f>
        <v>VTMF-25661529</v>
      </c>
      <c r="G1545" s="3" t="inlineStr">
        <is>
          <t/>
        </is>
      </c>
      <c r="H1545" s="3" t="inlineStr">
        <is>
          <t>System</t>
        </is>
      </c>
      <c r="I1545" s="3" t="inlineStr">
        <is>
          <t>Debhora Garcia</t>
        </is>
      </c>
      <c r="J1545" s="4" t="n">
        <v>46174.83789351852</v>
      </c>
      <c r="K1545" s="5" t="n">
        <v>46174.0</v>
      </c>
      <c r="L1545" s="5" t="n">
        <v>45919.0</v>
      </c>
      <c r="M1545" s="3" t="inlineStr">
        <is>
          <t>Approved</t>
        </is>
      </c>
      <c r="N1545" s="3" t="inlineStr">
        <is>
          <t>Study Close</t>
        </is>
      </c>
      <c r="O1545" s="3" t="inlineStr">
        <is>
          <t>42847922MDD3003</t>
        </is>
      </c>
    </row>
    <row r="1546">
      <c r="A1546" s="2" t="str">
        <f>HYPERLINK("https://vtmf.veevavault.com/ui/#doc_info/28004798/1/0", "42847922MDD3003---Team Meetings-20 Dec 2024 (v1.0)")</f>
        <v>42847922MDD3003---Team Meetings-20 Dec 2024 (v1.0)</v>
      </c>
      <c r="B1546" s="3" t="inlineStr">
        <is>
          <t>Trial Management</t>
        </is>
      </c>
      <c r="C1546" s="3" t="inlineStr">
        <is>
          <t>Meetings</t>
        </is>
      </c>
      <c r="D1546" s="3" t="inlineStr">
        <is>
          <t>Team Meetings</t>
        </is>
      </c>
      <c r="E1546" s="3" t="inlineStr">
        <is>
          <t>PDIE Meeting Minutes</t>
        </is>
      </c>
      <c r="F1546" s="2" t="str">
        <f>HYPERLINK("https://vtmf.veevavault.com/ui/#doc_info/28004798/1/0", "VTMF-22456774")</f>
        <v>VTMF-22456774</v>
      </c>
      <c r="G1546" s="3" t="inlineStr">
        <is>
          <t/>
        </is>
      </c>
      <c r="H1546" s="3" t="inlineStr">
        <is>
          <t>Anthony Suarez (veeva.com)</t>
        </is>
      </c>
      <c r="I1546" s="3" t="inlineStr">
        <is>
          <t>Debhora Garcia</t>
        </is>
      </c>
      <c r="J1546" s="4" t="n">
        <v>45659.766909722224</v>
      </c>
      <c r="K1546" s="5" t="n">
        <v>45659.0</v>
      </c>
      <c r="L1546" s="5" t="n">
        <v>45646.0</v>
      </c>
      <c r="M1546" s="3" t="inlineStr">
        <is>
          <t>Approved</t>
        </is>
      </c>
      <c r="N1546" s="3" t="inlineStr">
        <is>
          <t>Study Close</t>
        </is>
      </c>
      <c r="O1546" s="3" t="inlineStr">
        <is>
          <t>42847922MDD3003</t>
        </is>
      </c>
    </row>
    <row r="1547">
      <c r="A1547" s="2" t="str">
        <f>HYPERLINK("https://vtmf.veevavault.com/ui/#doc_info/31791977/1/0", "42847922MDD3003---Team Meetings-20 Feb 2026 (v1.0)")</f>
        <v>42847922MDD3003---Team Meetings-20 Feb 2026 (v1.0)</v>
      </c>
      <c r="B1547" s="3" t="inlineStr">
        <is>
          <t>Trial Management</t>
        </is>
      </c>
      <c r="C1547" s="3" t="inlineStr">
        <is>
          <t>Meetings</t>
        </is>
      </c>
      <c r="D1547" s="3" t="inlineStr">
        <is>
          <t>Team Meetings</t>
        </is>
      </c>
      <c r="E1547" s="3" t="inlineStr">
        <is>
          <t>Site review discussion - sites for discussion- meeting minutes</t>
        </is>
      </c>
      <c r="F1547" s="2" t="str">
        <f>HYPERLINK("https://vtmf.veevavault.com/ui/#doc_info/31791977/1/0", "VTMF-25662469")</f>
        <v>VTMF-25662469</v>
      </c>
      <c r="G1547" s="3" t="inlineStr">
        <is>
          <t/>
        </is>
      </c>
      <c r="H1547" s="3" t="inlineStr">
        <is>
          <t>System</t>
        </is>
      </c>
      <c r="I1547" s="3" t="inlineStr">
        <is>
          <t>Debhora Garcia</t>
        </is>
      </c>
      <c r="J1547" s="4" t="n">
        <v>46175.002337962964</v>
      </c>
      <c r="K1547" s="5" t="n">
        <v>46174.0</v>
      </c>
      <c r="L1547" s="5" t="n">
        <v>46073.0</v>
      </c>
      <c r="M1547" s="3" t="inlineStr">
        <is>
          <t>Approved</t>
        </is>
      </c>
      <c r="N1547" s="3" t="inlineStr">
        <is>
          <t>Study Close</t>
        </is>
      </c>
      <c r="O1547" s="3" t="inlineStr">
        <is>
          <t>42847922MDD3003</t>
        </is>
      </c>
    </row>
    <row r="1548">
      <c r="A1548" s="2" t="str">
        <f>HYPERLINK("https://vtmf.veevavault.com/ui/#doc_info/31280039/1/0", "42847922MDD3003---Team Meetings-20 Mar 2026 (v1.0)")</f>
        <v>42847922MDD3003---Team Meetings-20 Mar 2026 (v1.0)</v>
      </c>
      <c r="B1548" s="3" t="inlineStr">
        <is>
          <t>Trial Management</t>
        </is>
      </c>
      <c r="C1548" s="3" t="inlineStr">
        <is>
          <t>Meetings</t>
        </is>
      </c>
      <c r="D1548" s="3" t="inlineStr">
        <is>
          <t>Team Meetings</t>
        </is>
      </c>
      <c r="E1548" s="3" t="inlineStr">
        <is>
          <t>Central Statistical Surveillance Run 1_Meeting Minutes</t>
        </is>
      </c>
      <c r="F1548" s="2" t="str">
        <f>HYPERLINK("https://vtmf.veevavault.com/ui/#doc_info/31280039/1/0", "VTMF-25227058")</f>
        <v>VTMF-25227058</v>
      </c>
      <c r="G1548" s="3" t="inlineStr">
        <is>
          <t/>
        </is>
      </c>
      <c r="H1548" s="3" t="inlineStr">
        <is>
          <t>System</t>
        </is>
      </c>
      <c r="I1548" s="3" t="inlineStr">
        <is>
          <t>Shelby Lawrence</t>
        </is>
      </c>
      <c r="J1548" s="4" t="n">
        <v>46107.67949074074</v>
      </c>
      <c r="K1548" s="5" t="n">
        <v>46107.0</v>
      </c>
      <c r="L1548" s="5" t="n">
        <v>46101.0</v>
      </c>
      <c r="M1548" s="3" t="inlineStr">
        <is>
          <t>Approved</t>
        </is>
      </c>
      <c r="N1548" s="3" t="inlineStr">
        <is>
          <t>Study Close</t>
        </is>
      </c>
      <c r="O1548" s="3" t="inlineStr">
        <is>
          <t>42847922MDD3003</t>
        </is>
      </c>
    </row>
    <row r="1549">
      <c r="A1549" s="2" t="str">
        <f>HYPERLINK("https://vtmf.veevavault.com/ui/#doc_info/31719395/1/0", "42847922MDD3003---Team Meetings-20 May 2026 (v1.0)")</f>
        <v>42847922MDD3003---Team Meetings-20 May 2026 (v1.0)</v>
      </c>
      <c r="B1549" s="3" t="inlineStr">
        <is>
          <t>Trial Management</t>
        </is>
      </c>
      <c r="C1549" s="3" t="inlineStr">
        <is>
          <t>Meetings</t>
        </is>
      </c>
      <c r="D1549" s="3" t="inlineStr">
        <is>
          <t>Team Meetings</t>
        </is>
      </c>
      <c r="E1549" s="3" t="inlineStr">
        <is>
          <t>CFTT Meeting minutes</t>
        </is>
      </c>
      <c r="F1549" s="2" t="str">
        <f>HYPERLINK("https://vtmf.veevavault.com/ui/#doc_info/31719395/1/0", "VTMF-25598657")</f>
        <v>VTMF-25598657</v>
      </c>
      <c r="G1549" s="3" t="inlineStr">
        <is>
          <t/>
        </is>
      </c>
      <c r="H1549" s="3" t="inlineStr">
        <is>
          <t>System</t>
        </is>
      </c>
      <c r="I1549" s="3" t="inlineStr">
        <is>
          <t>Debhora Garcia</t>
        </is>
      </c>
      <c r="J1549" s="4" t="n">
        <v>46164.011041666665</v>
      </c>
      <c r="K1549" s="5" t="n">
        <v>46163.0</v>
      </c>
      <c r="L1549" s="5" t="n">
        <v>46162.0</v>
      </c>
      <c r="M1549" s="3" t="inlineStr">
        <is>
          <t>Approved</t>
        </is>
      </c>
      <c r="N1549" s="3" t="inlineStr">
        <is>
          <t>Study Close</t>
        </is>
      </c>
      <c r="O1549" s="3" t="inlineStr">
        <is>
          <t>42847922MDD3003, 42847922MDD3014</t>
        </is>
      </c>
    </row>
    <row r="1550">
      <c r="A1550" s="2" t="str">
        <f>HYPERLINK("https://vtmf.veevavault.com/ui/#doc_info/31760218/1/0", "42847922MDD3003---Team Meetings-20 May 2026 (v1.0)")</f>
        <v>42847922MDD3003---Team Meetings-20 May 2026 (v1.0)</v>
      </c>
      <c r="B1550" s="3" t="inlineStr">
        <is>
          <t>Trial Management</t>
        </is>
      </c>
      <c r="C1550" s="3" t="inlineStr">
        <is>
          <t>Meetings</t>
        </is>
      </c>
      <c r="D1550" s="3" t="inlineStr">
        <is>
          <t>Team Meetings</t>
        </is>
      </c>
      <c r="E1550" s="3" t="inlineStr">
        <is>
          <t>CMWG_ Meeting minutes</t>
        </is>
      </c>
      <c r="F1550" s="2" t="str">
        <f>HYPERLINK("https://vtmf.veevavault.com/ui/#doc_info/31760218/1/0", "VTMF-25634579")</f>
        <v>VTMF-25634579</v>
      </c>
      <c r="G1550" s="3" t="inlineStr">
        <is>
          <t/>
        </is>
      </c>
      <c r="H1550" s="3" t="inlineStr">
        <is>
          <t>System</t>
        </is>
      </c>
      <c r="I1550" s="3" t="inlineStr">
        <is>
          <t>Elena Toshkova</t>
        </is>
      </c>
      <c r="J1550" s="4" t="n">
        <v>46169.837696759256</v>
      </c>
      <c r="K1550" s="5" t="n">
        <v>46169.0</v>
      </c>
      <c r="L1550" s="5" t="n">
        <v>46162.0</v>
      </c>
      <c r="M1550" s="3" t="inlineStr">
        <is>
          <t>Approved</t>
        </is>
      </c>
      <c r="N1550" s="3" t="inlineStr">
        <is>
          <t>Study Close</t>
        </is>
      </c>
      <c r="O1550" s="3" t="inlineStr">
        <is>
          <t>42847922MDD3003</t>
        </is>
      </c>
    </row>
    <row r="1551">
      <c r="A1551" s="2" t="str">
        <f>HYPERLINK("https://vtmf.veevavault.com/ui/#doc_info/26375747/1/0", "42847922MDD3003---Team Meetings-21 May 2024 (v1.0)")</f>
        <v>42847922MDD3003---Team Meetings-21 May 2024 (v1.0)</v>
      </c>
      <c r="B1551" s="3" t="inlineStr">
        <is>
          <t>Trial Management</t>
        </is>
      </c>
      <c r="C1551" s="3" t="inlineStr">
        <is>
          <t>Meetings</t>
        </is>
      </c>
      <c r="D1551" s="3" t="inlineStr">
        <is>
          <t>Team Meetings</t>
        </is>
      </c>
      <c r="E1551" s="3" t="inlineStr">
        <is>
          <t>SMT Meeting Minutes</t>
        </is>
      </c>
      <c r="F1551" s="2" t="str">
        <f>HYPERLINK("https://vtmf.veevavault.com/ui/#doc_info/26375747/1/0", "VTMF-21107945")</f>
        <v>VTMF-21107945</v>
      </c>
      <c r="G1551" s="3" t="inlineStr">
        <is>
          <t/>
        </is>
      </c>
      <c r="H1551" s="3" t="inlineStr">
        <is>
          <t>Gina Stefanelli</t>
        </is>
      </c>
      <c r="I1551" s="3" t="inlineStr">
        <is>
          <t>Debhora Garcia</t>
        </is>
      </c>
      <c r="J1551" s="4" t="n">
        <v>45434.768483796295</v>
      </c>
      <c r="K1551" s="5" t="n">
        <v>45434.0</v>
      </c>
      <c r="L1551" s="5" t="n">
        <v>45433.0</v>
      </c>
      <c r="M1551" s="3" t="inlineStr">
        <is>
          <t>Approved</t>
        </is>
      </c>
      <c r="N1551" s="3" t="inlineStr">
        <is>
          <t>Study Close</t>
        </is>
      </c>
      <c r="O1551" s="3" t="inlineStr">
        <is>
          <t>42847922MDD3003</t>
        </is>
      </c>
    </row>
    <row r="1552">
      <c r="A1552" s="2" t="str">
        <f>HYPERLINK("https://vtmf.veevavault.com/ui/#doc_info/30480467/1/0", "42847922MDD3003---Team Meetings-21 Nov 2025 (v1.0)")</f>
        <v>42847922MDD3003---Team Meetings-21 Nov 2025 (v1.0)</v>
      </c>
      <c r="B1552" s="3" t="inlineStr">
        <is>
          <t>Trial Management</t>
        </is>
      </c>
      <c r="C1552" s="3" t="inlineStr">
        <is>
          <t>Meetings</t>
        </is>
      </c>
      <c r="D1552" s="3" t="inlineStr">
        <is>
          <t>Team Meetings</t>
        </is>
      </c>
      <c r="E1552" s="3" t="inlineStr">
        <is>
          <t>PDIE Meeting Minutes</t>
        </is>
      </c>
      <c r="F1552" s="2" t="str">
        <f>HYPERLINK("https://vtmf.veevavault.com/ui/#doc_info/30480467/1/0", "VTMF-24556155")</f>
        <v>VTMF-24556155</v>
      </c>
      <c r="G1552" s="3" t="inlineStr">
        <is>
          <t/>
        </is>
      </c>
      <c r="H1552" s="3" t="inlineStr">
        <is>
          <t>Kristina Ruzinska</t>
        </is>
      </c>
      <c r="I1552" s="3" t="inlineStr">
        <is>
          <t>Kristina Ruzinska</t>
        </is>
      </c>
      <c r="J1552" s="4" t="n">
        <v>45987.54201388889</v>
      </c>
      <c r="K1552" s="5" t="n">
        <v>45987.0</v>
      </c>
      <c r="L1552" s="5" t="n">
        <v>45982.0</v>
      </c>
      <c r="M1552" s="3" t="inlineStr">
        <is>
          <t>Approved</t>
        </is>
      </c>
      <c r="N1552" s="3" t="inlineStr">
        <is>
          <t>Study Close</t>
        </is>
      </c>
      <c r="O1552" s="3" t="inlineStr">
        <is>
          <t>42847922MDD3003</t>
        </is>
      </c>
    </row>
    <row r="1553">
      <c r="A1553" s="2" t="str">
        <f>HYPERLINK("https://vtmf.veevavault.com/ui/#doc_info/31791356/1/0", "42847922MDD3003---Team Meetings-21 Nov 2025 (v1.0)")</f>
        <v>42847922MDD3003---Team Meetings-21 Nov 2025 (v1.0)</v>
      </c>
      <c r="B1553" s="3" t="inlineStr">
        <is>
          <t>Trial Management</t>
        </is>
      </c>
      <c r="C1553" s="3" t="inlineStr">
        <is>
          <t>Meetings</t>
        </is>
      </c>
      <c r="D1553" s="3" t="inlineStr">
        <is>
          <t>Team Meetings</t>
        </is>
      </c>
      <c r="E1553" s="3" t="inlineStr">
        <is>
          <t>Site reviewdiscussion - short version to cover Cronos COM call and missing from the 28th - meeting minutes</t>
        </is>
      </c>
      <c r="F1553" s="2" t="str">
        <f>HYPERLINK("https://vtmf.veevavault.com/ui/#doc_info/31791356/1/0", "VTMF-25661744")</f>
        <v>VTMF-25661744</v>
      </c>
      <c r="G1553" s="3" t="inlineStr">
        <is>
          <t/>
        </is>
      </c>
      <c r="H1553" s="3" t="inlineStr">
        <is>
          <t>System</t>
        </is>
      </c>
      <c r="I1553" s="3" t="inlineStr">
        <is>
          <t>Debhora Garcia</t>
        </is>
      </c>
      <c r="J1553" s="4" t="n">
        <v>46174.86931712963</v>
      </c>
      <c r="K1553" s="5" t="n">
        <v>46174.0</v>
      </c>
      <c r="L1553" s="5" t="n">
        <v>45982.0</v>
      </c>
      <c r="M1553" s="3" t="inlineStr">
        <is>
          <t>Approved</t>
        </is>
      </c>
      <c r="N1553" s="3" t="inlineStr">
        <is>
          <t>Study Close</t>
        </is>
      </c>
      <c r="O1553" s="3" t="inlineStr">
        <is>
          <t>42847922MDD3003</t>
        </is>
      </c>
    </row>
    <row r="1554">
      <c r="A1554" s="2" t="str">
        <f>HYPERLINK("https://vtmf.veevavault.com/ui/#doc_info/31527015/1/0", "42847922MDD3003---Team Meetings-22 Apr 2026 (v1.0)")</f>
        <v>42847922MDD3003---Team Meetings-22 Apr 2026 (v1.0)</v>
      </c>
      <c r="B1554" s="3" t="inlineStr">
        <is>
          <t>Trial Management</t>
        </is>
      </c>
      <c r="C1554" s="3" t="inlineStr">
        <is>
          <t>Meetings</t>
        </is>
      </c>
      <c r="D1554" s="3" t="inlineStr">
        <is>
          <t>Team Meetings</t>
        </is>
      </c>
      <c r="E1554" s="3" t="inlineStr">
        <is>
          <t>CFTT Meeting minutes</t>
        </is>
      </c>
      <c r="F1554" s="2" t="str">
        <f>HYPERLINK("https://vtmf.veevavault.com/ui/#doc_info/31527015/1/0", "VTMF-25441199")</f>
        <v>VTMF-25441199</v>
      </c>
      <c r="G1554" s="3" t="inlineStr">
        <is>
          <t/>
        </is>
      </c>
      <c r="H1554" s="3" t="inlineStr">
        <is>
          <t>System</t>
        </is>
      </c>
      <c r="I1554" s="3" t="inlineStr">
        <is>
          <t>Debhora Garcia</t>
        </is>
      </c>
      <c r="J1554" s="4" t="n">
        <v>46136.716215277775</v>
      </c>
      <c r="K1554" s="5" t="n">
        <v>46136.0</v>
      </c>
      <c r="L1554" s="5" t="n">
        <v>46134.0</v>
      </c>
      <c r="M1554" s="3" t="inlineStr">
        <is>
          <t>Approved</t>
        </is>
      </c>
      <c r="N1554" s="3" t="inlineStr">
        <is>
          <t>Study Close</t>
        </is>
      </c>
      <c r="O1554" s="3" t="inlineStr">
        <is>
          <t>42847922MDD3003, 42847922MDD3014</t>
        </is>
      </c>
    </row>
    <row r="1555">
      <c r="A1555" s="2" t="str">
        <f>HYPERLINK("https://vtmf.veevavault.com/ui/#doc_info/29809768/1/0", "42847922MDD3003---Team Meetings-22 Aug 2025 (v1.0)")</f>
        <v>42847922MDD3003---Team Meetings-22 Aug 2025 (v1.0)</v>
      </c>
      <c r="B1555" s="3" t="inlineStr">
        <is>
          <t>Trial Management</t>
        </is>
      </c>
      <c r="C1555" s="3" t="inlineStr">
        <is>
          <t>Meetings</t>
        </is>
      </c>
      <c r="D1555" s="3" t="inlineStr">
        <is>
          <t>Team Meetings</t>
        </is>
      </c>
      <c r="E1555" s="3" t="inlineStr">
        <is>
          <t>OARS_Moonlight_PSE connect_22Aug2025</t>
        </is>
      </c>
      <c r="F1555" s="2" t="str">
        <f>HYPERLINK("https://vtmf.veevavault.com/ui/#doc_info/29809768/1/0", "VTMF-23989944")</f>
        <v>VTMF-23989944</v>
      </c>
      <c r="G1555" s="3" t="inlineStr">
        <is>
          <t/>
        </is>
      </c>
      <c r="H1555" s="3" t="inlineStr">
        <is>
          <t>System</t>
        </is>
      </c>
      <c r="I1555" s="3" t="inlineStr">
        <is>
          <t>Astrid Lenaerts</t>
        </is>
      </c>
      <c r="J1555" s="4" t="n">
        <v>45891.41347222222</v>
      </c>
      <c r="K1555" s="5" t="n">
        <v>45891.0</v>
      </c>
      <c r="L1555" s="5" t="n">
        <v>45891.0</v>
      </c>
      <c r="M1555" s="3" t="inlineStr">
        <is>
          <t>Approved</t>
        </is>
      </c>
      <c r="N1555" s="3" t="inlineStr">
        <is>
          <t>Study Close</t>
        </is>
      </c>
      <c r="O1555" s="3" t="inlineStr">
        <is>
          <t>42847922MDD3003, 42847922MDD3011, 89495120MDD2001</t>
        </is>
      </c>
    </row>
    <row r="1556">
      <c r="A1556" s="2" t="str">
        <f>HYPERLINK("https://vtmf.veevavault.com/ui/#doc_info/29622961/2/0", "42847922MDD3003---Team Meetings-22 Jul 2025 (v2.0)")</f>
        <v>42847922MDD3003---Team Meetings-22 Jul 2025 (v2.0)</v>
      </c>
      <c r="B1556" s="3" t="inlineStr">
        <is>
          <t>Trial Management</t>
        </is>
      </c>
      <c r="C1556" s="3" t="inlineStr">
        <is>
          <t>Meetings</t>
        </is>
      </c>
      <c r="D1556" s="3" t="inlineStr">
        <is>
          <t>Team Meetings</t>
        </is>
      </c>
      <c r="E1556" s="3" t="inlineStr">
        <is>
          <t>SMT Meeting minutes</t>
        </is>
      </c>
      <c r="F1556" s="2" t="str">
        <f>HYPERLINK("https://vtmf.veevavault.com/ui/#doc_info/29622961/2/0", "VTMF-23829884")</f>
        <v>VTMF-23829884</v>
      </c>
      <c r="G1556" s="3" t="inlineStr">
        <is>
          <t/>
        </is>
      </c>
      <c r="H1556" s="3" t="inlineStr">
        <is>
          <t>Debhora Garcia</t>
        </is>
      </c>
      <c r="I1556" s="3" t="inlineStr">
        <is>
          <t>Gina Stefanelli</t>
        </is>
      </c>
      <c r="J1556" s="4" t="n">
        <v>45867.91972222222</v>
      </c>
      <c r="K1556" s="5" t="n">
        <v>45867.0</v>
      </c>
      <c r="L1556" s="5" t="n">
        <v>45860.0</v>
      </c>
      <c r="M1556" s="3" t="inlineStr">
        <is>
          <t>Approved</t>
        </is>
      </c>
      <c r="N1556" s="3" t="inlineStr">
        <is>
          <t>Study Close</t>
        </is>
      </c>
      <c r="O1556" s="3" t="inlineStr">
        <is>
          <t>42847922MDD3003</t>
        </is>
      </c>
    </row>
    <row r="1557">
      <c r="A1557" s="2" t="str">
        <f>HYPERLINK("https://vtmf.veevavault.com/ui/#doc_info/26392366/1/0", "42847922MDD3003---Team Meetings-22 May 2024 (v1.0)")</f>
        <v>42847922MDD3003---Team Meetings-22 May 2024 (v1.0)</v>
      </c>
      <c r="B1557" s="3" t="inlineStr">
        <is>
          <t>Trial Management</t>
        </is>
      </c>
      <c r="C1557" s="3" t="inlineStr">
        <is>
          <t>Meetings</t>
        </is>
      </c>
      <c r="D1557" s="3" t="inlineStr">
        <is>
          <t>Team Meetings</t>
        </is>
      </c>
      <c r="E1557" s="3" t="inlineStr">
        <is>
          <t>CFTT Meeting Minutes</t>
        </is>
      </c>
      <c r="F1557" s="2" t="str">
        <f>HYPERLINK("https://vtmf.veevavault.com/ui/#doc_info/26392366/1/0", "VTMF-21122479")</f>
        <v>VTMF-21122479</v>
      </c>
      <c r="G1557" s="3" t="inlineStr">
        <is>
          <t/>
        </is>
      </c>
      <c r="H1557" s="3" t="inlineStr">
        <is>
          <t>Gina Stefanelli</t>
        </is>
      </c>
      <c r="I1557" s="3" t="inlineStr">
        <is>
          <t>Debhora Garcia</t>
        </is>
      </c>
      <c r="J1557" s="4" t="n">
        <v>45436.65630787037</v>
      </c>
      <c r="K1557" s="5" t="n">
        <v>45436.0</v>
      </c>
      <c r="L1557" s="5" t="n">
        <v>45434.0</v>
      </c>
      <c r="M1557" s="3" t="inlineStr">
        <is>
          <t>Approved</t>
        </is>
      </c>
      <c r="N1557" s="3" t="inlineStr">
        <is>
          <t>Study Close</t>
        </is>
      </c>
      <c r="O1557" s="3" t="inlineStr">
        <is>
          <t>42847922MDD3003</t>
        </is>
      </c>
    </row>
    <row r="1558">
      <c r="A1558" s="2" t="str">
        <f>HYPERLINK("https://vtmf.veevavault.com/ui/#doc_info/31790820/1/0", "42847922MDD3003---Team Meetings-22 May 2026 (v1.0)")</f>
        <v>42847922MDD3003---Team Meetings-22 May 2026 (v1.0)</v>
      </c>
      <c r="B1558" s="3" t="inlineStr">
        <is>
          <t>Trial Management</t>
        </is>
      </c>
      <c r="C1558" s="3" t="inlineStr">
        <is>
          <t>Meetings</t>
        </is>
      </c>
      <c r="D1558" s="3" t="inlineStr">
        <is>
          <t>Team Meetings</t>
        </is>
      </c>
      <c r="E1558" s="3" t="inlineStr">
        <is>
          <t>AdHoc CMM Meeting_Site Mitigation Plan</t>
        </is>
      </c>
      <c r="F1558" s="2" t="str">
        <f>HYPERLINK("https://vtmf.veevavault.com/ui/#doc_info/31790820/1/0", "VTMF-25661244")</f>
        <v>VTMF-25661244</v>
      </c>
      <c r="G1558" s="3" t="inlineStr">
        <is>
          <t/>
        </is>
      </c>
      <c r="H1558" s="3" t="inlineStr">
        <is>
          <t>System</t>
        </is>
      </c>
      <c r="I1558" s="3" t="inlineStr">
        <is>
          <t>Shelby Lawrence</t>
        </is>
      </c>
      <c r="J1558" s="4" t="n">
        <v>46174.78600694444</v>
      </c>
      <c r="K1558" s="5" t="n">
        <v>46174.0</v>
      </c>
      <c r="L1558" s="5" t="n">
        <v>46164.0</v>
      </c>
      <c r="M1558" s="3" t="inlineStr">
        <is>
          <t>Approved</t>
        </is>
      </c>
      <c r="N1558" s="3" t="inlineStr">
        <is>
          <t>Study Close</t>
        </is>
      </c>
      <c r="O1558" s="3" t="inlineStr">
        <is>
          <t>42847922MDD3003</t>
        </is>
      </c>
    </row>
    <row r="1559">
      <c r="A1559" s="2" t="str">
        <f>HYPERLINK("https://vtmf.veevavault.com/ui/#doc_info/25236981/1/0", "42847922MDD3003---Team Meetings-22 Nov 2023 (v1.0)")</f>
        <v>42847922MDD3003---Team Meetings-22 Nov 2023 (v1.0)</v>
      </c>
      <c r="B1559" s="3" t="inlineStr">
        <is>
          <t>Trial Management</t>
        </is>
      </c>
      <c r="C1559" s="3" t="inlineStr">
        <is>
          <t>Meetings</t>
        </is>
      </c>
      <c r="D1559" s="3" t="inlineStr">
        <is>
          <t>Team Meetings</t>
        </is>
      </c>
      <c r="E1559" s="3" t="inlineStr">
        <is>
          <t>CFTT Meeting Minutes</t>
        </is>
      </c>
      <c r="F1559" s="2" t="str">
        <f>HYPERLINK("https://vtmf.veevavault.com/ui/#doc_info/25236981/1/0", "VTMF-20109746")</f>
        <v>VTMF-20109746</v>
      </c>
      <c r="G1559" s="3" t="inlineStr">
        <is>
          <t/>
        </is>
      </c>
      <c r="H1559" s="3" t="inlineStr">
        <is>
          <t>Gina Stefanelli</t>
        </is>
      </c>
      <c r="I1559" s="3" t="inlineStr">
        <is>
          <t>Debhora Garcia</t>
        </is>
      </c>
      <c r="J1559" s="4" t="n">
        <v>45257.789988425924</v>
      </c>
      <c r="K1559" s="5" t="n">
        <v>45257.0</v>
      </c>
      <c r="L1559" s="5" t="n">
        <v>45252.0</v>
      </c>
      <c r="M1559" s="3" t="inlineStr">
        <is>
          <t>Approved</t>
        </is>
      </c>
      <c r="N1559" s="3" t="inlineStr">
        <is>
          <t>Study Close</t>
        </is>
      </c>
      <c r="O1559" s="3" t="inlineStr">
        <is>
          <t>42847922MDD3003</t>
        </is>
      </c>
    </row>
    <row r="1560">
      <c r="A1560" s="2" t="str">
        <f>HYPERLINK("https://vtmf.veevavault.com/ui/#doc_info/30221425/1/0", "42847922MDD3003---Team Meetings-22 Oct 2025 (v1.0)")</f>
        <v>42847922MDD3003---Team Meetings-22 Oct 2025 (v1.0)</v>
      </c>
      <c r="B1560" s="3" t="inlineStr">
        <is>
          <t>Trial Management</t>
        </is>
      </c>
      <c r="C1560" s="3" t="inlineStr">
        <is>
          <t>Meetings</t>
        </is>
      </c>
      <c r="D1560" s="3" t="inlineStr">
        <is>
          <t>Team Meetings</t>
        </is>
      </c>
      <c r="E1560" s="3" t="inlineStr">
        <is>
          <t>CFTT Meeting Minutes</t>
        </is>
      </c>
      <c r="F1560" s="2" t="str">
        <f>HYPERLINK("https://vtmf.veevavault.com/ui/#doc_info/30221425/1/0", "VTMF-24334166")</f>
        <v>VTMF-24334166</v>
      </c>
      <c r="G1560" s="3" t="inlineStr">
        <is>
          <t/>
        </is>
      </c>
      <c r="H1560" s="3" t="inlineStr">
        <is>
          <t>System</t>
        </is>
      </c>
      <c r="I1560" s="3" t="inlineStr">
        <is>
          <t>Debhora Garcia</t>
        </is>
      </c>
      <c r="J1560" s="4" t="n">
        <v>45953.80483796296</v>
      </c>
      <c r="K1560" s="5" t="n">
        <v>45953.0</v>
      </c>
      <c r="L1560" s="5" t="n">
        <v>45952.0</v>
      </c>
      <c r="M1560" s="3" t="inlineStr">
        <is>
          <t>Approved</t>
        </is>
      </c>
      <c r="N1560" s="3" t="inlineStr">
        <is>
          <t>Study Close</t>
        </is>
      </c>
      <c r="O1560" s="3" t="inlineStr">
        <is>
          <t>42847922MDD3003, 42847922MDD3014</t>
        </is>
      </c>
    </row>
    <row r="1561">
      <c r="A1561" s="2" t="str">
        <f>HYPERLINK("https://vtmf.veevavault.com/ui/#doc_info/26199815/1/0", "42847922MDD3003---Team Meetings-23 Apr 2024 (v1.0)")</f>
        <v>42847922MDD3003---Team Meetings-23 Apr 2024 (v1.0)</v>
      </c>
      <c r="B1561" s="3" t="inlineStr">
        <is>
          <t>Trial Management</t>
        </is>
      </c>
      <c r="C1561" s="3" t="inlineStr">
        <is>
          <t>Meetings</t>
        </is>
      </c>
      <c r="D1561" s="3" t="inlineStr">
        <is>
          <t>Team Meetings</t>
        </is>
      </c>
      <c r="E1561" s="3" t="inlineStr">
        <is>
          <t>SMT Meeting Minutes</t>
        </is>
      </c>
      <c r="F1561" s="2" t="str">
        <f>HYPERLINK("https://vtmf.veevavault.com/ui/#doc_info/26199815/1/0", "VTMF-20954683")</f>
        <v>VTMF-20954683</v>
      </c>
      <c r="G1561" s="3" t="inlineStr">
        <is>
          <t/>
        </is>
      </c>
      <c r="H1561" s="3" t="inlineStr">
        <is>
          <t>Gina Stefanelli</t>
        </is>
      </c>
      <c r="I1561" s="3" t="inlineStr">
        <is>
          <t>Debhora Garcia</t>
        </is>
      </c>
      <c r="J1561" s="4" t="n">
        <v>45406.89225694445</v>
      </c>
      <c r="K1561" s="5" t="n">
        <v>45406.0</v>
      </c>
      <c r="L1561" s="5" t="n">
        <v>45405.0</v>
      </c>
      <c r="M1561" s="3" t="inlineStr">
        <is>
          <t>Approved</t>
        </is>
      </c>
      <c r="N1561" s="3" t="inlineStr">
        <is>
          <t>Study Close</t>
        </is>
      </c>
      <c r="O1561" s="3" t="inlineStr">
        <is>
          <t>42847922MDD3003</t>
        </is>
      </c>
    </row>
    <row r="1562">
      <c r="A1562" s="2" t="str">
        <f>HYPERLINK("https://vtmf.veevavault.com/ui/#doc_info/28975220/1/0", "42847922MDD3003---Team Meetings-23 Apr 2025 (v1.0)")</f>
        <v>42847922MDD3003---Team Meetings-23 Apr 2025 (v1.0)</v>
      </c>
      <c r="B1562" s="3" t="inlineStr">
        <is>
          <t>Trial Management</t>
        </is>
      </c>
      <c r="C1562" s="3" t="inlineStr">
        <is>
          <t>Meetings</t>
        </is>
      </c>
      <c r="D1562" s="3" t="inlineStr">
        <is>
          <t>Team Meetings</t>
        </is>
      </c>
      <c r="E1562" s="3" t="inlineStr">
        <is>
          <t>CFTT Meeting Minutes</t>
        </is>
      </c>
      <c r="F1562" s="2" t="str">
        <f>HYPERLINK("https://vtmf.veevavault.com/ui/#doc_info/28975220/1/0", "VTMF-23276134")</f>
        <v>VTMF-23276134</v>
      </c>
      <c r="G1562" s="3" t="inlineStr">
        <is>
          <t/>
        </is>
      </c>
      <c r="H1562" s="3" t="inlineStr">
        <is>
          <t>Anthony Suarez (veeva.com)</t>
        </is>
      </c>
      <c r="I1562" s="3" t="inlineStr">
        <is>
          <t>Debhora Garcia</t>
        </is>
      </c>
      <c r="J1562" s="4" t="n">
        <v>45771.95715277778</v>
      </c>
      <c r="K1562" s="5" t="n">
        <v>45771.0</v>
      </c>
      <c r="L1562" s="5" t="n">
        <v>45770.0</v>
      </c>
      <c r="M1562" s="3" t="inlineStr">
        <is>
          <t>Approved</t>
        </is>
      </c>
      <c r="N1562" s="3" t="inlineStr">
        <is>
          <t>Study Close</t>
        </is>
      </c>
      <c r="O1562" s="3" t="inlineStr">
        <is>
          <t>42847922MDD3003</t>
        </is>
      </c>
    </row>
    <row r="1563">
      <c r="A1563" s="2" t="str">
        <f>HYPERLINK("https://vtmf.veevavault.com/ui/#doc_info/31791971/1/0", "42847922MDD3003---Team Meetings-23 Jan 2026 (v1.0)")</f>
        <v>42847922MDD3003---Team Meetings-23 Jan 2026 (v1.0)</v>
      </c>
      <c r="B1563" s="3" t="inlineStr">
        <is>
          <t>Trial Management</t>
        </is>
      </c>
      <c r="C1563" s="3" t="inlineStr">
        <is>
          <t>Meetings</t>
        </is>
      </c>
      <c r="D1563" s="3" t="inlineStr">
        <is>
          <t>Team Meetings</t>
        </is>
      </c>
      <c r="E1563" s="3" t="inlineStr">
        <is>
          <t>Site review discussion - sites for discussion- meeting minutes</t>
        </is>
      </c>
      <c r="F1563" s="2" t="str">
        <f>HYPERLINK("https://vtmf.veevavault.com/ui/#doc_info/31791971/1/0", "VTMF-25662457")</f>
        <v>VTMF-25662457</v>
      </c>
      <c r="G1563" s="3" t="inlineStr">
        <is>
          <t/>
        </is>
      </c>
      <c r="H1563" s="3" t="inlineStr">
        <is>
          <t>System</t>
        </is>
      </c>
      <c r="I1563" s="3" t="inlineStr">
        <is>
          <t>Debhora Garcia</t>
        </is>
      </c>
      <c r="J1563" s="4" t="n">
        <v>46174.998194444444</v>
      </c>
      <c r="K1563" s="5" t="n">
        <v>46174.0</v>
      </c>
      <c r="L1563" s="5" t="n">
        <v>46045.0</v>
      </c>
      <c r="M1563" s="3" t="inlineStr">
        <is>
          <t>Approved</t>
        </is>
      </c>
      <c r="N1563" s="3" t="inlineStr">
        <is>
          <t>Study Close</t>
        </is>
      </c>
      <c r="O1563" s="3" t="inlineStr">
        <is>
          <t>42847922MDD3003</t>
        </is>
      </c>
    </row>
    <row r="1564">
      <c r="A1564" s="2" t="str">
        <f>HYPERLINK("https://vtmf.veevavault.com/ui/#doc_info/26518101/1/0", "42847922MDD3003---Team Meetings-23 May 2024 (v1.0)")</f>
        <v>42847922MDD3003---Team Meetings-23 May 2024 (v1.0)</v>
      </c>
      <c r="B1564" s="3" t="inlineStr">
        <is>
          <t>Trial Management</t>
        </is>
      </c>
      <c r="C1564" s="3" t="inlineStr">
        <is>
          <t>Meetings</t>
        </is>
      </c>
      <c r="D1564" s="3" t="inlineStr">
        <is>
          <t>Team Meetings</t>
        </is>
      </c>
      <c r="E1564" s="3" t="inlineStr">
        <is>
          <t>Comprehensive COA Compliance Thresholds Meeting Minutes</t>
        </is>
      </c>
      <c r="F1564" s="2" t="str">
        <f>HYPERLINK("https://vtmf.veevavault.com/ui/#doc_info/26518101/1/0", "VTMF-21233691")</f>
        <v>VTMF-21233691</v>
      </c>
      <c r="G1564" s="3" t="inlineStr">
        <is>
          <t/>
        </is>
      </c>
      <c r="H1564" s="3" t="inlineStr">
        <is>
          <t>Anthony Suarez (veeva.com)</t>
        </is>
      </c>
      <c r="I1564" s="3" t="inlineStr">
        <is>
          <t>Nikki Mace</t>
        </is>
      </c>
      <c r="J1564" s="4" t="n">
        <v>45456.70322916667</v>
      </c>
      <c r="K1564" s="5" t="n">
        <v>45456.0</v>
      </c>
      <c r="L1564" s="5" t="n">
        <v>45435.0</v>
      </c>
      <c r="M1564" s="3" t="inlineStr">
        <is>
          <t>Approved</t>
        </is>
      </c>
      <c r="N1564" s="3" t="inlineStr">
        <is>
          <t>Study Close</t>
        </is>
      </c>
      <c r="O1564" s="3" t="inlineStr">
        <is>
          <t>42847922MDD3003</t>
        </is>
      </c>
    </row>
    <row r="1565">
      <c r="A1565" s="2" t="str">
        <f>HYPERLINK("https://vtmf.veevavault.com/ui/#doc_info/27348732/1/0", "42847922MDD3003---Team Meetings-23 Oct 2024 (v1.0)")</f>
        <v>42847922MDD3003---Team Meetings-23 Oct 2024 (v1.0)</v>
      </c>
      <c r="B1565" s="3" t="inlineStr">
        <is>
          <t>Trial Management</t>
        </is>
      </c>
      <c r="C1565" s="3" t="inlineStr">
        <is>
          <t>Meetings</t>
        </is>
      </c>
      <c r="D1565" s="3" t="inlineStr">
        <is>
          <t>Team Meetings</t>
        </is>
      </c>
      <c r="E1565" s="3" t="inlineStr">
        <is>
          <t>CFTT Meeting Minutes</t>
        </is>
      </c>
      <c r="F1565" s="2" t="str">
        <f>HYPERLINK("https://vtmf.veevavault.com/ui/#doc_info/27348732/1/0", "VTMF-21938502")</f>
        <v>VTMF-21938502</v>
      </c>
      <c r="G1565" s="3" t="inlineStr">
        <is>
          <t/>
        </is>
      </c>
      <c r="H1565" s="3" t="inlineStr">
        <is>
          <t>Anthony Suarez (veeva.com)</t>
        </is>
      </c>
      <c r="I1565" s="3" t="inlineStr">
        <is>
          <t>Debhora Garcia</t>
        </is>
      </c>
      <c r="J1565" s="4" t="n">
        <v>45593.66663194444</v>
      </c>
      <c r="K1565" s="5" t="n">
        <v>45593.0</v>
      </c>
      <c r="L1565" s="5" t="n">
        <v>45588.0</v>
      </c>
      <c r="M1565" s="3" t="inlineStr">
        <is>
          <t>Approved</t>
        </is>
      </c>
      <c r="N1565" s="3" t="inlineStr">
        <is>
          <t>Study Close</t>
        </is>
      </c>
      <c r="O1565" s="3" t="inlineStr">
        <is>
          <t>42847922MDD3003</t>
        </is>
      </c>
    </row>
    <row r="1566">
      <c r="A1566" s="2" t="str">
        <f>HYPERLINK("https://vtmf.veevavault.com/ui/#doc_info/30019546/1/0", "42847922MDD3003---Team Meetings-23 Sep 2025 (v1.0)")</f>
        <v>42847922MDD3003---Team Meetings-23 Sep 2025 (v1.0)</v>
      </c>
      <c r="B1566" s="3" t="inlineStr">
        <is>
          <t>Trial Management</t>
        </is>
      </c>
      <c r="C1566" s="3" t="inlineStr">
        <is>
          <t>Meetings</t>
        </is>
      </c>
      <c r="D1566" s="3" t="inlineStr">
        <is>
          <t>Team Meetings</t>
        </is>
      </c>
      <c r="E1566" s="3" t="inlineStr">
        <is>
          <t>SMT Meeting minutes</t>
        </is>
      </c>
      <c r="F1566" s="2" t="str">
        <f>HYPERLINK("https://vtmf.veevavault.com/ui/#doc_info/30019546/1/0", "VTMF-24169890")</f>
        <v>VTMF-24169890</v>
      </c>
      <c r="G1566" s="3" t="inlineStr">
        <is>
          <t/>
        </is>
      </c>
      <c r="H1566" s="3" t="inlineStr">
        <is>
          <t>System</t>
        </is>
      </c>
      <c r="I1566" s="3" t="inlineStr">
        <is>
          <t>Debhora Garcia</t>
        </is>
      </c>
      <c r="J1566" s="4" t="n">
        <v>45925.05519675926</v>
      </c>
      <c r="K1566" s="5" t="n">
        <v>45924.0</v>
      </c>
      <c r="L1566" s="5" t="n">
        <v>45923.0</v>
      </c>
      <c r="M1566" s="3" t="inlineStr">
        <is>
          <t>Approved</t>
        </is>
      </c>
      <c r="N1566" s="3" t="inlineStr">
        <is>
          <t>Study Close</t>
        </is>
      </c>
      <c r="O1566" s="3" t="inlineStr">
        <is>
          <t>42847922MDD3003</t>
        </is>
      </c>
    </row>
    <row r="1567">
      <c r="A1567" s="2" t="str">
        <f>HYPERLINK("https://vtmf.veevavault.com/ui/#doc_info/26225965/1/0", "42847922MDD3003---Team Meetings-24 Apr 2024 (v1.0)")</f>
        <v>42847922MDD3003---Team Meetings-24 Apr 2024 (v1.0)</v>
      </c>
      <c r="B1567" s="3" t="inlineStr">
        <is>
          <t>Trial Management</t>
        </is>
      </c>
      <c r="C1567" s="3" t="inlineStr">
        <is>
          <t>Meetings</t>
        </is>
      </c>
      <c r="D1567" s="3" t="inlineStr">
        <is>
          <t>Team Meetings</t>
        </is>
      </c>
      <c r="E1567" s="3" t="inlineStr">
        <is>
          <t>CFTT Meeting Minutes</t>
        </is>
      </c>
      <c r="F1567" s="2" t="str">
        <f>HYPERLINK("https://vtmf.veevavault.com/ui/#doc_info/26225965/1/0", "VTMF-20977138")</f>
        <v>VTMF-20977138</v>
      </c>
      <c r="G1567" s="3" t="inlineStr">
        <is>
          <t/>
        </is>
      </c>
      <c r="H1567" s="3" t="inlineStr">
        <is>
          <t>Anthony Suarez (veeva.com)</t>
        </is>
      </c>
      <c r="I1567" s="3" t="inlineStr">
        <is>
          <t>Debhora Garcia</t>
        </is>
      </c>
      <c r="J1567" s="4" t="n">
        <v>45411.64792824074</v>
      </c>
      <c r="K1567" s="5" t="n">
        <v>45411.0</v>
      </c>
      <c r="L1567" s="5" t="n">
        <v>45406.0</v>
      </c>
      <c r="M1567" s="3" t="inlineStr">
        <is>
          <t>Approved</t>
        </is>
      </c>
      <c r="N1567" s="3" t="inlineStr">
        <is>
          <t>Study Close</t>
        </is>
      </c>
      <c r="O1567" s="3" t="inlineStr">
        <is>
          <t>42847922MDD3003</t>
        </is>
      </c>
    </row>
    <row r="1568">
      <c r="A1568" s="2" t="str">
        <f>HYPERLINK("https://vtmf.veevavault.com/ui/#doc_info/31545988/2/0", "42847922MDD3003---Team Meetings-24 Apr 2026 (v2.0)")</f>
        <v>42847922MDD3003---Team Meetings-24 Apr 2026 (v2.0)</v>
      </c>
      <c r="B1568" s="3" t="inlineStr">
        <is>
          <t>Trial Management</t>
        </is>
      </c>
      <c r="C1568" s="3" t="inlineStr">
        <is>
          <t>Meetings</t>
        </is>
      </c>
      <c r="D1568" s="3" t="inlineStr">
        <is>
          <t>Team Meetings</t>
        </is>
      </c>
      <c r="E1568" s="3" t="inlineStr">
        <is>
          <t>PDIE Meeting Minutes</t>
        </is>
      </c>
      <c r="F1568" s="2" t="str">
        <f>HYPERLINK("https://vtmf.veevavault.com/ui/#doc_info/31545988/2/0", "VTMF-25457453")</f>
        <v>VTMF-25457453</v>
      </c>
      <c r="G1568" s="3" t="inlineStr">
        <is>
          <t/>
        </is>
      </c>
      <c r="H1568" s="3" t="inlineStr">
        <is>
          <t>System</t>
        </is>
      </c>
      <c r="I1568" s="3" t="inlineStr">
        <is>
          <t>Gina Stefanelli</t>
        </is>
      </c>
      <c r="J1568" s="4" t="n">
        <v>46140.86400462963</v>
      </c>
      <c r="K1568" s="5" t="n">
        <v>46140.0</v>
      </c>
      <c r="L1568" s="5" t="n">
        <v>46136.0</v>
      </c>
      <c r="M1568" s="3" t="inlineStr">
        <is>
          <t>Approved</t>
        </is>
      </c>
      <c r="N1568" s="3" t="inlineStr">
        <is>
          <t>Study Close</t>
        </is>
      </c>
      <c r="O1568" s="3" t="inlineStr">
        <is>
          <t>42847922MDD3003</t>
        </is>
      </c>
    </row>
    <row r="1569">
      <c r="A1569" s="2" t="str">
        <f>HYPERLINK("https://vtmf.veevavault.com/ui/#doc_info/31061387/1/0", "42847922MDD3003---Team Meetings-24 Feb 2026 (v1.0)")</f>
        <v>42847922MDD3003---Team Meetings-24 Feb 2026 (v1.0)</v>
      </c>
      <c r="B1569" s="3" t="inlineStr">
        <is>
          <t>Trial Management</t>
        </is>
      </c>
      <c r="C1569" s="3" t="inlineStr">
        <is>
          <t>Meetings</t>
        </is>
      </c>
      <c r="D1569" s="3" t="inlineStr">
        <is>
          <t>Team Meetings</t>
        </is>
      </c>
      <c r="E1569" s="3" t="inlineStr">
        <is>
          <t>SMT Meeting Minutes</t>
        </is>
      </c>
      <c r="F1569" s="2" t="str">
        <f>HYPERLINK("https://vtmf.veevavault.com/ui/#doc_info/31061387/1/0", "VTMF-25040983")</f>
        <v>VTMF-25040983</v>
      </c>
      <c r="G1569" s="3" t="inlineStr">
        <is>
          <t/>
        </is>
      </c>
      <c r="H1569" s="3" t="inlineStr">
        <is>
          <t>Debhora Garcia</t>
        </is>
      </c>
      <c r="I1569" s="3" t="inlineStr">
        <is>
          <t>Gina Stefanelli</t>
        </is>
      </c>
      <c r="J1569" s="4" t="n">
        <v>46078.642118055555</v>
      </c>
      <c r="K1569" s="5" t="n">
        <v>46078.0</v>
      </c>
      <c r="L1569" s="5" t="n">
        <v>46077.0</v>
      </c>
      <c r="M1569" s="3" t="inlineStr">
        <is>
          <t>Approved</t>
        </is>
      </c>
      <c r="N1569" s="3" t="inlineStr">
        <is>
          <t>Study Close</t>
        </is>
      </c>
      <c r="O1569" s="3" t="inlineStr">
        <is>
          <t>42847922MDD3003</t>
        </is>
      </c>
    </row>
    <row r="1570">
      <c r="A1570" s="2" t="str">
        <f>HYPERLINK("https://vtmf.veevavault.com/ui/#doc_info/29438228/1/0", "42847922MDD3003---Team Meetings-24 Jun 2025 (v1.0)")</f>
        <v>42847922MDD3003---Team Meetings-24 Jun 2025 (v1.0)</v>
      </c>
      <c r="B1570" s="3" t="inlineStr">
        <is>
          <t>Trial Management</t>
        </is>
      </c>
      <c r="C1570" s="3" t="inlineStr">
        <is>
          <t>Meetings</t>
        </is>
      </c>
      <c r="D1570" s="3" t="inlineStr">
        <is>
          <t>Team Meetings</t>
        </is>
      </c>
      <c r="E1570" s="3" t="inlineStr">
        <is>
          <t>CMWG_ Meeting minutes</t>
        </is>
      </c>
      <c r="F1570" s="2" t="str">
        <f>HYPERLINK("https://vtmf.veevavault.com/ui/#doc_info/29438228/1/0", "VTMF-23672596")</f>
        <v>VTMF-23672596</v>
      </c>
      <c r="G1570" s="3" t="inlineStr">
        <is>
          <t/>
        </is>
      </c>
      <c r="H1570" s="3" t="inlineStr">
        <is>
          <t>System</t>
        </is>
      </c>
      <c r="I1570" s="3" t="inlineStr">
        <is>
          <t>Elena Toshkova</t>
        </is>
      </c>
      <c r="J1570" s="4" t="n">
        <v>45833.61892361111</v>
      </c>
      <c r="K1570" s="5" t="n">
        <v>45833.0</v>
      </c>
      <c r="L1570" s="5" t="n">
        <v>45832.0</v>
      </c>
      <c r="M1570" s="3" t="inlineStr">
        <is>
          <t>Approved</t>
        </is>
      </c>
      <c r="N1570" s="3" t="inlineStr">
        <is>
          <t>Study Close</t>
        </is>
      </c>
      <c r="O1570" s="3" t="inlineStr">
        <is>
          <t>42847922MDD3003</t>
        </is>
      </c>
    </row>
    <row r="1571">
      <c r="A1571" s="2" t="str">
        <f>HYPERLINK("https://vtmf.veevavault.com/ui/#doc_info/29450697/1/0", "42847922MDD3003---Team Meetings-24 Jun 2025 (v1.0)")</f>
        <v>42847922MDD3003---Team Meetings-24 Jun 2025 (v1.0)</v>
      </c>
      <c r="B1571" s="3" t="inlineStr">
        <is>
          <t>Trial Management</t>
        </is>
      </c>
      <c r="C1571" s="3" t="inlineStr">
        <is>
          <t>Meetings</t>
        </is>
      </c>
      <c r="D1571" s="3" t="inlineStr">
        <is>
          <t>Team Meetings</t>
        </is>
      </c>
      <c r="E1571" s="3" t="inlineStr">
        <is>
          <t>SMT Meeting Minutes</t>
        </is>
      </c>
      <c r="F1571" s="2" t="str">
        <f>HYPERLINK("https://vtmf.veevavault.com/ui/#doc_info/29450697/1/0", "VTMF-23683272")</f>
        <v>VTMF-23683272</v>
      </c>
      <c r="G1571" s="3" t="inlineStr">
        <is>
          <t/>
        </is>
      </c>
      <c r="H1571" s="3" t="inlineStr">
        <is>
          <t>Gina Stefanelli</t>
        </is>
      </c>
      <c r="I1571" s="3" t="inlineStr">
        <is>
          <t>Debhora Garcia</t>
        </is>
      </c>
      <c r="J1571" s="4" t="n">
        <v>45834.899560185186</v>
      </c>
      <c r="K1571" s="5" t="n">
        <v>45834.0</v>
      </c>
      <c r="L1571" s="5" t="n">
        <v>45832.0</v>
      </c>
      <c r="M1571" s="3" t="inlineStr">
        <is>
          <t>Approved</t>
        </is>
      </c>
      <c r="N1571" s="3" t="inlineStr">
        <is>
          <t>Study Close</t>
        </is>
      </c>
      <c r="O1571" s="3" t="inlineStr">
        <is>
          <t>42847922MDD3003</t>
        </is>
      </c>
    </row>
    <row r="1572">
      <c r="A1572" s="2" t="str">
        <f>HYPERLINK("https://vtmf.veevavault.com/ui/#doc_info/31271880/1/0", "42847922MDD3003---Team Meetings-24 Mar 2026 (v1.0)")</f>
        <v>42847922MDD3003---Team Meetings-24 Mar 2026 (v1.0)</v>
      </c>
      <c r="B1572" s="3" t="inlineStr">
        <is>
          <t>Trial Management</t>
        </is>
      </c>
      <c r="C1572" s="3" t="inlineStr">
        <is>
          <t>Meetings</t>
        </is>
      </c>
      <c r="D1572" s="3" t="inlineStr">
        <is>
          <t>Team Meetings</t>
        </is>
      </c>
      <c r="E1572" s="3" t="inlineStr">
        <is>
          <t>SMT Meeting minutes</t>
        </is>
      </c>
      <c r="F1572" s="2" t="str">
        <f>HYPERLINK("https://vtmf.veevavault.com/ui/#doc_info/31271880/1/0", "VTMF-25220152")</f>
        <v>VTMF-25220152</v>
      </c>
      <c r="G1572" s="3" t="inlineStr">
        <is>
          <t/>
        </is>
      </c>
      <c r="H1572" s="3" t="inlineStr">
        <is>
          <t>System</t>
        </is>
      </c>
      <c r="I1572" s="3" t="inlineStr">
        <is>
          <t>Debhora Garcia</t>
        </is>
      </c>
      <c r="J1572" s="4" t="n">
        <v>46106.75027777778</v>
      </c>
      <c r="K1572" s="5" t="n">
        <v>46106.0</v>
      </c>
      <c r="L1572" s="5" t="n">
        <v>46105.0</v>
      </c>
      <c r="M1572" s="3" t="inlineStr">
        <is>
          <t>Approved</t>
        </is>
      </c>
      <c r="N1572" s="3" t="inlineStr">
        <is>
          <t>Study Close</t>
        </is>
      </c>
      <c r="O1572" s="3" t="inlineStr">
        <is>
          <t>42847922MDD3003</t>
        </is>
      </c>
    </row>
    <row r="1573">
      <c r="A1573" s="2" t="str">
        <f>HYPERLINK("https://vtmf.veevavault.com/ui/#doc_info/27363918/1/0", "42847922MDD3003---Team Meetings-24 Oct 2024 (v1.0)")</f>
        <v>42847922MDD3003---Team Meetings-24 Oct 2024 (v1.0)</v>
      </c>
      <c r="B1573" s="3" t="inlineStr">
        <is>
          <t>Trial Management</t>
        </is>
      </c>
      <c r="C1573" s="3" t="inlineStr">
        <is>
          <t>Meetings</t>
        </is>
      </c>
      <c r="D1573" s="3" t="inlineStr">
        <is>
          <t>Team Meetings</t>
        </is>
      </c>
      <c r="E1573" s="3" t="inlineStr">
        <is>
          <t>CMWG_Meeting minutes</t>
        </is>
      </c>
      <c r="F1573" s="2" t="str">
        <f>HYPERLINK("https://vtmf.veevavault.com/ui/#doc_info/27363918/1/0", "VTMF-21951259")</f>
        <v>VTMF-21951259</v>
      </c>
      <c r="G1573" s="3" t="inlineStr">
        <is>
          <t/>
        </is>
      </c>
      <c r="H1573" s="3" t="inlineStr">
        <is>
          <t>Anthony Suarez (veeva.com)</t>
        </is>
      </c>
      <c r="I1573" s="3" t="inlineStr">
        <is>
          <t>Elena Toshkova</t>
        </is>
      </c>
      <c r="J1573" s="4" t="n">
        <v>45595.39047453704</v>
      </c>
      <c r="K1573" s="5" t="n">
        <v>45595.0</v>
      </c>
      <c r="L1573" s="5" t="n">
        <v>45589.0</v>
      </c>
      <c r="M1573" s="3" t="inlineStr">
        <is>
          <t>Approved</t>
        </is>
      </c>
      <c r="N1573" s="3" t="inlineStr">
        <is>
          <t>Study Close</t>
        </is>
      </c>
      <c r="O1573" s="3" t="inlineStr">
        <is>
          <t>42847922MDD3003</t>
        </is>
      </c>
    </row>
    <row r="1574">
      <c r="A1574" s="2" t="str">
        <f>HYPERLINK("https://vtmf.veevavault.com/ui/#doc_info/27141505/1/0", "42847922MDD3003---Team Meetings-24 Sep 2024 (v1.0)")</f>
        <v>42847922MDD3003---Team Meetings-24 Sep 2024 (v1.0)</v>
      </c>
      <c r="B1574" s="3" t="inlineStr">
        <is>
          <t>Trial Management</t>
        </is>
      </c>
      <c r="C1574" s="3" t="inlineStr">
        <is>
          <t>Meetings</t>
        </is>
      </c>
      <c r="D1574" s="3" t="inlineStr">
        <is>
          <t>Team Meetings</t>
        </is>
      </c>
      <c r="E1574" s="3" t="inlineStr">
        <is>
          <t>SMT Meeting Minutes</t>
        </is>
      </c>
      <c r="F1574" s="2" t="str">
        <f>HYPERLINK("https://vtmf.veevavault.com/ui/#doc_info/27141505/1/0", "VTMF-21759417")</f>
        <v>VTMF-21759417</v>
      </c>
      <c r="G1574" s="3" t="inlineStr">
        <is>
          <t/>
        </is>
      </c>
      <c r="H1574" s="3" t="inlineStr">
        <is>
          <t>Anthony Suarez (veeva.com)</t>
        </is>
      </c>
      <c r="I1574" s="3" t="inlineStr">
        <is>
          <t>Debhora Garcia</t>
        </is>
      </c>
      <c r="J1574" s="4" t="n">
        <v>45560.81041666667</v>
      </c>
      <c r="K1574" s="5" t="n">
        <v>45560.0</v>
      </c>
      <c r="L1574" s="5" t="n">
        <v>45559.0</v>
      </c>
      <c r="M1574" s="3" t="inlineStr">
        <is>
          <t>Approved</t>
        </is>
      </c>
      <c r="N1574" s="3" t="inlineStr">
        <is>
          <t>Study Close</t>
        </is>
      </c>
      <c r="O1574" s="3" t="inlineStr">
        <is>
          <t>42847922MDD3003</t>
        </is>
      </c>
    </row>
    <row r="1575">
      <c r="A1575" s="2" t="str">
        <f>HYPERLINK("https://vtmf.veevavault.com/ui/#doc_info/29027670/1/0", "42847922MDD3003---Team Meetings-25 Apr 2025 (v1.0)")</f>
        <v>42847922MDD3003---Team Meetings-25 Apr 2025 (v1.0)</v>
      </c>
      <c r="B1575" s="3" t="inlineStr">
        <is>
          <t>Trial Management</t>
        </is>
      </c>
      <c r="C1575" s="3" t="inlineStr">
        <is>
          <t>Meetings</t>
        </is>
      </c>
      <c r="D1575" s="3" t="inlineStr">
        <is>
          <t>Team Meetings</t>
        </is>
      </c>
      <c r="E1575" s="3" t="inlineStr">
        <is>
          <t>PDIE Meeting Minutes</t>
        </is>
      </c>
      <c r="F1575" s="2" t="str">
        <f>HYPERLINK("https://vtmf.veevavault.com/ui/#doc_info/29027670/1/0", "VTMF-23322247")</f>
        <v>VTMF-23322247</v>
      </c>
      <c r="G1575" s="3" t="inlineStr">
        <is>
          <t/>
        </is>
      </c>
      <c r="H1575" s="3" t="inlineStr">
        <is>
          <t>Gina Stefanelli</t>
        </is>
      </c>
      <c r="I1575" s="3" t="inlineStr">
        <is>
          <t>Gina Stefanelli</t>
        </is>
      </c>
      <c r="J1575" s="4" t="n">
        <v>45779.70414351852</v>
      </c>
      <c r="K1575" s="5" t="n">
        <v>45779.0</v>
      </c>
      <c r="L1575" s="5" t="n">
        <v>45772.0</v>
      </c>
      <c r="M1575" s="3" t="inlineStr">
        <is>
          <t>Approved</t>
        </is>
      </c>
      <c r="N1575" s="3" t="inlineStr">
        <is>
          <t>Study Close</t>
        </is>
      </c>
      <c r="O1575" s="3" t="inlineStr">
        <is>
          <t>42847922MDD3003</t>
        </is>
      </c>
    </row>
    <row r="1576">
      <c r="A1576" s="2" t="str">
        <f>HYPERLINK("https://vtmf.veevavault.com/ui/#doc_info/31791164/1/0", "42847922MDD3003---Team Meetings-25 Aug 2025 (v1.0)")</f>
        <v>42847922MDD3003---Team Meetings-25 Aug 2025 (v1.0)</v>
      </c>
      <c r="B1576" s="3" t="inlineStr">
        <is>
          <t>Trial Management</t>
        </is>
      </c>
      <c r="C1576" s="3" t="inlineStr">
        <is>
          <t>Meetings</t>
        </is>
      </c>
      <c r="D1576" s="3" t="inlineStr">
        <is>
          <t>Team Meetings</t>
        </is>
      </c>
      <c r="E1576" s="3" t="inlineStr">
        <is>
          <t>Site review discussion - sites for discussion - meeting minutes</t>
        </is>
      </c>
      <c r="F1576" s="2" t="str">
        <f>HYPERLINK("https://vtmf.veevavault.com/ui/#doc_info/31791164/1/0", "VTMF-25661507")</f>
        <v>VTMF-25661507</v>
      </c>
      <c r="G1576" s="3" t="inlineStr">
        <is>
          <t/>
        </is>
      </c>
      <c r="H1576" s="3" t="inlineStr">
        <is>
          <t>System</t>
        </is>
      </c>
      <c r="I1576" s="3" t="inlineStr">
        <is>
          <t>Debhora Garcia</t>
        </is>
      </c>
      <c r="J1576" s="4" t="n">
        <v>46174.83497685185</v>
      </c>
      <c r="K1576" s="5" t="n">
        <v>46174.0</v>
      </c>
      <c r="L1576" s="5" t="n">
        <v>45894.0</v>
      </c>
      <c r="M1576" s="3" t="inlineStr">
        <is>
          <t>Approved</t>
        </is>
      </c>
      <c r="N1576" s="3" t="inlineStr">
        <is>
          <t>Study Close</t>
        </is>
      </c>
      <c r="O1576" s="3" t="inlineStr">
        <is>
          <t>42847922MDD3003</t>
        </is>
      </c>
    </row>
    <row r="1577">
      <c r="A1577" s="2" t="str">
        <f>HYPERLINK("https://vtmf.veevavault.com/ui/#doc_info/28564330/1/0", "42847922MDD3003---Team Meetings-25 Feb 2025 (v1.0)")</f>
        <v>42847922MDD3003---Team Meetings-25 Feb 2025 (v1.0)</v>
      </c>
      <c r="B1577" s="3" t="inlineStr">
        <is>
          <t>Trial Management</t>
        </is>
      </c>
      <c r="C1577" s="3" t="inlineStr">
        <is>
          <t>Meetings</t>
        </is>
      </c>
      <c r="D1577" s="3" t="inlineStr">
        <is>
          <t>Team Meetings</t>
        </is>
      </c>
      <c r="E1577" s="3" t="inlineStr">
        <is>
          <t>CMWG_Meeting minutes</t>
        </is>
      </c>
      <c r="F1577" s="2" t="str">
        <f>HYPERLINK("https://vtmf.veevavault.com/ui/#doc_info/28564330/1/0", "VTMF-22938600")</f>
        <v>VTMF-22938600</v>
      </c>
      <c r="G1577" s="3" t="inlineStr">
        <is>
          <t/>
        </is>
      </c>
      <c r="H1577" s="3" t="inlineStr">
        <is>
          <t>Anthony Suarez (veeva.com)</t>
        </is>
      </c>
      <c r="I1577" s="3" t="inlineStr">
        <is>
          <t>Elena Toshkova</t>
        </is>
      </c>
      <c r="J1577" s="4" t="n">
        <v>45715.689722222225</v>
      </c>
      <c r="K1577" s="5" t="n">
        <v>45715.0</v>
      </c>
      <c r="L1577" s="5" t="n">
        <v>45713.0</v>
      </c>
      <c r="M1577" s="3" t="inlineStr">
        <is>
          <t>Approved</t>
        </is>
      </c>
      <c r="N1577" s="3" t="inlineStr">
        <is>
          <t>Study Close</t>
        </is>
      </c>
      <c r="O1577" s="3" t="inlineStr">
        <is>
          <t>42847922MDD3003</t>
        </is>
      </c>
    </row>
    <row r="1578">
      <c r="A1578" s="2" t="str">
        <f>HYPERLINK("https://vtmf.veevavault.com/ui/#doc_info/28567703/1/0", "42847922MDD3003---Team Meetings-25 Feb 2025 (v1.0)")</f>
        <v>42847922MDD3003---Team Meetings-25 Feb 2025 (v1.0)</v>
      </c>
      <c r="B1578" s="3" t="inlineStr">
        <is>
          <t>Trial Management</t>
        </is>
      </c>
      <c r="C1578" s="3" t="inlineStr">
        <is>
          <t>Meetings</t>
        </is>
      </c>
      <c r="D1578" s="3" t="inlineStr">
        <is>
          <t>Team Meetings</t>
        </is>
      </c>
      <c r="E1578" s="3" t="inlineStr">
        <is>
          <t>SMT Meeting minutes</t>
        </is>
      </c>
      <c r="F1578" s="2" t="str">
        <f>HYPERLINK("https://vtmf.veevavault.com/ui/#doc_info/28567703/1/0", "VTMF-22941496")</f>
        <v>VTMF-22941496</v>
      </c>
      <c r="G1578" s="3" t="inlineStr">
        <is>
          <t/>
        </is>
      </c>
      <c r="H1578" s="3" t="inlineStr">
        <is>
          <t>Anthony Suarez (veeva.com)</t>
        </is>
      </c>
      <c r="I1578" s="3" t="inlineStr">
        <is>
          <t>Debhora Garcia</t>
        </is>
      </c>
      <c r="J1578" s="4" t="n">
        <v>45716.097719907404</v>
      </c>
      <c r="K1578" s="5" t="n">
        <v>45716.0</v>
      </c>
      <c r="L1578" s="5" t="n">
        <v>45713.0</v>
      </c>
      <c r="M1578" s="3" t="inlineStr">
        <is>
          <t>Approved</t>
        </is>
      </c>
      <c r="N1578" s="3" t="inlineStr">
        <is>
          <t>Study Close</t>
        </is>
      </c>
      <c r="O1578" s="3" t="inlineStr">
        <is>
          <t>42847922MDD3003</t>
        </is>
      </c>
    </row>
    <row r="1579">
      <c r="A1579" s="2" t="str">
        <f>HYPERLINK("https://vtmf.veevavault.com/ui/#doc_info/31091299/1/0", "42847922MDD3003---Team Meetings-25 Feb 2026 (v1.0)")</f>
        <v>42847922MDD3003---Team Meetings-25 Feb 2026 (v1.0)</v>
      </c>
      <c r="B1579" s="3" t="inlineStr">
        <is>
          <t>Trial Management</t>
        </is>
      </c>
      <c r="C1579" s="3" t="inlineStr">
        <is>
          <t>Meetings</t>
        </is>
      </c>
      <c r="D1579" s="3" t="inlineStr">
        <is>
          <t>Team Meetings</t>
        </is>
      </c>
      <c r="E1579" s="3" t="inlineStr">
        <is>
          <t>CFTT Meeting</t>
        </is>
      </c>
      <c r="F1579" s="2" t="str">
        <f>HYPERLINK("https://vtmf.veevavault.com/ui/#doc_info/31091299/1/0", "VTMF-25066326")</f>
        <v>VTMF-25066326</v>
      </c>
      <c r="G1579" s="3" t="inlineStr">
        <is>
          <t/>
        </is>
      </c>
      <c r="H1579" s="3" t="inlineStr">
        <is>
          <t>System</t>
        </is>
      </c>
      <c r="I1579" s="3" t="inlineStr">
        <is>
          <t>Gina Stefanelli</t>
        </is>
      </c>
      <c r="J1579" s="4" t="n">
        <v>46083.58702546296</v>
      </c>
      <c r="K1579" s="5" t="n">
        <v>46083.0</v>
      </c>
      <c r="L1579" s="5" t="n">
        <v>46078.0</v>
      </c>
      <c r="M1579" s="3" t="inlineStr">
        <is>
          <t>Approved</t>
        </is>
      </c>
      <c r="N1579" s="3" t="inlineStr">
        <is>
          <t>Study Close</t>
        </is>
      </c>
      <c r="O1579" s="3" t="inlineStr">
        <is>
          <t>42847922MDD3003, 42847922MDD3014</t>
        </is>
      </c>
    </row>
    <row r="1580">
      <c r="A1580" s="2" t="str">
        <f>HYPERLINK("https://vtmf.veevavault.com/ui/#doc_info/31791034/1/0", "42847922MDD3003---Team Meetings-25 Jul 2025 (v1.0)")</f>
        <v>42847922MDD3003---Team Meetings-25 Jul 2025 (v1.0)</v>
      </c>
      <c r="B1580" s="3" t="inlineStr">
        <is>
          <t>Trial Management</t>
        </is>
      </c>
      <c r="C1580" s="3" t="inlineStr">
        <is>
          <t>Meetings</t>
        </is>
      </c>
      <c r="D1580" s="3" t="inlineStr">
        <is>
          <t>Team Meetings</t>
        </is>
      </c>
      <c r="E1580" s="3" t="inlineStr">
        <is>
          <t>Site review discussion - sites for discussion - meeting minutes</t>
        </is>
      </c>
      <c r="F1580" s="2" t="str">
        <f>HYPERLINK("https://vtmf.veevavault.com/ui/#doc_info/31791034/1/0", "VTMF-25661466")</f>
        <v>VTMF-25661466</v>
      </c>
      <c r="G1580" s="3" t="inlineStr">
        <is>
          <t/>
        </is>
      </c>
      <c r="H1580" s="3" t="inlineStr">
        <is>
          <t>System</t>
        </is>
      </c>
      <c r="I1580" s="3" t="inlineStr">
        <is>
          <t>Debhora Garcia</t>
        </is>
      </c>
      <c r="J1580" s="4" t="n">
        <v>46174.82623842593</v>
      </c>
      <c r="K1580" s="5" t="n">
        <v>46174.0</v>
      </c>
      <c r="L1580" s="5" t="n">
        <v>45863.0</v>
      </c>
      <c r="M1580" s="3" t="inlineStr">
        <is>
          <t>Approved</t>
        </is>
      </c>
      <c r="N1580" s="3" t="inlineStr">
        <is>
          <t>Study Close</t>
        </is>
      </c>
      <c r="O1580" s="3" t="inlineStr">
        <is>
          <t>42847922MDD3003</t>
        </is>
      </c>
    </row>
    <row r="1581">
      <c r="A1581" s="2" t="str">
        <f>HYPERLINK("https://vtmf.veevavault.com/ui/#doc_info/29644206/2/0", "42847922MDD3003---Team Meetings-25 Jul 2025 (v2.0)")</f>
        <v>42847922MDD3003---Team Meetings-25 Jul 2025 (v2.0)</v>
      </c>
      <c r="B1581" s="3" t="inlineStr">
        <is>
          <t>Trial Management</t>
        </is>
      </c>
      <c r="C1581" s="3" t="inlineStr">
        <is>
          <t>Meetings</t>
        </is>
      </c>
      <c r="D1581" s="3" t="inlineStr">
        <is>
          <t>Team Meetings</t>
        </is>
      </c>
      <c r="E1581" s="3" t="inlineStr">
        <is>
          <t>PDIE Meeting minutes</t>
        </is>
      </c>
      <c r="F1581" s="2" t="str">
        <f>HYPERLINK("https://vtmf.veevavault.com/ui/#doc_info/29644206/2/0", "VTMF-23848900")</f>
        <v>VTMF-23848900</v>
      </c>
      <c r="G1581" s="3" t="inlineStr">
        <is>
          <t/>
        </is>
      </c>
      <c r="H1581" s="3" t="inlineStr">
        <is>
          <t>Debhora Garcia</t>
        </is>
      </c>
      <c r="I1581" s="3" t="inlineStr">
        <is>
          <t>Gina Stefanelli</t>
        </is>
      </c>
      <c r="J1581" s="4" t="n">
        <v>45867.6255787037</v>
      </c>
      <c r="K1581" s="5" t="n">
        <v>45867.0</v>
      </c>
      <c r="L1581" s="5" t="n">
        <v>45863.0</v>
      </c>
      <c r="M1581" s="3" t="inlineStr">
        <is>
          <t>Approved</t>
        </is>
      </c>
      <c r="N1581" s="3" t="inlineStr">
        <is>
          <t>Study Close</t>
        </is>
      </c>
      <c r="O1581" s="3" t="inlineStr">
        <is>
          <t>42847922MDD3003</t>
        </is>
      </c>
    </row>
    <row r="1582">
      <c r="A1582" s="2" t="str">
        <f>HYPERLINK("https://vtmf.veevavault.com/ui/#doc_info/28753673/1/0", "42847922MDD3003---Team Meetings-25 Mar 2025 (v1.0)")</f>
        <v>42847922MDD3003---Team Meetings-25 Mar 2025 (v1.0)</v>
      </c>
      <c r="B1582" s="3" t="inlineStr">
        <is>
          <t>Trial Management</t>
        </is>
      </c>
      <c r="C1582" s="3" t="inlineStr">
        <is>
          <t>Meetings</t>
        </is>
      </c>
      <c r="D1582" s="3" t="inlineStr">
        <is>
          <t>Team Meetings</t>
        </is>
      </c>
      <c r="E1582" s="3" t="inlineStr">
        <is>
          <t>CMWG_Meeting minutes</t>
        </is>
      </c>
      <c r="F1582" s="2" t="str">
        <f>HYPERLINK("https://vtmf.veevavault.com/ui/#doc_info/28753673/1/0", "VTMF-23101408")</f>
        <v>VTMF-23101408</v>
      </c>
      <c r="G1582" s="3" t="inlineStr">
        <is>
          <t/>
        </is>
      </c>
      <c r="H1582" s="3" t="inlineStr">
        <is>
          <t>Anthony Suarez (veeva.com)</t>
        </is>
      </c>
      <c r="I1582" s="3" t="inlineStr">
        <is>
          <t>Elena Toshkova</t>
        </is>
      </c>
      <c r="J1582" s="4" t="n">
        <v>45743.41516203704</v>
      </c>
      <c r="K1582" s="5" t="n">
        <v>45743.0</v>
      </c>
      <c r="L1582" s="5" t="n">
        <v>45741.0</v>
      </c>
      <c r="M1582" s="3" t="inlineStr">
        <is>
          <t>Approved</t>
        </is>
      </c>
      <c r="N1582" s="3" t="inlineStr">
        <is>
          <t>Study Close</t>
        </is>
      </c>
      <c r="O1582" s="3" t="inlineStr">
        <is>
          <t>42847922MDD3003</t>
        </is>
      </c>
    </row>
    <row r="1583">
      <c r="A1583" s="2" t="str">
        <f>HYPERLINK("https://vtmf.veevavault.com/ui/#doc_info/31281723/1/0", "42847922MDD3003---Team Meetings-25 Mar 2026 (v1.0)")</f>
        <v>42847922MDD3003---Team Meetings-25 Mar 2026 (v1.0)</v>
      </c>
      <c r="B1583" s="3" t="inlineStr">
        <is>
          <t>Trial Management</t>
        </is>
      </c>
      <c r="C1583" s="3" t="inlineStr">
        <is>
          <t>Meetings</t>
        </is>
      </c>
      <c r="D1583" s="3" t="inlineStr">
        <is>
          <t>Team Meetings</t>
        </is>
      </c>
      <c r="E1583" s="3" t="inlineStr">
        <is>
          <t>CFTT Meeting minutes</t>
        </is>
      </c>
      <c r="F1583" s="2" t="str">
        <f>HYPERLINK("https://vtmf.veevavault.com/ui/#doc_info/31281723/1/0", "VTMF-25228452")</f>
        <v>VTMF-25228452</v>
      </c>
      <c r="G1583" s="3" t="inlineStr">
        <is>
          <t/>
        </is>
      </c>
      <c r="H1583" s="3" t="inlineStr">
        <is>
          <t>System</t>
        </is>
      </c>
      <c r="I1583" s="3" t="inlineStr">
        <is>
          <t>Debhora Garcia</t>
        </is>
      </c>
      <c r="J1583" s="4" t="n">
        <v>46107.8428587963</v>
      </c>
      <c r="K1583" s="5" t="n">
        <v>46107.0</v>
      </c>
      <c r="L1583" s="5" t="n">
        <v>46106.0</v>
      </c>
      <c r="M1583" s="3" t="inlineStr">
        <is>
          <t>Approved</t>
        </is>
      </c>
      <c r="N1583" s="3" t="inlineStr">
        <is>
          <t>Study Close</t>
        </is>
      </c>
      <c r="O1583" s="3" t="inlineStr">
        <is>
          <t>42847922MDD3003, 42847922MDD3014</t>
        </is>
      </c>
    </row>
    <row r="1584">
      <c r="A1584" s="2" t="str">
        <f>HYPERLINK("https://vtmf.veevavault.com/ui/#doc_info/30481415/1/0", "42847922MDD3003---Team Meetings-25 Nov 2025 (v1.0)")</f>
        <v>42847922MDD3003---Team Meetings-25 Nov 2025 (v1.0)</v>
      </c>
      <c r="B1584" s="3" t="inlineStr">
        <is>
          <t>Trial Management</t>
        </is>
      </c>
      <c r="C1584" s="3" t="inlineStr">
        <is>
          <t>Meetings</t>
        </is>
      </c>
      <c r="D1584" s="3" t="inlineStr">
        <is>
          <t>Team Meetings</t>
        </is>
      </c>
      <c r="E1584" s="3" t="inlineStr">
        <is>
          <t>SMT Meeting minutes</t>
        </is>
      </c>
      <c r="F1584" s="2" t="str">
        <f>HYPERLINK("https://vtmf.veevavault.com/ui/#doc_info/30481415/1/0", "VTMF-24556823")</f>
        <v>VTMF-24556823</v>
      </c>
      <c r="G1584" s="3" t="inlineStr">
        <is>
          <t/>
        </is>
      </c>
      <c r="H1584" s="3" t="inlineStr">
        <is>
          <t>Debhora Garcia</t>
        </is>
      </c>
      <c r="I1584" s="3" t="inlineStr">
        <is>
          <t>Debhora Garcia</t>
        </is>
      </c>
      <c r="J1584" s="4" t="n">
        <v>45987.644282407404</v>
      </c>
      <c r="K1584" s="5" t="n">
        <v>45987.0</v>
      </c>
      <c r="L1584" s="5" t="n">
        <v>45986.0</v>
      </c>
      <c r="M1584" s="3" t="inlineStr">
        <is>
          <t>Approved</t>
        </is>
      </c>
      <c r="N1584" s="3" t="inlineStr">
        <is>
          <t>Study Close</t>
        </is>
      </c>
      <c r="O1584" s="3" t="inlineStr">
        <is>
          <t>42847922MDD3003</t>
        </is>
      </c>
    </row>
    <row r="1585">
      <c r="A1585" s="2" t="str">
        <f>HYPERLINK("https://vtmf.veevavault.com/ui/#doc_info/30487515/1/0", "42847922MDD3003---Team Meetings-25 Nov 2025 (v1.0)")</f>
        <v>42847922MDD3003---Team Meetings-25 Nov 2025 (v1.0)</v>
      </c>
      <c r="B1585" s="3" t="inlineStr">
        <is>
          <t>Trial Management</t>
        </is>
      </c>
      <c r="C1585" s="3" t="inlineStr">
        <is>
          <t>Meetings</t>
        </is>
      </c>
      <c r="D1585" s="3" t="inlineStr">
        <is>
          <t>Team Meetings</t>
        </is>
      </c>
      <c r="E1585" s="3" t="inlineStr">
        <is>
          <t>CMWG _Meeting minutes</t>
        </is>
      </c>
      <c r="F1585" s="2" t="str">
        <f>HYPERLINK("https://vtmf.veevavault.com/ui/#doc_info/30487515/1/0", "VTMF-24562119")</f>
        <v>VTMF-24562119</v>
      </c>
      <c r="G1585" s="3" t="inlineStr">
        <is>
          <t/>
        </is>
      </c>
      <c r="H1585" s="3" t="inlineStr">
        <is>
          <t>System</t>
        </is>
      </c>
      <c r="I1585" s="3" t="inlineStr">
        <is>
          <t>Elena Toshkova</t>
        </is>
      </c>
      <c r="J1585" s="4" t="n">
        <v>45988.38659722222</v>
      </c>
      <c r="K1585" s="5" t="n">
        <v>45988.0</v>
      </c>
      <c r="L1585" s="5" t="n">
        <v>45986.0</v>
      </c>
      <c r="M1585" s="3" t="inlineStr">
        <is>
          <t>Approved</t>
        </is>
      </c>
      <c r="N1585" s="3" t="inlineStr">
        <is>
          <t>Study Close</t>
        </is>
      </c>
      <c r="O1585" s="3" t="inlineStr">
        <is>
          <t>42847922MDD3003</t>
        </is>
      </c>
    </row>
    <row r="1586">
      <c r="A1586" s="2" t="str">
        <f>HYPERLINK("https://vtmf.veevavault.com/ui/#doc_info/25054150/1/0", "42847922MDD3003---Team Meetings-25 Oct 2023 (v1.0)")</f>
        <v>42847922MDD3003---Team Meetings-25 Oct 2023 (v1.0)</v>
      </c>
      <c r="B1586" s="3" t="inlineStr">
        <is>
          <t>Trial Management</t>
        </is>
      </c>
      <c r="C1586" s="3" t="inlineStr">
        <is>
          <t>Meetings</t>
        </is>
      </c>
      <c r="D1586" s="3" t="inlineStr">
        <is>
          <t>Team Meetings</t>
        </is>
      </c>
      <c r="E1586" s="3" t="inlineStr">
        <is>
          <t>CFTT Meeting Minutes</t>
        </is>
      </c>
      <c r="F1586" s="2" t="str">
        <f>HYPERLINK("https://vtmf.veevavault.com/ui/#doc_info/25054150/1/0", "VTMF-19951244")</f>
        <v>VTMF-19951244</v>
      </c>
      <c r="G1586" s="3" t="inlineStr">
        <is>
          <t/>
        </is>
      </c>
      <c r="H1586" s="3" t="inlineStr">
        <is>
          <t>Gina Stefanelli</t>
        </is>
      </c>
      <c r="I1586" s="3" t="inlineStr">
        <is>
          <t>Debhora Garcia</t>
        </is>
      </c>
      <c r="J1586" s="4" t="n">
        <v>45225.82791666667</v>
      </c>
      <c r="K1586" s="5" t="n">
        <v>45225.0</v>
      </c>
      <c r="L1586" s="5" t="n">
        <v>45224.0</v>
      </c>
      <c r="M1586" s="3" t="inlineStr">
        <is>
          <t>Approved</t>
        </is>
      </c>
      <c r="N1586" s="3" t="inlineStr">
        <is>
          <t>Study Close</t>
        </is>
      </c>
      <c r="O1586" s="3" t="inlineStr">
        <is>
          <t>42847922MDD3003</t>
        </is>
      </c>
    </row>
    <row r="1587">
      <c r="A1587" s="2" t="str">
        <f>HYPERLINK("https://vtmf.veevavault.com/ui/#doc_info/27370480/1/0", "42847922MDD3003---Team Meetings-25 Oct 2024 (v1.0)")</f>
        <v>42847922MDD3003---Team Meetings-25 Oct 2024 (v1.0)</v>
      </c>
      <c r="B1587" s="3" t="inlineStr">
        <is>
          <t>Trial Management</t>
        </is>
      </c>
      <c r="C1587" s="3" t="inlineStr">
        <is>
          <t>Meetings</t>
        </is>
      </c>
      <c r="D1587" s="3" t="inlineStr">
        <is>
          <t>Team Meetings</t>
        </is>
      </c>
      <c r="E1587" s="3" t="inlineStr">
        <is>
          <t>PDIE Meeting Minutes</t>
        </is>
      </c>
      <c r="F1587" s="2" t="str">
        <f>HYPERLINK("https://vtmf.veevavault.com/ui/#doc_info/27370480/1/0", "VTMF-21955986")</f>
        <v>VTMF-21955986</v>
      </c>
      <c r="G1587" s="3" t="inlineStr">
        <is>
          <t/>
        </is>
      </c>
      <c r="H1587" s="3" t="inlineStr">
        <is>
          <t>Debhora Garcia</t>
        </is>
      </c>
      <c r="I1587" s="3" t="inlineStr">
        <is>
          <t>Debhora Garcia</t>
        </is>
      </c>
      <c r="J1587" s="4" t="n">
        <v>45595.99974537037</v>
      </c>
      <c r="K1587" s="5" t="n">
        <v>45596.0</v>
      </c>
      <c r="L1587" s="5" t="n">
        <v>45590.0</v>
      </c>
      <c r="M1587" s="3" t="inlineStr">
        <is>
          <t>Approved</t>
        </is>
      </c>
      <c r="N1587" s="3" t="inlineStr">
        <is>
          <t>Study Close</t>
        </is>
      </c>
      <c r="O1587" s="3" t="inlineStr">
        <is>
          <t>42847922MDD3003</t>
        </is>
      </c>
    </row>
    <row r="1588">
      <c r="A1588" s="2" t="str">
        <f>HYPERLINK("https://vtmf.veevavault.com/ui/#doc_info/27169953/1/0", "42847922MDD3003---Team Meetings-25 Sep 2024 (v1.0)")</f>
        <v>42847922MDD3003---Team Meetings-25 Sep 2024 (v1.0)</v>
      </c>
      <c r="B1588" s="3" t="inlineStr">
        <is>
          <t>Trial Management</t>
        </is>
      </c>
      <c r="C1588" s="3" t="inlineStr">
        <is>
          <t>Meetings</t>
        </is>
      </c>
      <c r="D1588" s="3" t="inlineStr">
        <is>
          <t>Team Meetings</t>
        </is>
      </c>
      <c r="E1588" s="3" t="inlineStr">
        <is>
          <t>CFTT Meeting Minutes</t>
        </is>
      </c>
      <c r="F1588" s="2" t="str">
        <f>HYPERLINK("https://vtmf.veevavault.com/ui/#doc_info/27169953/1/0", "VTMF-21784341")</f>
        <v>VTMF-21784341</v>
      </c>
      <c r="G1588" s="3" t="inlineStr">
        <is>
          <t/>
        </is>
      </c>
      <c r="H1588" s="3" t="inlineStr">
        <is>
          <t>Anthony Suarez (veeva.com)</t>
        </is>
      </c>
      <c r="I1588" s="3" t="inlineStr">
        <is>
          <t>Debhora Garcia</t>
        </is>
      </c>
      <c r="J1588" s="4" t="n">
        <v>45565.86444444444</v>
      </c>
      <c r="K1588" s="5" t="n">
        <v>45565.0</v>
      </c>
      <c r="L1588" s="5" t="n">
        <v>45560.0</v>
      </c>
      <c r="M1588" s="3" t="inlineStr">
        <is>
          <t>Approved</t>
        </is>
      </c>
      <c r="N1588" s="3" t="inlineStr">
        <is>
          <t>Study Close</t>
        </is>
      </c>
      <c r="O1588" s="3" t="inlineStr">
        <is>
          <t>42847922MDD3003</t>
        </is>
      </c>
    </row>
    <row r="1589">
      <c r="A1589" s="2" t="str">
        <f>HYPERLINK("https://vtmf.veevavault.com/ui/#doc_info/29843947/1/0", "42847922MDD3003---Team Meetings-26 Aug 2025 (v1.0)")</f>
        <v>42847922MDD3003---Team Meetings-26 Aug 2025 (v1.0)</v>
      </c>
      <c r="B1589" s="3" t="inlineStr">
        <is>
          <t>Trial Management</t>
        </is>
      </c>
      <c r="C1589" s="3" t="inlineStr">
        <is>
          <t>Meetings</t>
        </is>
      </c>
      <c r="D1589" s="3" t="inlineStr">
        <is>
          <t>Team Meetings</t>
        </is>
      </c>
      <c r="E1589" s="3" t="inlineStr">
        <is>
          <t>SMT Meeting minutes</t>
        </is>
      </c>
      <c r="F1589" s="2" t="str">
        <f>HYPERLINK("https://vtmf.veevavault.com/ui/#doc_info/29843947/1/0", "VTMF-24019430")</f>
        <v>VTMF-24019430</v>
      </c>
      <c r="G1589" s="3" t="inlineStr">
        <is>
          <t/>
        </is>
      </c>
      <c r="H1589" s="3" t="inlineStr">
        <is>
          <t>System</t>
        </is>
      </c>
      <c r="I1589" s="3" t="inlineStr">
        <is>
          <t>Debhora Garcia</t>
        </is>
      </c>
      <c r="J1589" s="4" t="n">
        <v>45897.118252314816</v>
      </c>
      <c r="K1589" s="5" t="n">
        <v>45896.0</v>
      </c>
      <c r="L1589" s="5" t="n">
        <v>45895.0</v>
      </c>
      <c r="M1589" s="3" t="inlineStr">
        <is>
          <t>Approved</t>
        </is>
      </c>
      <c r="N1589" s="3" t="inlineStr">
        <is>
          <t>Study Close</t>
        </is>
      </c>
      <c r="O1589" s="3" t="inlineStr">
        <is>
          <t>42847922MDD3003</t>
        </is>
      </c>
    </row>
    <row r="1590">
      <c r="A1590" s="2" t="str">
        <f>HYPERLINK("https://vtmf.veevavault.com/ui/#doc_info/29856649/2/0", "42847922MDD3003---Team Meetings-26 Aug 2025 (v2.0)")</f>
        <v>42847922MDD3003---Team Meetings-26 Aug 2025 (v2.0)</v>
      </c>
      <c r="B1590" s="3" t="inlineStr">
        <is>
          <t>Trial Management</t>
        </is>
      </c>
      <c r="C1590" s="3" t="inlineStr">
        <is>
          <t>Meetings</t>
        </is>
      </c>
      <c r="D1590" s="3" t="inlineStr">
        <is>
          <t>Team Meetings</t>
        </is>
      </c>
      <c r="E1590" s="3" t="inlineStr">
        <is>
          <t>CMWG _Meting minutes</t>
        </is>
      </c>
      <c r="F1590" s="2" t="str">
        <f>HYPERLINK("https://vtmf.veevavault.com/ui/#doc_info/29856649/2/0", "VTMF-24030197")</f>
        <v>VTMF-24030197</v>
      </c>
      <c r="G1590" s="3" t="inlineStr">
        <is>
          <t/>
        </is>
      </c>
      <c r="H1590" s="3" t="inlineStr">
        <is>
          <t>System</t>
        </is>
      </c>
      <c r="I1590" s="3" t="inlineStr">
        <is>
          <t>Elena Toshkova</t>
        </is>
      </c>
      <c r="J1590" s="4" t="n">
        <v>45898.5590625</v>
      </c>
      <c r="K1590" s="5" t="n">
        <v>45898.0</v>
      </c>
      <c r="L1590" s="5" t="n">
        <v>45895.0</v>
      </c>
      <c r="M1590" s="3" t="inlineStr">
        <is>
          <t>Approved</t>
        </is>
      </c>
      <c r="N1590" s="3" t="inlineStr">
        <is>
          <t>Study Close</t>
        </is>
      </c>
      <c r="O1590" s="3" t="inlineStr">
        <is>
          <t>42847922MDD3003</t>
        </is>
      </c>
    </row>
    <row r="1591">
      <c r="A1591" s="2" t="str">
        <f>HYPERLINK("https://vtmf.veevavault.com/ui/#doc_info/28568366/1/0", "42847922MDD3003---Team Meetings-26 Feb 2025 (v1.0)")</f>
        <v>42847922MDD3003---Team Meetings-26 Feb 2025 (v1.0)</v>
      </c>
      <c r="B1591" s="3" t="inlineStr">
        <is>
          <t>Trial Management</t>
        </is>
      </c>
      <c r="C1591" s="3" t="inlineStr">
        <is>
          <t>Meetings</t>
        </is>
      </c>
      <c r="D1591" s="3" t="inlineStr">
        <is>
          <t>Team Meetings</t>
        </is>
      </c>
      <c r="E1591" s="3" t="inlineStr">
        <is>
          <t>CFTT Meeting minutes</t>
        </is>
      </c>
      <c r="F1591" s="2" t="str">
        <f>HYPERLINK("https://vtmf.veevavault.com/ui/#doc_info/28568366/1/0", "VTMF-22942123")</f>
        <v>VTMF-22942123</v>
      </c>
      <c r="G1591" s="3" t="inlineStr">
        <is>
          <t/>
        </is>
      </c>
      <c r="H1591" s="3" t="inlineStr">
        <is>
          <t>Anthony Suarez (veeva.com)</t>
        </is>
      </c>
      <c r="I1591" s="3" t="inlineStr">
        <is>
          <t>Debhora Garcia</t>
        </is>
      </c>
      <c r="J1591" s="4" t="n">
        <v>45716.22255787037</v>
      </c>
      <c r="K1591" s="5" t="n">
        <v>45716.0</v>
      </c>
      <c r="L1591" s="5" t="n">
        <v>45714.0</v>
      </c>
      <c r="M1591" s="3" t="inlineStr">
        <is>
          <t>Approved</t>
        </is>
      </c>
      <c r="N1591" s="3" t="inlineStr">
        <is>
          <t>Study Close</t>
        </is>
      </c>
      <c r="O1591" s="3" t="inlineStr">
        <is>
          <t>42847922MDD3003</t>
        </is>
      </c>
    </row>
    <row r="1592">
      <c r="A1592" s="2" t="str">
        <f>HYPERLINK("https://vtmf.veevavault.com/ui/#doc_info/26182544/1/0", "42847922MDD3003---Team Meetings-26 Mar 2024 (v1.0)")</f>
        <v>42847922MDD3003---Team Meetings-26 Mar 2024 (v1.0)</v>
      </c>
      <c r="B1592" s="3" t="inlineStr">
        <is>
          <t>Trial Management</t>
        </is>
      </c>
      <c r="C1592" s="3" t="inlineStr">
        <is>
          <t>Meetings</t>
        </is>
      </c>
      <c r="D1592" s="3" t="inlineStr">
        <is>
          <t>Team Meetings</t>
        </is>
      </c>
      <c r="E1592" s="3" t="inlineStr">
        <is>
          <t>Aticaprant MDD3003 , MDD3007 and MDD3005_CTNI KOM_ Meeting Minutes 26 March 2024</t>
        </is>
      </c>
      <c r="F1592" s="2" t="str">
        <f>HYPERLINK("https://vtmf.veevavault.com/ui/#doc_info/26182544/1/0", "VTMF-20940351")</f>
        <v>VTMF-20940351</v>
      </c>
      <c r="G1592" s="3" t="inlineStr">
        <is>
          <t/>
        </is>
      </c>
      <c r="H1592" s="3" t="inlineStr">
        <is>
          <t>System</t>
        </is>
      </c>
      <c r="I1592" s="3" t="inlineStr">
        <is>
          <t>Arturo Munguia</t>
        </is>
      </c>
      <c r="J1592" s="4" t="n">
        <v>45404.876608796294</v>
      </c>
      <c r="K1592" s="5" t="n">
        <v>45404.0</v>
      </c>
      <c r="L1592" s="5" t="n">
        <v>45377.0</v>
      </c>
      <c r="M1592" s="3" t="inlineStr">
        <is>
          <t>Approved</t>
        </is>
      </c>
      <c r="N1592" s="3" t="inlineStr">
        <is>
          <t>Study Close</t>
        </is>
      </c>
      <c r="O1592" s="3" t="inlineStr">
        <is>
          <t>42847922MDD3003, 67953964MDD3005, 67953964MDD3007</t>
        </is>
      </c>
    </row>
    <row r="1593">
      <c r="A1593" s="2" t="str">
        <f>HYPERLINK("https://vtmf.veevavault.com/ui/#doc_info/28768554/1/0", "42847922MDD3003---Team Meetings-26 Mar 2025 (v1.0)")</f>
        <v>42847922MDD3003---Team Meetings-26 Mar 2025 (v1.0)</v>
      </c>
      <c r="B1593" s="3" t="inlineStr">
        <is>
          <t>Trial Management</t>
        </is>
      </c>
      <c r="C1593" s="3" t="inlineStr">
        <is>
          <t>Meetings</t>
        </is>
      </c>
      <c r="D1593" s="3" t="inlineStr">
        <is>
          <t>Team Meetings</t>
        </is>
      </c>
      <c r="E1593" s="3" t="inlineStr">
        <is>
          <t>CFTT Meeting Minutes</t>
        </is>
      </c>
      <c r="F1593" s="2" t="str">
        <f>HYPERLINK("https://vtmf.veevavault.com/ui/#doc_info/28768554/1/0", "VTMF-23112877")</f>
        <v>VTMF-23112877</v>
      </c>
      <c r="G1593" s="3" t="inlineStr">
        <is>
          <t/>
        </is>
      </c>
      <c r="H1593" s="3" t="inlineStr">
        <is>
          <t>Anthony Suarez (veeva.com)</t>
        </is>
      </c>
      <c r="I1593" s="3" t="inlineStr">
        <is>
          <t>Debhora Garcia</t>
        </is>
      </c>
      <c r="J1593" s="4" t="n">
        <v>45744.879837962966</v>
      </c>
      <c r="K1593" s="5" t="n">
        <v>45744.0</v>
      </c>
      <c r="L1593" s="5" t="n">
        <v>45742.0</v>
      </c>
      <c r="M1593" s="3" t="inlineStr">
        <is>
          <t>Approved</t>
        </is>
      </c>
      <c r="N1593" s="3" t="inlineStr">
        <is>
          <t>Study Close</t>
        </is>
      </c>
      <c r="O1593" s="3" t="inlineStr">
        <is>
          <t>42847922MDD3003</t>
        </is>
      </c>
    </row>
    <row r="1594">
      <c r="A1594" s="2" t="str">
        <f>HYPERLINK("https://vtmf.veevavault.com/ui/#doc_info/30066473/1/0", "42847922MDD3003---Team Meetings-26 Sep 2025 (v1.0)")</f>
        <v>42847922MDD3003---Team Meetings-26 Sep 2025 (v1.0)</v>
      </c>
      <c r="B1594" s="3" t="inlineStr">
        <is>
          <t>Trial Management</t>
        </is>
      </c>
      <c r="C1594" s="3" t="inlineStr">
        <is>
          <t>Meetings</t>
        </is>
      </c>
      <c r="D1594" s="3" t="inlineStr">
        <is>
          <t>Team Meetings</t>
        </is>
      </c>
      <c r="E1594" s="3" t="inlineStr">
        <is>
          <t>PDIE Meeting minutes</t>
        </is>
      </c>
      <c r="F1594" s="2" t="str">
        <f>HYPERLINK("https://vtmf.veevavault.com/ui/#doc_info/30066473/1/0", "VTMF-24200779")</f>
        <v>VTMF-24200779</v>
      </c>
      <c r="G1594" s="3" t="inlineStr">
        <is>
          <t/>
        </is>
      </c>
      <c r="H1594" s="3" t="inlineStr">
        <is>
          <t>Debhora Garcia</t>
        </is>
      </c>
      <c r="I1594" s="3" t="inlineStr">
        <is>
          <t>Gina Stefanelli</t>
        </is>
      </c>
      <c r="J1594" s="4" t="n">
        <v>45930.66664351852</v>
      </c>
      <c r="K1594" s="5" t="n">
        <v>45930.0</v>
      </c>
      <c r="L1594" s="5" t="n">
        <v>45926.0</v>
      </c>
      <c r="M1594" s="3" t="inlineStr">
        <is>
          <t>Approved</t>
        </is>
      </c>
      <c r="N1594" s="3" t="inlineStr">
        <is>
          <t>Study Close</t>
        </is>
      </c>
      <c r="O1594" s="3" t="inlineStr">
        <is>
          <t>42847922MDD3003</t>
        </is>
      </c>
    </row>
    <row r="1595">
      <c r="A1595" s="2" t="str">
        <f>HYPERLINK("https://vtmf.veevavault.com/ui/#doc_info/26970301/1/0", "42847922MDD3003---Team Meetings-27 Aug 2024 (v1.0)")</f>
        <v>42847922MDD3003---Team Meetings-27 Aug 2024 (v1.0)</v>
      </c>
      <c r="B1595" s="3" t="inlineStr">
        <is>
          <t>Trial Management</t>
        </is>
      </c>
      <c r="C1595" s="3" t="inlineStr">
        <is>
          <t>Meetings</t>
        </is>
      </c>
      <c r="D1595" s="3" t="inlineStr">
        <is>
          <t>Team Meetings</t>
        </is>
      </c>
      <c r="E1595" s="3" t="inlineStr">
        <is>
          <t>SMT Meeting Minutes</t>
        </is>
      </c>
      <c r="F1595" s="2" t="str">
        <f>HYPERLINK("https://vtmf.veevavault.com/ui/#doc_info/26970301/1/0", "VTMF-21621103")</f>
        <v>VTMF-21621103</v>
      </c>
      <c r="G1595" s="3" t="inlineStr">
        <is>
          <t/>
        </is>
      </c>
      <c r="H1595" s="3" t="inlineStr">
        <is>
          <t>Anthony Suarez (veeva.com)</t>
        </is>
      </c>
      <c r="I1595" s="3" t="inlineStr">
        <is>
          <t>Debhora Garcia</t>
        </is>
      </c>
      <c r="J1595" s="4" t="n">
        <v>45532.910787037035</v>
      </c>
      <c r="K1595" s="5" t="n">
        <v>45532.0</v>
      </c>
      <c r="L1595" s="5" t="n">
        <v>45531.0</v>
      </c>
      <c r="M1595" s="3" t="inlineStr">
        <is>
          <t>Approved</t>
        </is>
      </c>
      <c r="N1595" s="3" t="inlineStr">
        <is>
          <t>Study Close</t>
        </is>
      </c>
      <c r="O1595" s="3" t="inlineStr">
        <is>
          <t>42847922MDD3003</t>
        </is>
      </c>
    </row>
    <row r="1596">
      <c r="A1596" s="2" t="str">
        <f>HYPERLINK("https://vtmf.veevavault.com/ui/#doc_info/29843941/1/0", "42847922MDD3003---Team Meetings-27 Aug 2025 (v1.0)")</f>
        <v>42847922MDD3003---Team Meetings-27 Aug 2025 (v1.0)</v>
      </c>
      <c r="B1596" s="3" t="inlineStr">
        <is>
          <t>Trial Management</t>
        </is>
      </c>
      <c r="C1596" s="3" t="inlineStr">
        <is>
          <t>Meetings</t>
        </is>
      </c>
      <c r="D1596" s="3" t="inlineStr">
        <is>
          <t>Team Meetings</t>
        </is>
      </c>
      <c r="E1596" s="3" t="inlineStr">
        <is>
          <t>CFTT Meeting minutes</t>
        </is>
      </c>
      <c r="F1596" s="2" t="str">
        <f>HYPERLINK("https://vtmf.veevavault.com/ui/#doc_info/29843941/1/0", "VTMF-24019419")</f>
        <v>VTMF-24019419</v>
      </c>
      <c r="G1596" s="3" t="inlineStr">
        <is>
          <t/>
        </is>
      </c>
      <c r="H1596" s="3" t="inlineStr">
        <is>
          <t>System</t>
        </is>
      </c>
      <c r="I1596" s="3" t="inlineStr">
        <is>
          <t>Debhora Garcia</t>
        </is>
      </c>
      <c r="J1596" s="4" t="n">
        <v>45897.1162962963</v>
      </c>
      <c r="K1596" s="5" t="n">
        <v>45896.0</v>
      </c>
      <c r="L1596" s="5" t="n">
        <v>45896.0</v>
      </c>
      <c r="M1596" s="3" t="inlineStr">
        <is>
          <t>Approved</t>
        </is>
      </c>
      <c r="N1596" s="3" t="inlineStr">
        <is>
          <t>Study Close</t>
        </is>
      </c>
      <c r="O1596" s="3" t="inlineStr">
        <is>
          <t>42847922MDD3003</t>
        </is>
      </c>
    </row>
    <row r="1597">
      <c r="A1597" s="2" t="str">
        <f>HYPERLINK("https://vtmf.veevavault.com/ui/#doc_info/30869034/1/0", "42847922MDD3003---Team Meetings-27 Jan 2026 (v1.0)")</f>
        <v>42847922MDD3003---Team Meetings-27 Jan 2026 (v1.0)</v>
      </c>
      <c r="B1597" s="3" t="inlineStr">
        <is>
          <t>Trial Management</t>
        </is>
      </c>
      <c r="C1597" s="3" t="inlineStr">
        <is>
          <t>Meetings</t>
        </is>
      </c>
      <c r="D1597" s="3" t="inlineStr">
        <is>
          <t>Team Meetings</t>
        </is>
      </c>
      <c r="E1597" s="3" t="inlineStr">
        <is>
          <t>SMT Meeting Minutes</t>
        </is>
      </c>
      <c r="F1597" s="2" t="str">
        <f>HYPERLINK("https://vtmf.veevavault.com/ui/#doc_info/30869034/1/0", "VTMF-24878100")</f>
        <v>VTMF-24878100</v>
      </c>
      <c r="G1597" s="3" t="inlineStr">
        <is>
          <t/>
        </is>
      </c>
      <c r="H1597" s="3" t="inlineStr">
        <is>
          <t>System</t>
        </is>
      </c>
      <c r="I1597" s="3" t="inlineStr">
        <is>
          <t>Debhora Garcia</t>
        </is>
      </c>
      <c r="J1597" s="4" t="n">
        <v>46051.00556712963</v>
      </c>
      <c r="K1597" s="5" t="n">
        <v>46050.0</v>
      </c>
      <c r="L1597" s="5" t="n">
        <v>46049.0</v>
      </c>
      <c r="M1597" s="3" t="inlineStr">
        <is>
          <t>Approved</t>
        </is>
      </c>
      <c r="N1597" s="3" t="inlineStr">
        <is>
          <t>Study Close</t>
        </is>
      </c>
      <c r="O1597" s="3" t="inlineStr">
        <is>
          <t>42847922MDD3003</t>
        </is>
      </c>
    </row>
    <row r="1598">
      <c r="A1598" s="2" t="str">
        <f>HYPERLINK("https://vtmf.veevavault.com/ui/#doc_info/30872836/1/0", "42847922MDD3003---Team Meetings-27 Jan 2026 (v1.0)")</f>
        <v>42847922MDD3003---Team Meetings-27 Jan 2026 (v1.0)</v>
      </c>
      <c r="B1598" s="3" t="inlineStr">
        <is>
          <t>Trial Management</t>
        </is>
      </c>
      <c r="C1598" s="3" t="inlineStr">
        <is>
          <t>Meetings</t>
        </is>
      </c>
      <c r="D1598" s="3" t="inlineStr">
        <is>
          <t>Team Meetings</t>
        </is>
      </c>
      <c r="E1598" s="3" t="inlineStr">
        <is>
          <t>CMWG_ Meeting minutes</t>
        </is>
      </c>
      <c r="F1598" s="2" t="str">
        <f>HYPERLINK("https://vtmf.veevavault.com/ui/#doc_info/30872836/1/0", "VTMF-24881240")</f>
        <v>VTMF-24881240</v>
      </c>
      <c r="G1598" s="3" t="inlineStr">
        <is>
          <t/>
        </is>
      </c>
      <c r="H1598" s="3" t="inlineStr">
        <is>
          <t>Elena Toshkova</t>
        </is>
      </c>
      <c r="I1598" s="3" t="inlineStr">
        <is>
          <t>Elena Toshkova</t>
        </is>
      </c>
      <c r="J1598" s="4" t="n">
        <v>46051.501539351855</v>
      </c>
      <c r="K1598" s="5" t="n">
        <v>46051.0</v>
      </c>
      <c r="L1598" s="5" t="n">
        <v>46049.0</v>
      </c>
      <c r="M1598" s="3" t="inlineStr">
        <is>
          <t>Approved</t>
        </is>
      </c>
      <c r="N1598" s="3" t="inlineStr">
        <is>
          <t>Study Close</t>
        </is>
      </c>
      <c r="O1598" s="3" t="inlineStr">
        <is>
          <t>42847922MDD3003</t>
        </is>
      </c>
    </row>
    <row r="1599">
      <c r="A1599" s="2" t="str">
        <f>HYPERLINK("https://vtmf.veevavault.com/ui/#doc_info/29469364/1/0", "42847922MDD3003---Team Meetings-27 Jun 2025 (v1.0)")</f>
        <v>42847922MDD3003---Team Meetings-27 Jun 2025 (v1.0)</v>
      </c>
      <c r="B1599" s="3" t="inlineStr">
        <is>
          <t>Trial Management</t>
        </is>
      </c>
      <c r="C1599" s="3" t="inlineStr">
        <is>
          <t>Meetings</t>
        </is>
      </c>
      <c r="D1599" s="3" t="inlineStr">
        <is>
          <t>Team Meetings</t>
        </is>
      </c>
      <c r="E1599" s="3" t="inlineStr">
        <is>
          <t>PDIE Meeting Minutes</t>
        </is>
      </c>
      <c r="F1599" s="2" t="str">
        <f>HYPERLINK("https://vtmf.veevavault.com/ui/#doc_info/29469364/1/0", "VTMF-23699638")</f>
        <v>VTMF-23699638</v>
      </c>
      <c r="G1599" s="3" t="inlineStr">
        <is>
          <t/>
        </is>
      </c>
      <c r="H1599" s="3" t="inlineStr">
        <is>
          <t>Gina Stefanelli</t>
        </is>
      </c>
      <c r="I1599" s="3" t="inlineStr">
        <is>
          <t>Gina Stefanelli</t>
        </is>
      </c>
      <c r="J1599" s="4" t="n">
        <v>45838.90729166667</v>
      </c>
      <c r="K1599" s="5" t="n">
        <v>45838.0</v>
      </c>
      <c r="L1599" s="5" t="n">
        <v>45835.0</v>
      </c>
      <c r="M1599" s="3" t="inlineStr">
        <is>
          <t>Approved</t>
        </is>
      </c>
      <c r="N1599" s="3" t="inlineStr">
        <is>
          <t>Study Close</t>
        </is>
      </c>
      <c r="O1599" s="3" t="inlineStr">
        <is>
          <t>42847922MDD3003</t>
        </is>
      </c>
    </row>
    <row r="1600">
      <c r="A1600" s="2" t="str">
        <f>HYPERLINK("https://vtmf.veevavault.com/ui/#doc_info/31791003/1/0", "42847922MDD3003---Team Meetings-27 Jun 2025 (v1.0)")</f>
        <v>42847922MDD3003---Team Meetings-27 Jun 2025 (v1.0)</v>
      </c>
      <c r="B1600" s="3" t="inlineStr">
        <is>
          <t>Trial Management</t>
        </is>
      </c>
      <c r="C1600" s="3" t="inlineStr">
        <is>
          <t>Meetings</t>
        </is>
      </c>
      <c r="D1600" s="3" t="inlineStr">
        <is>
          <t>Team Meetings</t>
        </is>
      </c>
      <c r="E1600" s="3" t="inlineStr">
        <is>
          <t>Site review discussion - sites for discussion - meeting minutes</t>
        </is>
      </c>
      <c r="F1600" s="2" t="str">
        <f>HYPERLINK("https://vtmf.veevavault.com/ui/#doc_info/31791003/1/0", "VTMF-25661417")</f>
        <v>VTMF-25661417</v>
      </c>
      <c r="G1600" s="3" t="inlineStr">
        <is>
          <t/>
        </is>
      </c>
      <c r="H1600" s="3" t="inlineStr">
        <is>
          <t>System</t>
        </is>
      </c>
      <c r="I1600" s="3" t="inlineStr">
        <is>
          <t>Debhora Garcia</t>
        </is>
      </c>
      <c r="J1600" s="4" t="n">
        <v>46174.8175462963</v>
      </c>
      <c r="K1600" s="5" t="n">
        <v>46174.0</v>
      </c>
      <c r="L1600" s="5" t="n">
        <v>45835.0</v>
      </c>
      <c r="M1600" s="3" t="inlineStr">
        <is>
          <t>Approved</t>
        </is>
      </c>
      <c r="N1600" s="3" t="inlineStr">
        <is>
          <t>Study Close</t>
        </is>
      </c>
      <c r="O1600" s="3" t="inlineStr">
        <is>
          <t>42847922MDD3003</t>
        </is>
      </c>
    </row>
    <row r="1601">
      <c r="A1601" s="2" t="str">
        <f>HYPERLINK("https://vtmf.veevavault.com/ui/#doc_info/26025544/1/0", "42847922MDD3003---Team Meetings-27 Mar 2024 (v1.0)")</f>
        <v>42847922MDD3003---Team Meetings-27 Mar 2024 (v1.0)</v>
      </c>
      <c r="B1601" s="3" t="inlineStr">
        <is>
          <t>Trial Management</t>
        </is>
      </c>
      <c r="C1601" s="3" t="inlineStr">
        <is>
          <t>Meetings</t>
        </is>
      </c>
      <c r="D1601" s="3" t="inlineStr">
        <is>
          <t>Team Meetings</t>
        </is>
      </c>
      <c r="E1601" s="3" t="inlineStr">
        <is>
          <t>CFTT Meeting Minutes</t>
        </is>
      </c>
      <c r="F1601" s="2" t="str">
        <f>HYPERLINK("https://vtmf.veevavault.com/ui/#doc_info/26025544/1/0", "VTMF-20802060")</f>
        <v>VTMF-20802060</v>
      </c>
      <c r="G1601" s="3" t="inlineStr">
        <is>
          <t/>
        </is>
      </c>
      <c r="H1601" s="3" t="inlineStr">
        <is>
          <t>Gina Stefanelli</t>
        </is>
      </c>
      <c r="I1601" s="3" t="inlineStr">
        <is>
          <t>Jamie Hardy</t>
        </is>
      </c>
      <c r="J1601" s="4" t="n">
        <v>45379.98517361111</v>
      </c>
      <c r="K1601" s="5" t="n">
        <v>45379.0</v>
      </c>
      <c r="L1601" s="5" t="n">
        <v>45378.0</v>
      </c>
      <c r="M1601" s="3" t="inlineStr">
        <is>
          <t>Approved</t>
        </is>
      </c>
      <c r="N1601" s="3" t="inlineStr">
        <is>
          <t>Study Close</t>
        </is>
      </c>
      <c r="O1601" s="3" t="inlineStr">
        <is>
          <t>42847922MDD3003</t>
        </is>
      </c>
    </row>
    <row r="1602">
      <c r="A1602" s="2" t="str">
        <f>HYPERLINK("https://vtmf.veevavault.com/ui/#doc_info/31320817/1/0", "42847922MDD3003---Team Meetings-27 Mar 2026 (v1.0)")</f>
        <v>42847922MDD3003---Team Meetings-27 Mar 2026 (v1.0)</v>
      </c>
      <c r="B1602" s="3" t="inlineStr">
        <is>
          <t>Trial Management</t>
        </is>
      </c>
      <c r="C1602" s="3" t="inlineStr">
        <is>
          <t>Meetings</t>
        </is>
      </c>
      <c r="D1602" s="3" t="inlineStr">
        <is>
          <t>Team Meetings</t>
        </is>
      </c>
      <c r="E1602" s="3" t="inlineStr">
        <is>
          <t>PDIE Meeting Minutes</t>
        </is>
      </c>
      <c r="F1602" s="2" t="str">
        <f>HYPERLINK("https://vtmf.veevavault.com/ui/#doc_info/31320817/1/0", "VTMF-25258667")</f>
        <v>VTMF-25258667</v>
      </c>
      <c r="G1602" s="3" t="inlineStr">
        <is>
          <t/>
        </is>
      </c>
      <c r="H1602" s="3" t="inlineStr">
        <is>
          <t>System</t>
        </is>
      </c>
      <c r="I1602" s="3" t="inlineStr">
        <is>
          <t>Kristina Ruzinska</t>
        </is>
      </c>
      <c r="J1602" s="4" t="n">
        <v>46113.590532407405</v>
      </c>
      <c r="K1602" s="5" t="n">
        <v>46113.0</v>
      </c>
      <c r="L1602" s="5" t="n">
        <v>46108.0</v>
      </c>
      <c r="M1602" s="3" t="inlineStr">
        <is>
          <t>Approved</t>
        </is>
      </c>
      <c r="N1602" s="3" t="inlineStr">
        <is>
          <t>Study Close</t>
        </is>
      </c>
      <c r="O1602" s="3" t="inlineStr">
        <is>
          <t>42847922MDD3003</t>
        </is>
      </c>
    </row>
    <row r="1603">
      <c r="A1603" s="2" t="str">
        <f>HYPERLINK("https://vtmf.veevavault.com/ui/#doc_info/29234620/1/0", "42847922MDD3003---Team Meetings-27 May 2025 (v1.0)")</f>
        <v>42847922MDD3003---Team Meetings-27 May 2025 (v1.0)</v>
      </c>
      <c r="B1603" s="3" t="inlineStr">
        <is>
          <t>Trial Management</t>
        </is>
      </c>
      <c r="C1603" s="3" t="inlineStr">
        <is>
          <t>Meetings</t>
        </is>
      </c>
      <c r="D1603" s="3" t="inlineStr">
        <is>
          <t>Team Meetings</t>
        </is>
      </c>
      <c r="E1603" s="3" t="inlineStr">
        <is>
          <t>CMWG _Meeting minutes</t>
        </is>
      </c>
      <c r="F1603" s="2" t="str">
        <f>HYPERLINK("https://vtmf.veevavault.com/ui/#doc_info/29234620/1/0", "VTMF-23498072")</f>
        <v>VTMF-23498072</v>
      </c>
      <c r="G1603" s="3" t="inlineStr">
        <is>
          <t/>
        </is>
      </c>
      <c r="H1603" s="3" t="inlineStr">
        <is>
          <t>Anthony Suarez (veeva.com)</t>
        </is>
      </c>
      <c r="I1603" s="3" t="inlineStr">
        <is>
          <t>Elena Toshkova</t>
        </is>
      </c>
      <c r="J1603" s="4" t="n">
        <v>45807.56996527778</v>
      </c>
      <c r="K1603" s="5" t="n">
        <v>45807.0</v>
      </c>
      <c r="L1603" s="5" t="n">
        <v>45804.0</v>
      </c>
      <c r="M1603" s="3" t="inlineStr">
        <is>
          <t>Approved</t>
        </is>
      </c>
      <c r="N1603" s="3" t="inlineStr">
        <is>
          <t>Study Close</t>
        </is>
      </c>
      <c r="O1603" s="3" t="inlineStr">
        <is>
          <t>42847922MDD3003</t>
        </is>
      </c>
    </row>
    <row r="1604">
      <c r="A1604" s="2" t="str">
        <f>HYPERLINK("https://vtmf.veevavault.com/ui/#doc_info/27785100/1/0", "42847922MDD3003---Team Meetings-27 Nov 2024 (v1.0)")</f>
        <v>42847922MDD3003---Team Meetings-27 Nov 2024 (v1.0)</v>
      </c>
      <c r="B1604" s="3" t="inlineStr">
        <is>
          <t>Trial Management</t>
        </is>
      </c>
      <c r="C1604" s="3" t="inlineStr">
        <is>
          <t>Meetings</t>
        </is>
      </c>
      <c r="D1604" s="3" t="inlineStr">
        <is>
          <t>Team Meetings</t>
        </is>
      </c>
      <c r="E1604" s="3" t="inlineStr">
        <is>
          <t>PDIE Meeting Minutes</t>
        </is>
      </c>
      <c r="F1604" s="2" t="str">
        <f>HYPERLINK("https://vtmf.veevavault.com/ui/#doc_info/27785100/1/0", "VTMF-22278855")</f>
        <v>VTMF-22278855</v>
      </c>
      <c r="G1604" s="3" t="inlineStr">
        <is>
          <t/>
        </is>
      </c>
      <c r="H1604" s="3" t="inlineStr">
        <is>
          <t>Debhora Garcia</t>
        </is>
      </c>
      <c r="I1604" s="3" t="inlineStr">
        <is>
          <t>Debhora Garcia</t>
        </is>
      </c>
      <c r="J1604" s="4" t="n">
        <v>45629.06384259259</v>
      </c>
      <c r="K1604" s="5" t="n">
        <v>45629.0</v>
      </c>
      <c r="L1604" s="5" t="n">
        <v>45623.0</v>
      </c>
      <c r="M1604" s="3" t="inlineStr">
        <is>
          <t>Approved</t>
        </is>
      </c>
      <c r="N1604" s="3" t="inlineStr">
        <is>
          <t>Study Close</t>
        </is>
      </c>
      <c r="O1604" s="3" t="inlineStr">
        <is>
          <t>42847922MDD3003</t>
        </is>
      </c>
    </row>
    <row r="1605">
      <c r="A1605" s="2" t="str">
        <f>HYPERLINK("https://vtmf.veevavault.com/ui/#doc_info/24891885/1/0", "42847922MDD3003---Team Meetings-27 Sep 2023 (v1.0)")</f>
        <v>42847922MDD3003---Team Meetings-27 Sep 2023 (v1.0)</v>
      </c>
      <c r="B1605" s="3" t="inlineStr">
        <is>
          <t>Trial Management</t>
        </is>
      </c>
      <c r="C1605" s="3" t="inlineStr">
        <is>
          <t>Meetings</t>
        </is>
      </c>
      <c r="D1605" s="3" t="inlineStr">
        <is>
          <t>Team Meetings</t>
        </is>
      </c>
      <c r="E1605" s="3" t="inlineStr">
        <is>
          <t>CFTT Meeting Minutes</t>
        </is>
      </c>
      <c r="F1605" s="2" t="str">
        <f>HYPERLINK("https://vtmf.veevavault.com/ui/#doc_info/24891885/1/0", "VTMF-19807027")</f>
        <v>VTMF-19807027</v>
      </c>
      <c r="G1605" s="3" t="inlineStr">
        <is>
          <t/>
        </is>
      </c>
      <c r="H1605" s="3" t="inlineStr">
        <is>
          <t>Gina Stefanelli</t>
        </is>
      </c>
      <c r="I1605" s="3" t="inlineStr">
        <is>
          <t>Debhora Garcia</t>
        </is>
      </c>
      <c r="J1605" s="4" t="n">
        <v>45198.856944444444</v>
      </c>
      <c r="K1605" s="5" t="n">
        <v>45198.0</v>
      </c>
      <c r="L1605" s="5" t="n">
        <v>45196.0</v>
      </c>
      <c r="M1605" s="3" t="inlineStr">
        <is>
          <t>Approved</t>
        </is>
      </c>
      <c r="N1605" s="3" t="inlineStr">
        <is>
          <t>Study Close</t>
        </is>
      </c>
      <c r="O1605" s="3" t="inlineStr">
        <is>
          <t>42847922MDD3003</t>
        </is>
      </c>
    </row>
    <row r="1606">
      <c r="A1606" s="2" t="str">
        <f>HYPERLINK("https://vtmf.veevavault.com/ui/#doc_info/27209424/1/0", "42847922MDD3003---Team Meetings-27 Sep 2024 (v1.0)")</f>
        <v>42847922MDD3003---Team Meetings-27 Sep 2024 (v1.0)</v>
      </c>
      <c r="B1606" s="3" t="inlineStr">
        <is>
          <t>Trial Management</t>
        </is>
      </c>
      <c r="C1606" s="3" t="inlineStr">
        <is>
          <t>Meetings</t>
        </is>
      </c>
      <c r="D1606" s="3" t="inlineStr">
        <is>
          <t>Team Meetings</t>
        </is>
      </c>
      <c r="E1606" s="3" t="inlineStr">
        <is>
          <t>PDIE Meeting Minutes</t>
        </is>
      </c>
      <c r="F1606" s="2" t="str">
        <f>HYPERLINK("https://vtmf.veevavault.com/ui/#doc_info/27209424/1/0", "VTMF-21819024")</f>
        <v>VTMF-21819024</v>
      </c>
      <c r="G1606" s="3" t="inlineStr">
        <is>
          <t/>
        </is>
      </c>
      <c r="H1606" s="3" t="inlineStr">
        <is>
          <t>Debhora Garcia</t>
        </is>
      </c>
      <c r="I1606" s="3" t="inlineStr">
        <is>
          <t>Kristina Ruzinska</t>
        </is>
      </c>
      <c r="J1606" s="4" t="n">
        <v>45572.75388888889</v>
      </c>
      <c r="K1606" s="5" t="n">
        <v>45572.0</v>
      </c>
      <c r="L1606" s="5" t="n">
        <v>45562.0</v>
      </c>
      <c r="M1606" s="3" t="inlineStr">
        <is>
          <t>Approved</t>
        </is>
      </c>
      <c r="N1606" s="3" t="inlineStr">
        <is>
          <t>Study Close</t>
        </is>
      </c>
      <c r="O1606" s="3" t="inlineStr">
        <is>
          <t>42847922MDD3003</t>
        </is>
      </c>
    </row>
    <row r="1607">
      <c r="A1607" s="2" t="str">
        <f>HYPERLINK("https://vtmf.veevavault.com/ui/#doc_info/31565233/1/0", "42847922MDD3003---Team Meetings-28 Apr 2026 (v1.0)")</f>
        <v>42847922MDD3003---Team Meetings-28 Apr 2026 (v1.0)</v>
      </c>
      <c r="B1607" s="3" t="inlineStr">
        <is>
          <t>Trial Management</t>
        </is>
      </c>
      <c r="C1607" s="3" t="inlineStr">
        <is>
          <t>Meetings</t>
        </is>
      </c>
      <c r="D1607" s="3" t="inlineStr">
        <is>
          <t>Team Meetings</t>
        </is>
      </c>
      <c r="E1607" s="3" t="inlineStr">
        <is>
          <t>SMT Meeting</t>
        </is>
      </c>
      <c r="F1607" s="2" t="str">
        <f>HYPERLINK("https://vtmf.veevavault.com/ui/#doc_info/31565233/1/0", "VTMF-25474019")</f>
        <v>VTMF-25474019</v>
      </c>
      <c r="G1607" s="3" t="inlineStr">
        <is>
          <t/>
        </is>
      </c>
      <c r="H1607" s="3" t="inlineStr">
        <is>
          <t>System</t>
        </is>
      </c>
      <c r="I1607" s="3" t="inlineStr">
        <is>
          <t>Gina Stefanelli</t>
        </is>
      </c>
      <c r="J1607" s="4" t="n">
        <v>46142.592881944445</v>
      </c>
      <c r="K1607" s="5" t="n">
        <v>46142.0</v>
      </c>
      <c r="L1607" s="5" t="n">
        <v>46140.0</v>
      </c>
      <c r="M1607" s="3" t="inlineStr">
        <is>
          <t>Approved</t>
        </is>
      </c>
      <c r="N1607" s="3" t="inlineStr">
        <is>
          <t>Study Close</t>
        </is>
      </c>
      <c r="O1607" s="3" t="inlineStr">
        <is>
          <t>42847922MDD3003</t>
        </is>
      </c>
    </row>
    <row r="1608">
      <c r="A1608" s="2" t="str">
        <f>HYPERLINK("https://vtmf.veevavault.com/ui/#doc_info/26986194/1/0", "42847922MDD3003---Team Meetings-28 Aug 2024 (v1.0)")</f>
        <v>42847922MDD3003---Team Meetings-28 Aug 2024 (v1.0)</v>
      </c>
      <c r="B1608" s="3" t="inlineStr">
        <is>
          <t>Trial Management</t>
        </is>
      </c>
      <c r="C1608" s="3" t="inlineStr">
        <is>
          <t>Meetings</t>
        </is>
      </c>
      <c r="D1608" s="3" t="inlineStr">
        <is>
          <t>Team Meetings</t>
        </is>
      </c>
      <c r="E1608" s="3" t="inlineStr">
        <is>
          <t>CFTT Meeting Minutes</t>
        </is>
      </c>
      <c r="F1608" s="2" t="str">
        <f>HYPERLINK("https://vtmf.veevavault.com/ui/#doc_info/26986194/1/0", "VTMF-21634784")</f>
        <v>VTMF-21634784</v>
      </c>
      <c r="G1608" s="3" t="inlineStr">
        <is>
          <t/>
        </is>
      </c>
      <c r="H1608" s="3" t="inlineStr">
        <is>
          <t>Anthony Suarez (veeva.com)</t>
        </is>
      </c>
      <c r="I1608" s="3" t="inlineStr">
        <is>
          <t>Debhora Garcia</t>
        </is>
      </c>
      <c r="J1608" s="4" t="n">
        <v>45534.87553240741</v>
      </c>
      <c r="K1608" s="5" t="n">
        <v>45534.0</v>
      </c>
      <c r="L1608" s="5" t="n">
        <v>45532.0</v>
      </c>
      <c r="M1608" s="3" t="inlineStr">
        <is>
          <t>Approved</t>
        </is>
      </c>
      <c r="N1608" s="3" t="inlineStr">
        <is>
          <t>Study Close</t>
        </is>
      </c>
      <c r="O1608" s="3" t="inlineStr">
        <is>
          <t>42847922MDD3003</t>
        </is>
      </c>
    </row>
    <row r="1609">
      <c r="A1609" s="2" t="str">
        <f>HYPERLINK("https://vtmf.veevavault.com/ui/#doc_info/25832771/1/0", "42847922MDD3003---Team Meetings-28 Feb 2024 (v1.0)")</f>
        <v>42847922MDD3003---Team Meetings-28 Feb 2024 (v1.0)</v>
      </c>
      <c r="B1609" s="3" t="inlineStr">
        <is>
          <t>Trial Management</t>
        </is>
      </c>
      <c r="C1609" s="3" t="inlineStr">
        <is>
          <t>Meetings</t>
        </is>
      </c>
      <c r="D1609" s="3" t="inlineStr">
        <is>
          <t>Team Meetings</t>
        </is>
      </c>
      <c r="E1609" s="3" t="inlineStr">
        <is>
          <t>CFTT Meeting Minutes</t>
        </is>
      </c>
      <c r="F1609" s="2" t="str">
        <f>HYPERLINK("https://vtmf.veevavault.com/ui/#doc_info/25832771/1/0", "VTMF-20631551")</f>
        <v>VTMF-20631551</v>
      </c>
      <c r="G1609" s="3" t="inlineStr">
        <is>
          <t/>
        </is>
      </c>
      <c r="H1609" s="3" t="inlineStr">
        <is>
          <t>Gina Stefanelli</t>
        </is>
      </c>
      <c r="I1609" s="3" t="inlineStr">
        <is>
          <t>Debhora Garcia</t>
        </is>
      </c>
      <c r="J1609" s="4" t="n">
        <v>45352.73778935185</v>
      </c>
      <c r="K1609" s="5" t="n">
        <v>45352.0</v>
      </c>
      <c r="L1609" s="5" t="n">
        <v>45350.0</v>
      </c>
      <c r="M1609" s="3" t="inlineStr">
        <is>
          <t>Approved</t>
        </is>
      </c>
      <c r="N1609" s="3" t="inlineStr">
        <is>
          <t>Study Close</t>
        </is>
      </c>
      <c r="O1609" s="3" t="inlineStr">
        <is>
          <t>42847922MDD3003</t>
        </is>
      </c>
    </row>
    <row r="1610">
      <c r="A1610" s="2" t="str">
        <f>HYPERLINK("https://vtmf.veevavault.com/ui/#doc_info/28574039/1/0", "42847922MDD3003---Team Meetings-28 Feb 2025 (v1.0)")</f>
        <v>42847922MDD3003---Team Meetings-28 Feb 2025 (v1.0)</v>
      </c>
      <c r="B1610" s="3" t="inlineStr">
        <is>
          <t>Trial Management</t>
        </is>
      </c>
      <c r="C1610" s="3" t="inlineStr">
        <is>
          <t>Meetings</t>
        </is>
      </c>
      <c r="D1610" s="3" t="inlineStr">
        <is>
          <t>Team Meetings</t>
        </is>
      </c>
      <c r="E1610" s="3" t="inlineStr">
        <is>
          <t>Ventura_OARS_Moonlight_PSE connect_28Feb2025</t>
        </is>
      </c>
      <c r="F1610" s="2" t="str">
        <f>HYPERLINK("https://vtmf.veevavault.com/ui/#doc_info/28574039/1/0", "VTMF-22947149")</f>
        <v>VTMF-22947149</v>
      </c>
      <c r="G1610" s="3" t="inlineStr">
        <is>
          <t/>
        </is>
      </c>
      <c r="H1610" s="3" t="inlineStr">
        <is>
          <t>Anthony Suarez (veeva.com)</t>
        </is>
      </c>
      <c r="I1610" s="3" t="inlineStr">
        <is>
          <t>Astrid Lenaerts</t>
        </is>
      </c>
      <c r="J1610" s="4" t="n">
        <v>45716.67207175926</v>
      </c>
      <c r="K1610" s="5" t="n">
        <v>45716.0</v>
      </c>
      <c r="L1610" s="5" t="n">
        <v>45716.0</v>
      </c>
      <c r="M1610" s="3" t="inlineStr">
        <is>
          <t>Approved</t>
        </is>
      </c>
      <c r="N1610" s="3" t="inlineStr">
        <is>
          <t>Study Close</t>
        </is>
      </c>
      <c r="O1610" s="3" t="inlineStr">
        <is>
          <t>42847922MDD3003, 67953964MDD3005, 67953964MDD3007, 89495120MDD2001</t>
        </is>
      </c>
    </row>
    <row r="1611">
      <c r="A1611" s="2" t="str">
        <f>HYPERLINK("https://vtmf.veevavault.com/ui/#doc_info/28586518/1/0", "42847922MDD3003---Team Meetings-28 Feb 2025 (v1.0)")</f>
        <v>42847922MDD3003---Team Meetings-28 Feb 2025 (v1.0)</v>
      </c>
      <c r="B1611" s="3" t="inlineStr">
        <is>
          <t>Trial Management</t>
        </is>
      </c>
      <c r="C1611" s="3" t="inlineStr">
        <is>
          <t>Meetings</t>
        </is>
      </c>
      <c r="D1611" s="3" t="inlineStr">
        <is>
          <t>Team Meetings</t>
        </is>
      </c>
      <c r="E1611" s="3" t="inlineStr">
        <is>
          <t>PDIE Meeting Minutes</t>
        </is>
      </c>
      <c r="F1611" s="2" t="str">
        <f>HYPERLINK("https://vtmf.veevavault.com/ui/#doc_info/28586518/1/0", "VTMF-22957883")</f>
        <v>VTMF-22957883</v>
      </c>
      <c r="G1611" s="3" t="inlineStr">
        <is>
          <t/>
        </is>
      </c>
      <c r="H1611" s="3" t="inlineStr">
        <is>
          <t>Gina Stefanelli</t>
        </is>
      </c>
      <c r="I1611" s="3" t="inlineStr">
        <is>
          <t>Gina Stefanelli</t>
        </is>
      </c>
      <c r="J1611" s="4" t="n">
        <v>45719.828993055555</v>
      </c>
      <c r="K1611" s="5" t="n">
        <v>45719.0</v>
      </c>
      <c r="L1611" s="5" t="n">
        <v>45716.0</v>
      </c>
      <c r="M1611" s="3" t="inlineStr">
        <is>
          <t>Approved</t>
        </is>
      </c>
      <c r="N1611" s="3" t="inlineStr">
        <is>
          <t>Study Close</t>
        </is>
      </c>
      <c r="O1611" s="3" t="inlineStr">
        <is>
          <t>42847922MDD3003</t>
        </is>
      </c>
    </row>
    <row r="1612">
      <c r="A1612" s="2" t="str">
        <f>HYPERLINK("https://vtmf.veevavault.com/ui/#doc_info/28201578/1/0", "42847922MDD3003---Team Meetings-28 Jan 2025 (v1.0)")</f>
        <v>42847922MDD3003---Team Meetings-28 Jan 2025 (v1.0)</v>
      </c>
      <c r="B1612" s="3" t="inlineStr">
        <is>
          <t>Trial Management</t>
        </is>
      </c>
      <c r="C1612" s="3" t="inlineStr">
        <is>
          <t>Meetings</t>
        </is>
      </c>
      <c r="D1612" s="3" t="inlineStr">
        <is>
          <t>Team Meetings</t>
        </is>
      </c>
      <c r="E1612" s="3" t="inlineStr">
        <is>
          <t>CMWG_Meeting minutes</t>
        </is>
      </c>
      <c r="F1612" s="2" t="str">
        <f>HYPERLINK("https://vtmf.veevavault.com/ui/#doc_info/28201578/1/0", "VTMF-22617467")</f>
        <v>VTMF-22617467</v>
      </c>
      <c r="G1612" s="3" t="inlineStr">
        <is>
          <t/>
        </is>
      </c>
      <c r="H1612" s="3" t="inlineStr">
        <is>
          <t>Anthony Suarez (veeva.com)</t>
        </is>
      </c>
      <c r="I1612" s="3" t="inlineStr">
        <is>
          <t>Elena Toshkova</t>
        </is>
      </c>
      <c r="J1612" s="4" t="n">
        <v>45688.61268518519</v>
      </c>
      <c r="K1612" s="5" t="n">
        <v>45688.0</v>
      </c>
      <c r="L1612" s="5" t="n">
        <v>45685.0</v>
      </c>
      <c r="M1612" s="3" t="inlineStr">
        <is>
          <t>Approved</t>
        </is>
      </c>
      <c r="N1612" s="3" t="inlineStr">
        <is>
          <t>Study Close</t>
        </is>
      </c>
      <c r="O1612" s="3" t="inlineStr">
        <is>
          <t>42847922MDD3003</t>
        </is>
      </c>
    </row>
    <row r="1613">
      <c r="A1613" s="2" t="str">
        <f>HYPERLINK("https://vtmf.veevavault.com/ui/#doc_info/30880713/1/0", "42847922MDD3003---Team Meetings-28 Jan 2026 (v1.0)")</f>
        <v>42847922MDD3003---Team Meetings-28 Jan 2026 (v1.0)</v>
      </c>
      <c r="B1613" s="3" t="inlineStr">
        <is>
          <t>Trial Management</t>
        </is>
      </c>
      <c r="C1613" s="3" t="inlineStr">
        <is>
          <t>Meetings</t>
        </is>
      </c>
      <c r="D1613" s="3" t="inlineStr">
        <is>
          <t>Team Meetings</t>
        </is>
      </c>
      <c r="E1613" s="3" t="inlineStr">
        <is>
          <t>CFTT Meeting Minutes</t>
        </is>
      </c>
      <c r="F1613" s="2" t="str">
        <f>HYPERLINK("https://vtmf.veevavault.com/ui/#doc_info/30880713/1/0", "VTMF-24888272")</f>
        <v>VTMF-24888272</v>
      </c>
      <c r="G1613" s="3" t="inlineStr">
        <is>
          <t/>
        </is>
      </c>
      <c r="H1613" s="3" t="inlineStr">
        <is>
          <t>System</t>
        </is>
      </c>
      <c r="I1613" s="3" t="inlineStr">
        <is>
          <t>Debhora Garcia</t>
        </is>
      </c>
      <c r="J1613" s="4" t="n">
        <v>46051.86736111111</v>
      </c>
      <c r="K1613" s="5" t="n">
        <v>46051.0</v>
      </c>
      <c r="L1613" s="5" t="n">
        <v>46050.0</v>
      </c>
      <c r="M1613" s="3" t="inlineStr">
        <is>
          <t>Approved</t>
        </is>
      </c>
      <c r="N1613" s="3" t="inlineStr">
        <is>
          <t>Study Close</t>
        </is>
      </c>
      <c r="O1613" s="3" t="inlineStr">
        <is>
          <t>42847922MDD3003, 42847922MDD3014</t>
        </is>
      </c>
    </row>
    <row r="1614">
      <c r="A1614" s="2" t="str">
        <f>HYPERLINK("https://vtmf.veevavault.com/ui/#doc_info/26616234/1/0", "42847922MDD3003---Team Meetings-28 Jun 2024 (v1.0)")</f>
        <v>42847922MDD3003---Team Meetings-28 Jun 2024 (v1.0)</v>
      </c>
      <c r="B1614" s="3" t="inlineStr">
        <is>
          <t>Trial Management</t>
        </is>
      </c>
      <c r="C1614" s="3" t="inlineStr">
        <is>
          <t>Meetings</t>
        </is>
      </c>
      <c r="D1614" s="3" t="inlineStr">
        <is>
          <t>Team Meetings</t>
        </is>
      </c>
      <c r="E1614" s="3" t="inlineStr">
        <is>
          <t>Ventura_OARS_Moonlight_IPE connect_28June2024</t>
        </is>
      </c>
      <c r="F1614" s="2" t="str">
        <f>HYPERLINK("https://vtmf.veevavault.com/ui/#doc_info/26616234/1/0", "VTMF-21319406")</f>
        <v>VTMF-21319406</v>
      </c>
      <c r="G1614" s="3" t="inlineStr">
        <is>
          <t/>
        </is>
      </c>
      <c r="H1614" s="3" t="inlineStr">
        <is>
          <t>Anthony Suarez (veeva.com)</t>
        </is>
      </c>
      <c r="I1614" s="3" t="inlineStr">
        <is>
          <t>Astrid Lenaerts</t>
        </is>
      </c>
      <c r="J1614" s="4" t="n">
        <v>45471.62893518519</v>
      </c>
      <c r="K1614" s="5" t="n">
        <v>45471.0</v>
      </c>
      <c r="L1614" s="5" t="n">
        <v>45471.0</v>
      </c>
      <c r="M1614" s="3" t="inlineStr">
        <is>
          <t>Approved</t>
        </is>
      </c>
      <c r="N1614" s="3" t="inlineStr">
        <is>
          <t>Study Close</t>
        </is>
      </c>
      <c r="O1614" s="3" t="inlineStr">
        <is>
          <t>42847922MDD3003, 67953964MDD3005, 67953964MDD3007, 89495120MDD2001</t>
        </is>
      </c>
    </row>
    <row r="1615">
      <c r="A1615" s="2" t="str">
        <f>HYPERLINK("https://vtmf.veevavault.com/ui/#doc_info/28811250/1/0", "42847922MDD3003---Team Meetings-28 Mar 2025 (v1.0)")</f>
        <v>42847922MDD3003---Team Meetings-28 Mar 2025 (v1.0)</v>
      </c>
      <c r="B1615" s="3" t="inlineStr">
        <is>
          <t>Trial Management</t>
        </is>
      </c>
      <c r="C1615" s="3" t="inlineStr">
        <is>
          <t>Meetings</t>
        </is>
      </c>
      <c r="D1615" s="3" t="inlineStr">
        <is>
          <t>Team Meetings</t>
        </is>
      </c>
      <c r="E1615" s="3" t="inlineStr">
        <is>
          <t>PDIE Meeting Minutes</t>
        </is>
      </c>
      <c r="F1615" s="2" t="str">
        <f>HYPERLINK("https://vtmf.veevavault.com/ui/#doc_info/28811250/1/0", "VTMF-23148993")</f>
        <v>VTMF-23148993</v>
      </c>
      <c r="G1615" s="3" t="inlineStr">
        <is>
          <t/>
        </is>
      </c>
      <c r="H1615" s="3" t="inlineStr">
        <is>
          <t>Anthony Suarez (veeva.com)</t>
        </is>
      </c>
      <c r="I1615" s="3" t="inlineStr">
        <is>
          <t>Gina Stefanelli</t>
        </is>
      </c>
      <c r="J1615" s="4" t="n">
        <v>45751.59840277778</v>
      </c>
      <c r="K1615" s="5" t="n">
        <v>45751.0</v>
      </c>
      <c r="L1615" s="5" t="n">
        <v>45744.0</v>
      </c>
      <c r="M1615" s="3" t="inlineStr">
        <is>
          <t>Approved</t>
        </is>
      </c>
      <c r="N1615" s="3" t="inlineStr">
        <is>
          <t>Study Close</t>
        </is>
      </c>
      <c r="O1615" s="3" t="inlineStr">
        <is>
          <t>42847922MDD3003</t>
        </is>
      </c>
    </row>
    <row r="1616">
      <c r="A1616" s="2" t="str">
        <f>HYPERLINK("https://vtmf.veevavault.com/ui/#doc_info/30257786/1/0", "42847922MDD3003---Team Meetings-28 Oct 2025 (v1.0)")</f>
        <v>42847922MDD3003---Team Meetings-28 Oct 2025 (v1.0)</v>
      </c>
      <c r="B1616" s="3" t="inlineStr">
        <is>
          <t>Trial Management</t>
        </is>
      </c>
      <c r="C1616" s="3" t="inlineStr">
        <is>
          <t>Meetings</t>
        </is>
      </c>
      <c r="D1616" s="3" t="inlineStr">
        <is>
          <t>Team Meetings</t>
        </is>
      </c>
      <c r="E1616" s="3" t="inlineStr">
        <is>
          <t>SMT Meeting minutes</t>
        </is>
      </c>
      <c r="F1616" s="2" t="str">
        <f>HYPERLINK("https://vtmf.veevavault.com/ui/#doc_info/30257786/1/0", "VTMF-24364345")</f>
        <v>VTMF-24364345</v>
      </c>
      <c r="G1616" s="3" t="inlineStr">
        <is>
          <t/>
        </is>
      </c>
      <c r="H1616" s="3" t="inlineStr">
        <is>
          <t>Debhora Garcia</t>
        </is>
      </c>
      <c r="I1616" s="3" t="inlineStr">
        <is>
          <t>Gina Stefanelli</t>
        </is>
      </c>
      <c r="J1616" s="4" t="n">
        <v>45959.56456018519</v>
      </c>
      <c r="K1616" s="5" t="n">
        <v>45959.0</v>
      </c>
      <c r="L1616" s="5" t="n">
        <v>45958.0</v>
      </c>
      <c r="M1616" s="3" t="inlineStr">
        <is>
          <t>Approved</t>
        </is>
      </c>
      <c r="N1616" s="3" t="inlineStr">
        <is>
          <t>Study Close</t>
        </is>
      </c>
      <c r="O1616" s="3" t="inlineStr">
        <is>
          <t>42847922MDD3003</t>
        </is>
      </c>
    </row>
    <row r="1617">
      <c r="A1617" s="2" t="str">
        <f>HYPERLINK("https://vtmf.veevavault.com/ui/#doc_info/30276629/1/0", "42847922MDD3003---Team Meetings-28 Oct 2025 (v1.0)")</f>
        <v>42847922MDD3003---Team Meetings-28 Oct 2025 (v1.0)</v>
      </c>
      <c r="B1617" s="3" t="inlineStr">
        <is>
          <t>Trial Management</t>
        </is>
      </c>
      <c r="C1617" s="3" t="inlineStr">
        <is>
          <t>Meetings</t>
        </is>
      </c>
      <c r="D1617" s="3" t="inlineStr">
        <is>
          <t>Team Meetings</t>
        </is>
      </c>
      <c r="E1617" s="3" t="inlineStr">
        <is>
          <t>CMWG_ Meeting minutes</t>
        </is>
      </c>
      <c r="F1617" s="2" t="str">
        <f>HYPERLINK("https://vtmf.veevavault.com/ui/#doc_info/30276629/1/0", "VTMF-24380273")</f>
        <v>VTMF-24380273</v>
      </c>
      <c r="G1617" s="3" t="inlineStr">
        <is>
          <t/>
        </is>
      </c>
      <c r="H1617" s="3" t="inlineStr">
        <is>
          <t>System</t>
        </is>
      </c>
      <c r="I1617" s="3" t="inlineStr">
        <is>
          <t>Elena Toshkova</t>
        </is>
      </c>
      <c r="J1617" s="4" t="n">
        <v>45961.59627314815</v>
      </c>
      <c r="K1617" s="5" t="n">
        <v>45961.0</v>
      </c>
      <c r="L1617" s="5" t="n">
        <v>45958.0</v>
      </c>
      <c r="M1617" s="3" t="inlineStr">
        <is>
          <t>Approved</t>
        </is>
      </c>
      <c r="N1617" s="3" t="inlineStr">
        <is>
          <t>Study Close</t>
        </is>
      </c>
      <c r="O1617" s="3" t="inlineStr">
        <is>
          <t>42847922MDD3003</t>
        </is>
      </c>
    </row>
    <row r="1618">
      <c r="A1618" s="2" t="str">
        <f>HYPERLINK("https://vtmf.veevavault.com/ui/#doc_info/29003938/1/0", "42847922MDD3003---Team Meetings-29 Apr 2025 (v1.0)")</f>
        <v>42847922MDD3003---Team Meetings-29 Apr 2025 (v1.0)</v>
      </c>
      <c r="B1618" s="3" t="inlineStr">
        <is>
          <t>Trial Management</t>
        </is>
      </c>
      <c r="C1618" s="3" t="inlineStr">
        <is>
          <t>Meetings</t>
        </is>
      </c>
      <c r="D1618" s="3" t="inlineStr">
        <is>
          <t>Team Meetings</t>
        </is>
      </c>
      <c r="E1618" s="3" t="inlineStr">
        <is>
          <t>Ventura_OARS_Moonlight_PSE connect_29Apr2025.pptx</t>
        </is>
      </c>
      <c r="F1618" s="2" t="str">
        <f>HYPERLINK("https://vtmf.veevavault.com/ui/#doc_info/29003938/1/0", "VTMF-23301215")</f>
        <v>VTMF-23301215</v>
      </c>
      <c r="G1618" s="3" t="inlineStr">
        <is>
          <t/>
        </is>
      </c>
      <c r="H1618" s="3" t="inlineStr">
        <is>
          <t>Anthony Suarez (veeva.com)</t>
        </is>
      </c>
      <c r="I1618" s="3" t="inlineStr">
        <is>
          <t>Astrid Lenaerts</t>
        </is>
      </c>
      <c r="J1618" s="4" t="n">
        <v>45776.790138888886</v>
      </c>
      <c r="K1618" s="5" t="n">
        <v>45776.0</v>
      </c>
      <c r="L1618" s="5" t="n">
        <v>45776.0</v>
      </c>
      <c r="M1618" s="3" t="inlineStr">
        <is>
          <t>Approved</t>
        </is>
      </c>
      <c r="N1618" s="3" t="inlineStr">
        <is>
          <t>Study Close</t>
        </is>
      </c>
      <c r="O1618" s="3" t="inlineStr">
        <is>
          <t>42847922MDD3003, 67953964MDD3005, 67953964MDD3007, 89495120MDD2001</t>
        </is>
      </c>
    </row>
    <row r="1619">
      <c r="A1619" s="2" t="str">
        <f>HYPERLINK("https://vtmf.veevavault.com/ui/#doc_info/29016377/1/0", "42847922MDD3003---Team Meetings-29 Apr 2025 (v1.0)")</f>
        <v>42847922MDD3003---Team Meetings-29 Apr 2025 (v1.0)</v>
      </c>
      <c r="B1619" s="3" t="inlineStr">
        <is>
          <t>Trial Management</t>
        </is>
      </c>
      <c r="C1619" s="3" t="inlineStr">
        <is>
          <t>Meetings</t>
        </is>
      </c>
      <c r="D1619" s="3" t="inlineStr">
        <is>
          <t>Team Meetings</t>
        </is>
      </c>
      <c r="E1619" s="3" t="inlineStr">
        <is>
          <t>SMT Meeting minutes</t>
        </is>
      </c>
      <c r="F1619" s="2" t="str">
        <f>HYPERLINK("https://vtmf.veevavault.com/ui/#doc_info/29016377/1/0", "VTMF-23311869")</f>
        <v>VTMF-23311869</v>
      </c>
      <c r="G1619" s="3" t="inlineStr">
        <is>
          <t/>
        </is>
      </c>
      <c r="H1619" s="3" t="inlineStr">
        <is>
          <t>Anthony Suarez (veeva.com)</t>
        </is>
      </c>
      <c r="I1619" s="3" t="inlineStr">
        <is>
          <t>Debhora Garcia</t>
        </is>
      </c>
      <c r="J1619" s="4" t="n">
        <v>45777.87978009259</v>
      </c>
      <c r="K1619" s="5" t="n">
        <v>45777.0</v>
      </c>
      <c r="L1619" s="5" t="n">
        <v>45776.0</v>
      </c>
      <c r="M1619" s="3" t="inlineStr">
        <is>
          <t>Approved</t>
        </is>
      </c>
      <c r="N1619" s="3" t="inlineStr">
        <is>
          <t>Study Close</t>
        </is>
      </c>
      <c r="O1619" s="3" t="inlineStr">
        <is>
          <t>42847922MDD3003</t>
        </is>
      </c>
    </row>
    <row r="1620">
      <c r="A1620" s="2" t="str">
        <f>HYPERLINK("https://vtmf.veevavault.com/ui/#doc_info/29025833/1/0", "42847922MDD3003---Team Meetings-29 Apr 2025 (v1.0)")</f>
        <v>42847922MDD3003---Team Meetings-29 Apr 2025 (v1.0)</v>
      </c>
      <c r="B1620" s="3" t="inlineStr">
        <is>
          <t>Trial Management</t>
        </is>
      </c>
      <c r="C1620" s="3" t="inlineStr">
        <is>
          <t>Meetings</t>
        </is>
      </c>
      <c r="D1620" s="3" t="inlineStr">
        <is>
          <t>Team Meetings</t>
        </is>
      </c>
      <c r="E1620" s="3" t="inlineStr">
        <is>
          <t>CMWG_Meeting minutes</t>
        </is>
      </c>
      <c r="F1620" s="2" t="str">
        <f>HYPERLINK("https://vtmf.veevavault.com/ui/#doc_info/29025833/1/0", "VTMF-23320569")</f>
        <v>VTMF-23320569</v>
      </c>
      <c r="G1620" s="3" t="inlineStr">
        <is>
          <t/>
        </is>
      </c>
      <c r="H1620" s="3" t="inlineStr">
        <is>
          <t>Anthony Suarez (veeva.com)</t>
        </is>
      </c>
      <c r="I1620" s="3" t="inlineStr">
        <is>
          <t>Elena Toshkova</t>
        </is>
      </c>
      <c r="J1620" s="4" t="n">
        <v>45779.41484953704</v>
      </c>
      <c r="K1620" s="5" t="n">
        <v>45779.0</v>
      </c>
      <c r="L1620" s="5" t="n">
        <v>45776.0</v>
      </c>
      <c r="M1620" s="3" t="inlineStr">
        <is>
          <t>Approved</t>
        </is>
      </c>
      <c r="N1620" s="3" t="inlineStr">
        <is>
          <t>Study Close</t>
        </is>
      </c>
      <c r="O1620" s="3" t="inlineStr">
        <is>
          <t>42847922MDD3003</t>
        </is>
      </c>
    </row>
    <row r="1621">
      <c r="A1621" s="2" t="str">
        <f>HYPERLINK("https://vtmf.veevavault.com/ui/#doc_info/29874452/1/0", "42847922MDD3003---Team Meetings-29 Aug 2025 (v1.0)")</f>
        <v>42847922MDD3003---Team Meetings-29 Aug 2025 (v1.0)</v>
      </c>
      <c r="B1621" s="3" t="inlineStr">
        <is>
          <t>Trial Management</t>
        </is>
      </c>
      <c r="C1621" s="3" t="inlineStr">
        <is>
          <t>Meetings</t>
        </is>
      </c>
      <c r="D1621" s="3" t="inlineStr">
        <is>
          <t>Team Meetings</t>
        </is>
      </c>
      <c r="E1621" s="3" t="inlineStr">
        <is>
          <t>PDIE Meeting minutes</t>
        </is>
      </c>
      <c r="F1621" s="2" t="str">
        <f>HYPERLINK("https://vtmf.veevavault.com/ui/#doc_info/29874452/1/0", "VTMF-24045498")</f>
        <v>VTMF-24045498</v>
      </c>
      <c r="G1621" s="3" t="inlineStr">
        <is>
          <t/>
        </is>
      </c>
      <c r="H1621" s="3" t="inlineStr">
        <is>
          <t>Debhora Garcia</t>
        </is>
      </c>
      <c r="I1621" s="3" t="inlineStr">
        <is>
          <t>Gina Stefanelli</t>
        </is>
      </c>
      <c r="J1621" s="4" t="n">
        <v>45902.59857638889</v>
      </c>
      <c r="K1621" s="5" t="n">
        <v>45902.0</v>
      </c>
      <c r="L1621" s="5" t="n">
        <v>45898.0</v>
      </c>
      <c r="M1621" s="3" t="inlineStr">
        <is>
          <t>Approved</t>
        </is>
      </c>
      <c r="N1621" s="3" t="inlineStr">
        <is>
          <t>Study Close</t>
        </is>
      </c>
      <c r="O1621" s="3" t="inlineStr">
        <is>
          <t>42847922MDD3003</t>
        </is>
      </c>
    </row>
    <row r="1622">
      <c r="A1622" s="2" t="str">
        <f>HYPERLINK("https://vtmf.veevavault.com/ui/#doc_info/28203779/1/0", "42847922MDD3003---Team Meetings-29 Jan 2025 (v1.0)")</f>
        <v>42847922MDD3003---Team Meetings-29 Jan 2025 (v1.0)</v>
      </c>
      <c r="B1622" s="3" t="inlineStr">
        <is>
          <t>Trial Management</t>
        </is>
      </c>
      <c r="C1622" s="3" t="inlineStr">
        <is>
          <t>Meetings</t>
        </is>
      </c>
      <c r="D1622" s="3" t="inlineStr">
        <is>
          <t>Team Meetings</t>
        </is>
      </c>
      <c r="E1622" s="3" t="inlineStr">
        <is>
          <t>CFTT Meeting minutes</t>
        </is>
      </c>
      <c r="F1622" s="2" t="str">
        <f>HYPERLINK("https://vtmf.veevavault.com/ui/#doc_info/28203779/1/0", "VTMF-22619247")</f>
        <v>VTMF-22619247</v>
      </c>
      <c r="G1622" s="3" t="inlineStr">
        <is>
          <t/>
        </is>
      </c>
      <c r="H1622" s="3" t="inlineStr">
        <is>
          <t>Anthony Suarez (veeva.com)</t>
        </is>
      </c>
      <c r="I1622" s="3" t="inlineStr">
        <is>
          <t>Debhora Garcia</t>
        </is>
      </c>
      <c r="J1622" s="4" t="n">
        <v>45688.782997685186</v>
      </c>
      <c r="K1622" s="5" t="n">
        <v>45688.0</v>
      </c>
      <c r="L1622" s="5" t="n">
        <v>45686.0</v>
      </c>
      <c r="M1622" s="3" t="inlineStr">
        <is>
          <t>Approved</t>
        </is>
      </c>
      <c r="N1622" s="3" t="inlineStr">
        <is>
          <t>Study Close</t>
        </is>
      </c>
      <c r="O1622" s="3" t="inlineStr">
        <is>
          <t>42847922MDD3003</t>
        </is>
      </c>
    </row>
    <row r="1623">
      <c r="A1623" s="2" t="str">
        <f>HYPERLINK("https://vtmf.veevavault.com/ui/#doc_info/29660210/1/0", "42847922MDD3003---Team Meetings-29 Jul 2025 (v1.0)")</f>
        <v>42847922MDD3003---Team Meetings-29 Jul 2025 (v1.0)</v>
      </c>
      <c r="B1623" s="3" t="inlineStr">
        <is>
          <t>Trial Management</t>
        </is>
      </c>
      <c r="C1623" s="3" t="inlineStr">
        <is>
          <t>Meetings</t>
        </is>
      </c>
      <c r="D1623" s="3" t="inlineStr">
        <is>
          <t>Team Meetings</t>
        </is>
      </c>
      <c r="E1623" s="3" t="inlineStr">
        <is>
          <t>CMWG _Meeting minutes</t>
        </is>
      </c>
      <c r="F1623" s="2" t="str">
        <f>HYPERLINK("https://vtmf.veevavault.com/ui/#doc_info/29660210/1/0", "VTMF-23862798")</f>
        <v>VTMF-23862798</v>
      </c>
      <c r="G1623" s="3" t="inlineStr">
        <is>
          <t/>
        </is>
      </c>
      <c r="H1623" s="3" t="inlineStr">
        <is>
          <t>System</t>
        </is>
      </c>
      <c r="I1623" s="3" t="inlineStr">
        <is>
          <t>Elena Toshkova</t>
        </is>
      </c>
      <c r="J1623" s="4" t="n">
        <v>45868.60565972222</v>
      </c>
      <c r="K1623" s="5" t="n">
        <v>45868.0</v>
      </c>
      <c r="L1623" s="5" t="n">
        <v>45867.0</v>
      </c>
      <c r="M1623" s="3" t="inlineStr">
        <is>
          <t>Approved</t>
        </is>
      </c>
      <c r="N1623" s="3" t="inlineStr">
        <is>
          <t>Study Close</t>
        </is>
      </c>
      <c r="O1623" s="3" t="inlineStr">
        <is>
          <t>42847922MDD3003</t>
        </is>
      </c>
    </row>
    <row r="1624">
      <c r="A1624" s="2" t="str">
        <f>HYPERLINK("https://vtmf.veevavault.com/ui/#doc_info/31792207/1/0", "42847922MDD3003---Team Meetings-29 May 2026 (v1.0)")</f>
        <v>42847922MDD3003---Team Meetings-29 May 2026 (v1.0)</v>
      </c>
      <c r="B1624" s="3" t="inlineStr">
        <is>
          <t>Trial Management</t>
        </is>
      </c>
      <c r="C1624" s="3" t="inlineStr">
        <is>
          <t>Meetings</t>
        </is>
      </c>
      <c r="D1624" s="3" t="inlineStr">
        <is>
          <t>Team Meetings</t>
        </is>
      </c>
      <c r="E1624" s="3" t="inlineStr">
        <is>
          <t>Site review discussion - sites for discussion - meeting minutes</t>
        </is>
      </c>
      <c r="F1624" s="2" t="str">
        <f>HYPERLINK("https://vtmf.veevavault.com/ui/#doc_info/31792207/1/0", "VTMF-25662530")</f>
        <v>VTMF-25662530</v>
      </c>
      <c r="G1624" s="3" t="inlineStr">
        <is>
          <t/>
        </is>
      </c>
      <c r="H1624" s="3" t="inlineStr">
        <is>
          <t>System</t>
        </is>
      </c>
      <c r="I1624" s="3" t="inlineStr">
        <is>
          <t>Debhora Garcia</t>
        </is>
      </c>
      <c r="J1624" s="4" t="n">
        <v>46175.01336805556</v>
      </c>
      <c r="K1624" s="5" t="n">
        <v>46174.0</v>
      </c>
      <c r="L1624" s="5" t="n">
        <v>46171.0</v>
      </c>
      <c r="M1624" s="3" t="inlineStr">
        <is>
          <t>Approved</t>
        </is>
      </c>
      <c r="N1624" s="3" t="inlineStr">
        <is>
          <t>Study Close</t>
        </is>
      </c>
      <c r="O1624" s="3" t="inlineStr">
        <is>
          <t>42847922MDD3003</t>
        </is>
      </c>
    </row>
    <row r="1625">
      <c r="A1625" s="2" t="str">
        <f>HYPERLINK("https://vtmf.veevavault.com/ui/#doc_info/31807023/1/0", "42847922MDD3003---Team Meetings-29 May 2026 (v1.0)")</f>
        <v>42847922MDD3003---Team Meetings-29 May 2026 (v1.0)</v>
      </c>
      <c r="B1625" s="3" t="inlineStr">
        <is>
          <t>Trial Management</t>
        </is>
      </c>
      <c r="C1625" s="3" t="inlineStr">
        <is>
          <t>Meetings</t>
        </is>
      </c>
      <c r="D1625" s="3" t="inlineStr">
        <is>
          <t>Team Meetings</t>
        </is>
      </c>
      <c r="E1625" s="3" t="inlineStr">
        <is>
          <t>PDIE Meeting Minutes</t>
        </is>
      </c>
      <c r="F1625" s="2" t="str">
        <f>HYPERLINK("https://vtmf.veevavault.com/ui/#doc_info/31807023/1/0", "VTMF-25675231")</f>
        <v>VTMF-25675231</v>
      </c>
      <c r="G1625" s="3" t="inlineStr">
        <is>
          <t/>
        </is>
      </c>
      <c r="H1625" s="3" t="inlineStr">
        <is>
          <t>System</t>
        </is>
      </c>
      <c r="I1625" s="3" t="inlineStr">
        <is>
          <t>Kristina Ruzinska</t>
        </is>
      </c>
      <c r="J1625" s="4" t="n">
        <v>46176.64907407408</v>
      </c>
      <c r="K1625" s="5" t="n">
        <v>46176.0</v>
      </c>
      <c r="L1625" s="5" t="n">
        <v>46171.0</v>
      </c>
      <c r="M1625" s="3" t="inlineStr">
        <is>
          <t>Approved</t>
        </is>
      </c>
      <c r="N1625" s="3" t="inlineStr">
        <is>
          <t>Study Close</t>
        </is>
      </c>
      <c r="O1625" s="3" t="inlineStr">
        <is>
          <t>42847922MDD3003</t>
        </is>
      </c>
    </row>
    <row r="1626">
      <c r="A1626" s="2" t="str">
        <f>HYPERLINK("https://vtmf.veevavault.com/ui/#doc_info/27387868/1/0", "42847922MDD3003---Team Meetings-29 Oct 2024 (v1.0)")</f>
        <v>42847922MDD3003---Team Meetings-29 Oct 2024 (v1.0)</v>
      </c>
      <c r="B1626" s="3" t="inlineStr">
        <is>
          <t>Trial Management</t>
        </is>
      </c>
      <c r="C1626" s="3" t="inlineStr">
        <is>
          <t>Meetings</t>
        </is>
      </c>
      <c r="D1626" s="3" t="inlineStr">
        <is>
          <t>Team Meetings</t>
        </is>
      </c>
      <c r="E1626" s="3" t="inlineStr">
        <is>
          <t>SMT Meeting minutes</t>
        </is>
      </c>
      <c r="F1626" s="2" t="str">
        <f>HYPERLINK("https://vtmf.veevavault.com/ui/#doc_info/27387868/1/0", "VTMF-21966632")</f>
        <v>VTMF-21966632</v>
      </c>
      <c r="G1626" s="3" t="inlineStr">
        <is>
          <t/>
        </is>
      </c>
      <c r="H1626" s="3" t="inlineStr">
        <is>
          <t>Anthony Suarez (veeva.com)</t>
        </is>
      </c>
      <c r="I1626" s="3" t="inlineStr">
        <is>
          <t>Gina Stefanelli</t>
        </is>
      </c>
      <c r="J1626" s="4" t="n">
        <v>45597.66392361111</v>
      </c>
      <c r="K1626" s="5" t="n">
        <v>45597.0</v>
      </c>
      <c r="L1626" s="5" t="n">
        <v>45594.0</v>
      </c>
      <c r="M1626" s="3" t="inlineStr">
        <is>
          <t>Approved</t>
        </is>
      </c>
      <c r="N1626" s="3" t="inlineStr">
        <is>
          <t>Study Close</t>
        </is>
      </c>
      <c r="O1626" s="3" t="inlineStr">
        <is>
          <t>42847922MDD3003</t>
        </is>
      </c>
    </row>
    <row r="1627">
      <c r="A1627" s="2" t="str">
        <f>HYPERLINK("https://vtmf.veevavault.com/ui/#doc_info/24724977/1/0", "42847922MDD3003---Team Meetings-30 Aug 2023 (v1.0)")</f>
        <v>42847922MDD3003---Team Meetings-30 Aug 2023 (v1.0)</v>
      </c>
      <c r="B1627" s="3" t="inlineStr">
        <is>
          <t>Trial Management</t>
        </is>
      </c>
      <c r="C1627" s="3" t="inlineStr">
        <is>
          <t>Meetings</t>
        </is>
      </c>
      <c r="D1627" s="3" t="inlineStr">
        <is>
          <t>Team Meetings</t>
        </is>
      </c>
      <c r="E1627" s="3" t="inlineStr">
        <is>
          <t>CFTT Meeting Minutes</t>
        </is>
      </c>
      <c r="F1627" s="2" t="str">
        <f>HYPERLINK("https://vtmf.veevavault.com/ui/#doc_info/24724977/1/0", "VTMF-19660561")</f>
        <v>VTMF-19660561</v>
      </c>
      <c r="G1627" s="3" t="inlineStr">
        <is>
          <t/>
        </is>
      </c>
      <c r="H1627" s="3" t="inlineStr">
        <is>
          <t>Gina Stefanelli</t>
        </is>
      </c>
      <c r="I1627" s="3" t="inlineStr">
        <is>
          <t>Debhora Garcia</t>
        </is>
      </c>
      <c r="J1627" s="4" t="n">
        <v>45169.735034722224</v>
      </c>
      <c r="K1627" s="5" t="n">
        <v>45169.0</v>
      </c>
      <c r="L1627" s="5" t="n">
        <v>45168.0</v>
      </c>
      <c r="M1627" s="3" t="inlineStr">
        <is>
          <t>Approved</t>
        </is>
      </c>
      <c r="N1627" s="3" t="inlineStr">
        <is>
          <t>Study Close</t>
        </is>
      </c>
      <c r="O1627" s="3" t="inlineStr">
        <is>
          <t>42847922MDD3003</t>
        </is>
      </c>
    </row>
    <row r="1628">
      <c r="A1628" s="2" t="str">
        <f>HYPERLINK("https://vtmf.veevavault.com/ui/#doc_info/26984241/1/0", "42847922MDD3003---Team Meetings-30 Aug 2024 (v1.0)")</f>
        <v>42847922MDD3003---Team Meetings-30 Aug 2024 (v1.0)</v>
      </c>
      <c r="B1628" s="3" t="inlineStr">
        <is>
          <t>Trial Management</t>
        </is>
      </c>
      <c r="C1628" s="3" t="inlineStr">
        <is>
          <t>Meetings</t>
        </is>
      </c>
      <c r="D1628" s="3" t="inlineStr">
        <is>
          <t>Team Meetings</t>
        </is>
      </c>
      <c r="E1628" s="3" t="inlineStr">
        <is>
          <t>Ventura_OARS_Moonlight_IPE connect_30Aug2024.pptx</t>
        </is>
      </c>
      <c r="F1628" s="2" t="str">
        <f>HYPERLINK("https://vtmf.veevavault.com/ui/#doc_info/26984241/1/0", "VTMF-21633245")</f>
        <v>VTMF-21633245</v>
      </c>
      <c r="G1628" s="3" t="inlineStr">
        <is>
          <t/>
        </is>
      </c>
      <c r="H1628" s="3" t="inlineStr">
        <is>
          <t>Anthony Suarez (veeva.com)</t>
        </is>
      </c>
      <c r="I1628" s="3" t="inlineStr">
        <is>
          <t>Astrid Lenaerts</t>
        </is>
      </c>
      <c r="J1628" s="4" t="n">
        <v>45534.63569444444</v>
      </c>
      <c r="K1628" s="5" t="n">
        <v>45534.0</v>
      </c>
      <c r="L1628" s="5" t="n">
        <v>45534.0</v>
      </c>
      <c r="M1628" s="3" t="inlineStr">
        <is>
          <t>Approved</t>
        </is>
      </c>
      <c r="N1628" s="3" t="inlineStr">
        <is>
          <t>Study Close</t>
        </is>
      </c>
      <c r="O1628" s="3" t="inlineStr">
        <is>
          <t>42847922MDD3003, 67953964MDD3005, 67953964MDD3007, 89495120MDD2001</t>
        </is>
      </c>
    </row>
    <row r="1629">
      <c r="A1629" s="2" t="str">
        <f>HYPERLINK("https://vtmf.veevavault.com/ui/#doc_info/27049713/1/0", "42847922MDD3003---Team Meetings-30 Aug 2024 (v1.0)")</f>
        <v>42847922MDD3003---Team Meetings-30 Aug 2024 (v1.0)</v>
      </c>
      <c r="B1629" s="3" t="inlineStr">
        <is>
          <t>Trial Management</t>
        </is>
      </c>
      <c r="C1629" s="3" t="inlineStr">
        <is>
          <t>Meetings</t>
        </is>
      </c>
      <c r="D1629" s="3" t="inlineStr">
        <is>
          <t>Team Meetings</t>
        </is>
      </c>
      <c r="E1629" s="3" t="inlineStr">
        <is>
          <t>PDIE Meeting Minutes</t>
        </is>
      </c>
      <c r="F1629" s="2" t="str">
        <f>HYPERLINK("https://vtmf.veevavault.com/ui/#doc_info/27049713/1/0", "VTMF-21682220")</f>
        <v>VTMF-21682220</v>
      </c>
      <c r="G1629" s="3" t="inlineStr">
        <is>
          <t/>
        </is>
      </c>
      <c r="H1629" s="3" t="inlineStr">
        <is>
          <t>Anthony Suarez (veeva.com)</t>
        </is>
      </c>
      <c r="I1629" s="3" t="inlineStr">
        <is>
          <t>Gina Stefanelli</t>
        </is>
      </c>
      <c r="J1629" s="4" t="n">
        <v>45545.680393518516</v>
      </c>
      <c r="K1629" s="5" t="n">
        <v>45545.0</v>
      </c>
      <c r="L1629" s="5" t="n">
        <v>45534.0</v>
      </c>
      <c r="M1629" s="3" t="inlineStr">
        <is>
          <t>Approved</t>
        </is>
      </c>
      <c r="N1629" s="3" t="inlineStr">
        <is>
          <t>Study Close</t>
        </is>
      </c>
      <c r="O1629" s="3" t="inlineStr">
        <is>
          <t>42847922MDD3003</t>
        </is>
      </c>
    </row>
    <row r="1630">
      <c r="A1630" s="2" t="str">
        <f>HYPERLINK("https://vtmf.veevavault.com/ui/#doc_info/27091301/1/0", "42847922MDD3003---Team Meetings-30 Aug 2024 (v1.0)")</f>
        <v>42847922MDD3003---Team Meetings-30 Aug 2024 (v1.0)</v>
      </c>
      <c r="B1630" s="3" t="inlineStr">
        <is>
          <t>Trial Management</t>
        </is>
      </c>
      <c r="C1630" s="3" t="inlineStr">
        <is>
          <t>Meetings</t>
        </is>
      </c>
      <c r="D1630" s="3" t="inlineStr">
        <is>
          <t>Team Meetings</t>
        </is>
      </c>
      <c r="E1630" s="3" t="inlineStr">
        <is>
          <t>PDIE Meeting Minutes</t>
        </is>
      </c>
      <c r="F1630" s="2" t="str">
        <f>HYPERLINK("https://vtmf.veevavault.com/ui/#doc_info/27091301/1/0", "VTMF-21717507")</f>
        <v>VTMF-21717507</v>
      </c>
      <c r="G1630" s="3" t="inlineStr">
        <is>
          <t/>
        </is>
      </c>
      <c r="H1630" s="3" t="inlineStr">
        <is>
          <t>Anthony Suarez (veeva.com)</t>
        </is>
      </c>
      <c r="I1630" s="3" t="inlineStr">
        <is>
          <t>Kristina Ruzinska</t>
        </is>
      </c>
      <c r="J1630" s="4" t="n">
        <v>45552.68074074074</v>
      </c>
      <c r="K1630" s="5" t="n">
        <v>45552.0</v>
      </c>
      <c r="L1630" s="5" t="n">
        <v>45534.0</v>
      </c>
      <c r="M1630" s="3" t="inlineStr">
        <is>
          <t>Approved</t>
        </is>
      </c>
      <c r="N1630" s="3" t="inlineStr">
        <is>
          <t>Study Close</t>
        </is>
      </c>
      <c r="O1630" s="3" t="inlineStr">
        <is>
          <t>42847922MDD3003</t>
        </is>
      </c>
    </row>
    <row r="1631">
      <c r="A1631" s="2" t="str">
        <f>HYPERLINK("https://vtmf.veevavault.com/ui/#doc_info/30901079/2/0", "42847922MDD3003---Team Meetings-30 Jan 2026 (v2.0)")</f>
        <v>42847922MDD3003---Team Meetings-30 Jan 2026 (v2.0)</v>
      </c>
      <c r="B1631" s="3" t="inlineStr">
        <is>
          <t>Trial Management</t>
        </is>
      </c>
      <c r="C1631" s="3" t="inlineStr">
        <is>
          <t>Meetings</t>
        </is>
      </c>
      <c r="D1631" s="3" t="inlineStr">
        <is>
          <t>Team Meetings</t>
        </is>
      </c>
      <c r="E1631" s="3" t="inlineStr">
        <is>
          <t>PDIE Meeting minutes</t>
        </is>
      </c>
      <c r="F1631" s="2" t="str">
        <f>HYPERLINK("https://vtmf.veevavault.com/ui/#doc_info/30901079/2/0", "VTMF-24905655")</f>
        <v>VTMF-24905655</v>
      </c>
      <c r="G1631" s="3" t="inlineStr">
        <is>
          <t/>
        </is>
      </c>
      <c r="H1631" s="3" t="inlineStr">
        <is>
          <t>System</t>
        </is>
      </c>
      <c r="I1631" s="3" t="inlineStr">
        <is>
          <t>Gina Stefanelli</t>
        </is>
      </c>
      <c r="J1631" s="4" t="n">
        <v>46057.62577546296</v>
      </c>
      <c r="K1631" s="5" t="n">
        <v>46057.0</v>
      </c>
      <c r="L1631" s="5" t="n">
        <v>46052.0</v>
      </c>
      <c r="M1631" s="3" t="inlineStr">
        <is>
          <t>Approved</t>
        </is>
      </c>
      <c r="N1631" s="3" t="inlineStr">
        <is>
          <t>Study Close</t>
        </is>
      </c>
      <c r="O1631" s="3" t="inlineStr">
        <is>
          <t>42847922MDD3003</t>
        </is>
      </c>
    </row>
    <row r="1632">
      <c r="A1632" s="2" t="str">
        <f>HYPERLINK("https://vtmf.veevavault.com/ui/#doc_info/26806247/1/0", "42847922MDD3003---Team Meetings-30 Jul 2024 (v1.0)")</f>
        <v>42847922MDD3003---Team Meetings-30 Jul 2024 (v1.0)</v>
      </c>
      <c r="B1632" s="3" t="inlineStr">
        <is>
          <t>Trial Management</t>
        </is>
      </c>
      <c r="C1632" s="3" t="inlineStr">
        <is>
          <t>Meetings</t>
        </is>
      </c>
      <c r="D1632" s="3" t="inlineStr">
        <is>
          <t>Team Meetings</t>
        </is>
      </c>
      <c r="E1632" s="3" t="inlineStr">
        <is>
          <t>SMT Meeting minutes</t>
        </is>
      </c>
      <c r="F1632" s="2" t="str">
        <f>HYPERLINK("https://vtmf.veevavault.com/ui/#doc_info/26806247/1/0", "VTMF-21483657")</f>
        <v>VTMF-21483657</v>
      </c>
      <c r="G1632" s="3" t="inlineStr">
        <is>
          <t/>
        </is>
      </c>
      <c r="H1632" s="3" t="inlineStr">
        <is>
          <t>Anthony Suarez (veeva.com)</t>
        </is>
      </c>
      <c r="I1632" s="3" t="inlineStr">
        <is>
          <t>Gina Stefanelli</t>
        </is>
      </c>
      <c r="J1632" s="4" t="n">
        <v>45504.84140046296</v>
      </c>
      <c r="K1632" s="5" t="n">
        <v>45504.0</v>
      </c>
      <c r="L1632" s="5" t="n">
        <v>45503.0</v>
      </c>
      <c r="M1632" s="3" t="inlineStr">
        <is>
          <t>Approved</t>
        </is>
      </c>
      <c r="N1632" s="3" t="inlineStr">
        <is>
          <t>Study Close</t>
        </is>
      </c>
      <c r="O1632" s="3" t="inlineStr">
        <is>
          <t>42847922MDD3003</t>
        </is>
      </c>
    </row>
    <row r="1633">
      <c r="A1633" s="2" t="str">
        <f>HYPERLINK("https://vtmf.veevavault.com/ui/#doc_info/29664809/1/0", "42847922MDD3003---Team Meetings-30 Jul 2025 (v1.0)")</f>
        <v>42847922MDD3003---Team Meetings-30 Jul 2025 (v1.0)</v>
      </c>
      <c r="B1633" s="3" t="inlineStr">
        <is>
          <t>Trial Management</t>
        </is>
      </c>
      <c r="C1633" s="3" t="inlineStr">
        <is>
          <t>Meetings</t>
        </is>
      </c>
      <c r="D1633" s="3" t="inlineStr">
        <is>
          <t>Team Meetings</t>
        </is>
      </c>
      <c r="E1633" s="3" t="inlineStr">
        <is>
          <t>CFTT meeting minutes</t>
        </is>
      </c>
      <c r="F1633" s="2" t="str">
        <f>HYPERLINK("https://vtmf.veevavault.com/ui/#doc_info/29664809/1/0", "VTMF-23866908")</f>
        <v>VTMF-23866908</v>
      </c>
      <c r="G1633" s="3" t="inlineStr">
        <is>
          <t/>
        </is>
      </c>
      <c r="H1633" s="3" t="inlineStr">
        <is>
          <t>System</t>
        </is>
      </c>
      <c r="I1633" s="3" t="inlineStr">
        <is>
          <t>Debhora Garcia</t>
        </is>
      </c>
      <c r="J1633" s="4" t="n">
        <v>45869.06417824074</v>
      </c>
      <c r="K1633" s="5" t="n">
        <v>45868.0</v>
      </c>
      <c r="L1633" s="5" t="n">
        <v>45868.0</v>
      </c>
      <c r="M1633" s="3" t="inlineStr">
        <is>
          <t>Approved</t>
        </is>
      </c>
      <c r="N1633" s="3" t="inlineStr">
        <is>
          <t>Study Close</t>
        </is>
      </c>
      <c r="O1633" s="3" t="inlineStr">
        <is>
          <t>42847922MDD3003</t>
        </is>
      </c>
    </row>
    <row r="1634">
      <c r="A1634" s="2" t="str">
        <f>HYPERLINK("https://vtmf.veevavault.com/ui/#doc_info/30073230/1/0", "42847922MDD3003---Team Meetings-30 Sep 2025 (v1.0)")</f>
        <v>42847922MDD3003---Team Meetings-30 Sep 2025 (v1.0)</v>
      </c>
      <c r="B1634" s="3" t="inlineStr">
        <is>
          <t>Trial Management</t>
        </is>
      </c>
      <c r="C1634" s="3" t="inlineStr">
        <is>
          <t>Meetings</t>
        </is>
      </c>
      <c r="D1634" s="3" t="inlineStr">
        <is>
          <t>Team Meetings</t>
        </is>
      </c>
      <c r="E1634" s="3" t="inlineStr">
        <is>
          <t>CMWG _Meeting minutes</t>
        </is>
      </c>
      <c r="F1634" s="2" t="str">
        <f>HYPERLINK("https://vtmf.veevavault.com/ui/#doc_info/30073230/1/0", "VTMF-24206663")</f>
        <v>VTMF-24206663</v>
      </c>
      <c r="G1634" s="3" t="inlineStr">
        <is>
          <t/>
        </is>
      </c>
      <c r="H1634" s="3" t="inlineStr">
        <is>
          <t>System</t>
        </is>
      </c>
      <c r="I1634" s="3" t="inlineStr">
        <is>
          <t>Elena Toshkova</t>
        </is>
      </c>
      <c r="J1634" s="4" t="n">
        <v>45931.373449074075</v>
      </c>
      <c r="K1634" s="5" t="n">
        <v>45931.0</v>
      </c>
      <c r="L1634" s="5" t="n">
        <v>45930.0</v>
      </c>
      <c r="M1634" s="3" t="inlineStr">
        <is>
          <t>Approved</t>
        </is>
      </c>
      <c r="N1634" s="3" t="inlineStr">
        <is>
          <t>Study Close</t>
        </is>
      </c>
      <c r="O1634" s="3" t="inlineStr">
        <is>
          <t>42847922MDD3003</t>
        </is>
      </c>
    </row>
    <row r="1635">
      <c r="A1635" s="2" t="str">
        <f>HYPERLINK("https://vtmf.veevavault.com/ui/#doc_info/25629741/1/0", "42847922MDD3003---Team Meetings-31 Jan 2024 (v1.0)")</f>
        <v>42847922MDD3003---Team Meetings-31 Jan 2024 (v1.0)</v>
      </c>
      <c r="B1635" s="3" t="inlineStr">
        <is>
          <t>Trial Management</t>
        </is>
      </c>
      <c r="C1635" s="3" t="inlineStr">
        <is>
          <t>Meetings</t>
        </is>
      </c>
      <c r="D1635" s="3" t="inlineStr">
        <is>
          <t>Team Meetings</t>
        </is>
      </c>
      <c r="E1635" s="3" t="inlineStr">
        <is>
          <t>CFTT Meeting Minutes</t>
        </is>
      </c>
      <c r="F1635" s="2" t="str">
        <f>HYPERLINK("https://vtmf.veevavault.com/ui/#doc_info/25629741/1/0", "VTMF-20452580")</f>
        <v>VTMF-20452580</v>
      </c>
      <c r="G1635" s="3" t="inlineStr">
        <is>
          <t/>
        </is>
      </c>
      <c r="H1635" s="3" t="inlineStr">
        <is>
          <t>Gina Stefanelli</t>
        </is>
      </c>
      <c r="I1635" s="3" t="inlineStr">
        <is>
          <t>Debhora Garcia</t>
        </is>
      </c>
      <c r="J1635" s="4" t="n">
        <v>45324.00724537037</v>
      </c>
      <c r="K1635" s="5" t="n">
        <v>45323.0</v>
      </c>
      <c r="L1635" s="5" t="n">
        <v>45322.0</v>
      </c>
      <c r="M1635" s="3" t="inlineStr">
        <is>
          <t>Approved</t>
        </is>
      </c>
      <c r="N1635" s="3" t="inlineStr">
        <is>
          <t>Study Close</t>
        </is>
      </c>
      <c r="O1635" s="3" t="inlineStr">
        <is>
          <t>42847922MDD3003</t>
        </is>
      </c>
    </row>
    <row r="1636">
      <c r="A1636" s="2" t="str">
        <f>HYPERLINK("https://vtmf.veevavault.com/ui/#doc_info/28244449/1/0", "42847922MDD3003---Team Meetings-31 Jan 2025 (v1.0)")</f>
        <v>42847922MDD3003---Team Meetings-31 Jan 2025 (v1.0)</v>
      </c>
      <c r="B1636" s="3" t="inlineStr">
        <is>
          <t>Trial Management</t>
        </is>
      </c>
      <c r="C1636" s="3" t="inlineStr">
        <is>
          <t>Meetings</t>
        </is>
      </c>
      <c r="D1636" s="3" t="inlineStr">
        <is>
          <t>Team Meetings</t>
        </is>
      </c>
      <c r="E1636" s="3" t="inlineStr">
        <is>
          <t>PDIE Meeting Minutes</t>
        </is>
      </c>
      <c r="F1636" s="2" t="str">
        <f>HYPERLINK("https://vtmf.veevavault.com/ui/#doc_info/28244449/1/0", "VTMF-22654555")</f>
        <v>VTMF-22654555</v>
      </c>
      <c r="G1636" s="3" t="inlineStr">
        <is>
          <t/>
        </is>
      </c>
      <c r="H1636" s="3" t="inlineStr">
        <is>
          <t>Gina Stefanelli</t>
        </is>
      </c>
      <c r="I1636" s="3" t="inlineStr">
        <is>
          <t>Gina Stefanelli</t>
        </is>
      </c>
      <c r="J1636" s="4" t="n">
        <v>45694.704189814816</v>
      </c>
      <c r="K1636" s="5" t="n">
        <v>45694.0</v>
      </c>
      <c r="L1636" s="5" t="n">
        <v>45688.0</v>
      </c>
      <c r="M1636" s="3" t="inlineStr">
        <is>
          <t>Approved</t>
        </is>
      </c>
      <c r="N1636" s="3" t="inlineStr">
        <is>
          <t>Study Close</t>
        </is>
      </c>
      <c r="O1636" s="3" t="inlineStr">
        <is>
          <t>42847922MDD3003</t>
        </is>
      </c>
    </row>
    <row r="1637">
      <c r="A1637" s="2" t="str">
        <f>HYPERLINK("https://vtmf.veevavault.com/ui/#doc_info/26816497/1/0", "42847922MDD3003---Team Meetings-31 Jul 2024 (v1.0)")</f>
        <v>42847922MDD3003---Team Meetings-31 Jul 2024 (v1.0)</v>
      </c>
      <c r="B1637" s="3" t="inlineStr">
        <is>
          <t>Trial Management</t>
        </is>
      </c>
      <c r="C1637" s="3" t="inlineStr">
        <is>
          <t>Meetings</t>
        </is>
      </c>
      <c r="D1637" s="3" t="inlineStr">
        <is>
          <t>Team Meetings</t>
        </is>
      </c>
      <c r="E1637" s="3" t="inlineStr">
        <is>
          <t>CFTT Meeting Minutes</t>
        </is>
      </c>
      <c r="F1637" s="2" t="str">
        <f>HYPERLINK("https://vtmf.veevavault.com/ui/#doc_info/26816497/1/0", "VTMF-21492113")</f>
        <v>VTMF-21492113</v>
      </c>
      <c r="G1637" s="3" t="inlineStr">
        <is>
          <t/>
        </is>
      </c>
      <c r="H1637" s="3" t="inlineStr">
        <is>
          <t>Gina Stefanelli</t>
        </is>
      </c>
      <c r="I1637" s="3" t="inlineStr">
        <is>
          <t>Debhora Garcia</t>
        </is>
      </c>
      <c r="J1637" s="4" t="n">
        <v>45505.96505787037</v>
      </c>
      <c r="K1637" s="5" t="n">
        <v>45506.0</v>
      </c>
      <c r="L1637" s="5" t="n">
        <v>45504.0</v>
      </c>
      <c r="M1637" s="3" t="inlineStr">
        <is>
          <t>Approved</t>
        </is>
      </c>
      <c r="N1637" s="3" t="inlineStr">
        <is>
          <t>Study Close</t>
        </is>
      </c>
      <c r="O1637" s="3" t="inlineStr">
        <is>
          <t>42847922MDD3003</t>
        </is>
      </c>
    </row>
    <row r="1638">
      <c r="A1638" s="2" t="str">
        <f>HYPERLINK("https://vtmf.veevavault.com/ui/#doc_info/29672336/1/0", "42847922MDD3003---Team Meetings-31 Jul 2025 (v1.0)")</f>
        <v>42847922MDD3003---Team Meetings-31 Jul 2025 (v1.0)</v>
      </c>
      <c r="B1638" s="3" t="inlineStr">
        <is>
          <t>Trial Management</t>
        </is>
      </c>
      <c r="C1638" s="3" t="inlineStr">
        <is>
          <t>Meetings</t>
        </is>
      </c>
      <c r="D1638" s="3" t="inlineStr">
        <is>
          <t>Team Meetings</t>
        </is>
      </c>
      <c r="E1638" s="3" t="inlineStr">
        <is>
          <t>OARS_Moonlight_PSE connect_31Jul2025.pptx</t>
        </is>
      </c>
      <c r="F1638" s="2" t="str">
        <f>HYPERLINK("https://vtmf.veevavault.com/ui/#doc_info/29672336/1/0", "VTMF-23872297")</f>
        <v>VTMF-23872297</v>
      </c>
      <c r="G1638" s="3" t="inlineStr">
        <is>
          <t/>
        </is>
      </c>
      <c r="H1638" s="3" t="inlineStr">
        <is>
          <t>System</t>
        </is>
      </c>
      <c r="I1638" s="3" t="inlineStr">
        <is>
          <t>Astrid Lenaerts</t>
        </is>
      </c>
      <c r="J1638" s="4" t="n">
        <v>45869.67089120371</v>
      </c>
      <c r="K1638" s="5" t="n">
        <v>45869.0</v>
      </c>
      <c r="L1638" s="5" t="n">
        <v>45869.0</v>
      </c>
      <c r="M1638" s="3" t="inlineStr">
        <is>
          <t>Approved</t>
        </is>
      </c>
      <c r="N1638" s="3" t="inlineStr">
        <is>
          <t>Study Close</t>
        </is>
      </c>
      <c r="O1638" s="3" t="inlineStr">
        <is>
          <t>42847922MDD3003, 42847922MDD3011, 89495120MDD2001</t>
        </is>
      </c>
    </row>
    <row r="1639">
      <c r="A1639" s="2" t="str">
        <f>HYPERLINK("https://vtmf.veevavault.com/ui/#doc_info/26432063/1/0", "42847922MDD3003---Team Meetings-31 May 2024 (v1.0)")</f>
        <v>42847922MDD3003---Team Meetings-31 May 2024 (v1.0)</v>
      </c>
      <c r="B1639" s="3" t="inlineStr">
        <is>
          <t>Trial Management</t>
        </is>
      </c>
      <c r="C1639" s="3" t="inlineStr">
        <is>
          <t>Meetings</t>
        </is>
      </c>
      <c r="D1639" s="3" t="inlineStr">
        <is>
          <t>Team Meetings</t>
        </is>
      </c>
      <c r="E1639" s="3" t="inlineStr">
        <is>
          <t>Ventura_OARS_Moonlight_IPE connect_31May2024.pptx</t>
        </is>
      </c>
      <c r="F1639" s="2" t="str">
        <f>HYPERLINK("https://vtmf.veevavault.com/ui/#doc_info/26432063/1/0", "VTMF-21157098")</f>
        <v>VTMF-21157098</v>
      </c>
      <c r="G1639" s="3" t="inlineStr">
        <is>
          <t/>
        </is>
      </c>
      <c r="H1639" s="3" t="inlineStr">
        <is>
          <t>Anthony Suarez (veeva.com)</t>
        </is>
      </c>
      <c r="I1639" s="3" t="inlineStr">
        <is>
          <t>Astrid Lenaerts</t>
        </is>
      </c>
      <c r="J1639" s="4" t="n">
        <v>45443.64129629629</v>
      </c>
      <c r="K1639" s="5" t="n">
        <v>45443.0</v>
      </c>
      <c r="L1639" s="5" t="n">
        <v>45443.0</v>
      </c>
      <c r="M1639" s="3" t="inlineStr">
        <is>
          <t>Approved</t>
        </is>
      </c>
      <c r="N1639" s="3" t="inlineStr">
        <is>
          <t>Study Close</t>
        </is>
      </c>
      <c r="O1639" s="3" t="inlineStr">
        <is>
          <t>42847922MDD3003, 67953964MDD3005, 67953964MDD3007, 89495120MDD2001</t>
        </is>
      </c>
    </row>
    <row r="1640">
      <c r="A1640" s="2" t="str">
        <f>HYPERLINK("https://vtmf.veevavault.com/ui/#doc_info/28778957/1/0", "42847922MDD3003---Team Meetings-31 Oct 2024 (v1.0)")</f>
        <v>42847922MDD3003---Team Meetings-31 Oct 2024 (v1.0)</v>
      </c>
      <c r="B1640" s="3" t="inlineStr">
        <is>
          <t>Trial Management</t>
        </is>
      </c>
      <c r="C1640" s="3" t="inlineStr">
        <is>
          <t>Meetings</t>
        </is>
      </c>
      <c r="D1640" s="3" t="inlineStr">
        <is>
          <t>Team Meetings</t>
        </is>
      </c>
      <c r="E1640" s="3" t="inlineStr">
        <is>
          <t>Ventura 5/7 &amp; OARS-7 - Mood Disorders Joint IM_Recruitment and Retention Workshop_Lessons Learned</t>
        </is>
      </c>
      <c r="F1640" s="2" t="str">
        <f>HYPERLINK("https://vtmf.veevavault.com/ui/#doc_info/28778957/1/0", "VTMF-23122032")</f>
        <v>VTMF-23122032</v>
      </c>
      <c r="G1640" s="3" t="inlineStr">
        <is>
          <t/>
        </is>
      </c>
      <c r="H1640" s="3" t="inlineStr">
        <is>
          <t>Anthony Suarez (veeva.com)</t>
        </is>
      </c>
      <c r="I1640" s="3" t="inlineStr">
        <is>
          <t>Katelyn Long</t>
        </is>
      </c>
      <c r="J1640" s="4" t="n">
        <v>45747.83425925926</v>
      </c>
      <c r="K1640" s="5" t="n">
        <v>45747.0</v>
      </c>
      <c r="L1640" s="5" t="n">
        <v>45596.0</v>
      </c>
      <c r="M1640" s="3" t="inlineStr">
        <is>
          <t>Approved</t>
        </is>
      </c>
      <c r="N1640" s="3" t="inlineStr">
        <is>
          <t>Study Close</t>
        </is>
      </c>
      <c r="O1640" s="3" t="inlineStr">
        <is>
          <t>42847922MDD3003, 67953964MDD3005, 67953964MDD3007</t>
        </is>
      </c>
    </row>
    <row r="1641">
      <c r="A1641" s="2" t="str">
        <f>HYPERLINK("https://vtmf.veevavault.com/ui/#doc_info/30331089/2/0", "42847922MDD3003---Team Meetings-31 Oct 2025 (v2.0)")</f>
        <v>42847922MDD3003---Team Meetings-31 Oct 2025 (v2.0)</v>
      </c>
      <c r="B1641" s="3" t="inlineStr">
        <is>
          <t>Trial Management</t>
        </is>
      </c>
      <c r="C1641" s="3" t="inlineStr">
        <is>
          <t>Meetings</t>
        </is>
      </c>
      <c r="D1641" s="3" t="inlineStr">
        <is>
          <t>Team Meetings</t>
        </is>
      </c>
      <c r="E1641" s="3" t="inlineStr">
        <is>
          <t>PDIE Meeting minutes</t>
        </is>
      </c>
      <c r="F1641" s="2" t="str">
        <f>HYPERLINK("https://vtmf.veevavault.com/ui/#doc_info/30331089/2/0", "VTMF-24426737")</f>
        <v>VTMF-24426737</v>
      </c>
      <c r="G1641" s="3" t="inlineStr">
        <is>
          <t/>
        </is>
      </c>
      <c r="H1641" s="3" t="inlineStr">
        <is>
          <t>Debhora Garcia</t>
        </is>
      </c>
      <c r="I1641" s="3" t="inlineStr">
        <is>
          <t>Gina Stefanelli</t>
        </is>
      </c>
      <c r="J1641" s="4" t="n">
        <v>45968.73903935185</v>
      </c>
      <c r="K1641" s="5" t="n">
        <v>45968.0</v>
      </c>
      <c r="L1641" s="5" t="n">
        <v>45961.0</v>
      </c>
      <c r="M1641" s="3" t="inlineStr">
        <is>
          <t>Approved</t>
        </is>
      </c>
      <c r="N1641" s="3" t="inlineStr">
        <is>
          <t>Study Close</t>
        </is>
      </c>
      <c r="O1641" s="3" t="inlineStr">
        <is>
          <t>42847922MDD3003</t>
        </is>
      </c>
    </row>
    <row r="1642">
      <c r="A1642" s="2" t="str">
        <f>HYPERLINK("https://vtmf.veevavault.com/ui/#doc_info/30342078/1/0", "42847922MDD3003---Team Meetings-31 Oct 2025 (v1.0)")</f>
        <v>42847922MDD3003---Team Meetings-31 Oct 2025 (v1.0)</v>
      </c>
      <c r="B1642" s="3" t="inlineStr">
        <is>
          <t>Trial Management</t>
        </is>
      </c>
      <c r="C1642" s="3" t="inlineStr">
        <is>
          <t>Meetings</t>
        </is>
      </c>
      <c r="D1642" s="3" t="inlineStr">
        <is>
          <t>Team Meetings</t>
        </is>
      </c>
      <c r="E1642" s="3" t="inlineStr">
        <is>
          <t>Data Quality Dashboard October 2025</t>
        </is>
      </c>
      <c r="F1642" s="2" t="str">
        <f>HYPERLINK("https://vtmf.veevavault.com/ui/#doc_info/30342078/1/0", "VTMF-24436677")</f>
        <v>VTMF-24436677</v>
      </c>
      <c r="G1642" s="3" t="inlineStr">
        <is>
          <t/>
        </is>
      </c>
      <c r="H1642" s="3" t="inlineStr">
        <is>
          <t>Gina Stefanelli</t>
        </is>
      </c>
      <c r="I1642" s="3" t="inlineStr">
        <is>
          <t>Gina Stefanelli</t>
        </is>
      </c>
      <c r="J1642" s="4" t="n">
        <v>45971.574837962966</v>
      </c>
      <c r="K1642" s="5" t="n">
        <v>45971.0</v>
      </c>
      <c r="L1642" s="5" t="n">
        <v>45961.0</v>
      </c>
      <c r="M1642" s="3" t="inlineStr">
        <is>
          <t>Approved</t>
        </is>
      </c>
      <c r="N1642" s="3" t="inlineStr">
        <is>
          <t>Study Close</t>
        </is>
      </c>
      <c r="O1642" s="3" t="inlineStr">
        <is>
          <t>42847922MDD3003</t>
        </is>
      </c>
    </row>
    <row r="1643">
      <c r="A1643" s="2" t="str">
        <f>HYPERLINK("https://vtmf.veevavault.com/ui/#doc_info/31791201/1/0", "42847922MDD3003---Team Meetings-31 Oct 2025 (v1.0)")</f>
        <v>42847922MDD3003---Team Meetings-31 Oct 2025 (v1.0)</v>
      </c>
      <c r="B1643" s="3" t="inlineStr">
        <is>
          <t>Trial Management</t>
        </is>
      </c>
      <c r="C1643" s="3" t="inlineStr">
        <is>
          <t>Meetings</t>
        </is>
      </c>
      <c r="D1643" s="3" t="inlineStr">
        <is>
          <t>Team Meetings</t>
        </is>
      </c>
      <c r="E1643" s="3" t="inlineStr">
        <is>
          <t>Site review discussion - sites for discussion - meeting minutes</t>
        </is>
      </c>
      <c r="F1643" s="2" t="str">
        <f>HYPERLINK("https://vtmf.veevavault.com/ui/#doc_info/31791201/1/0", "VTMF-25661551")</f>
        <v>VTMF-25661551</v>
      </c>
      <c r="G1643" s="3" t="inlineStr">
        <is>
          <t/>
        </is>
      </c>
      <c r="H1643" s="3" t="inlineStr">
        <is>
          <t>System</t>
        </is>
      </c>
      <c r="I1643" s="3" t="inlineStr">
        <is>
          <t>Debhora Garcia</t>
        </is>
      </c>
      <c r="J1643" s="4" t="n">
        <v>46174.84195601852</v>
      </c>
      <c r="K1643" s="5" t="n">
        <v>46174.0</v>
      </c>
      <c r="L1643" s="5" t="n">
        <v>45961.0</v>
      </c>
      <c r="M1643" s="3" t="inlineStr">
        <is>
          <t>Approved</t>
        </is>
      </c>
      <c r="N1643" s="3" t="inlineStr">
        <is>
          <t>Study Close</t>
        </is>
      </c>
      <c r="O1643" s="3" t="inlineStr">
        <is>
          <t>42847922MDD3003</t>
        </is>
      </c>
    </row>
    <row r="1644">
      <c r="A1644" s="2" t="str">
        <f>HYPERLINK("https://vtmf.veevavault.com/ui/#doc_info/26757470/1/0", "42847922MDD3003---Technical Design Document-22 Jul 2024 (v1.0)")</f>
        <v>42847922MDD3003---Technical Design Document-22 Jul 2024 (v1.0)</v>
      </c>
      <c r="B1644" s="3" t="inlineStr">
        <is>
          <t>Data Management</t>
        </is>
      </c>
      <c r="C1644" s="3" t="inlineStr">
        <is>
          <t>EDC Management</t>
        </is>
      </c>
      <c r="D1644" s="3" t="inlineStr">
        <is>
          <t>Technical Design Document</t>
        </is>
      </c>
      <c r="E1644" s="3" t="inlineStr">
        <is>
          <t>20240723-42847922MDD3003_Version_2.09_22JUL2024_MN_v3590</t>
        </is>
      </c>
      <c r="F1644" s="2" t="str">
        <f>HYPERLINK("https://vtmf.veevavault.com/ui/#doc_info/26757470/1/0", "VTMF-21442247")</f>
        <v>VTMF-21442247</v>
      </c>
      <c r="G1644" s="3" t="inlineStr">
        <is>
          <t/>
        </is>
      </c>
      <c r="H1644" s="3" t="inlineStr">
        <is>
          <t>Anthony Suarez (veeva.com)</t>
        </is>
      </c>
      <c r="I1644" s="3" t="inlineStr">
        <is>
          <t>Amrita Trueblood</t>
        </is>
      </c>
      <c r="J1644" s="4" t="n">
        <v>45496.86555555555</v>
      </c>
      <c r="K1644" s="5" t="n">
        <v>45496.0</v>
      </c>
      <c r="L1644" s="5" t="n">
        <v>45495.0</v>
      </c>
      <c r="M1644" s="3" t="inlineStr">
        <is>
          <t>Approved</t>
        </is>
      </c>
      <c r="N1644" s="3" t="inlineStr">
        <is>
          <t>Study Start</t>
        </is>
      </c>
      <c r="O1644" s="3" t="inlineStr">
        <is>
          <t>42847922MDD3003</t>
        </is>
      </c>
    </row>
    <row r="1645">
      <c r="A1645" s="2" t="str">
        <f>HYPERLINK("https://vtmf.veevavault.com/ui/#doc_info/28166888/1/0", "42847922MDD3003---Third Party Curriculum Vitae-22 Jan 2025 (v1.0)")</f>
        <v>42847922MDD3003---Third Party Curriculum Vitae-22 Jan 2025 (v1.0)</v>
      </c>
      <c r="B1645" s="3" t="inlineStr">
        <is>
          <t>Third Parties</t>
        </is>
      </c>
      <c r="C1645" s="3" t="inlineStr">
        <is>
          <t>Third Party Oversight</t>
        </is>
      </c>
      <c r="D1645" s="3" t="inlineStr">
        <is>
          <t>Third Party Curriculum Vitae</t>
        </is>
      </c>
      <c r="E1645" s="3" t="inlineStr">
        <is>
          <t>K, Mamatha Business Development Customer Report CV; 22Jan2025</t>
        </is>
      </c>
      <c r="F1645" s="2" t="str">
        <f>HYPERLINK("https://vtmf.veevavault.com/ui/#doc_info/28166888/1/0", "VTMF-22588156")</f>
        <v>VTMF-22588156</v>
      </c>
      <c r="G1645" s="3" t="inlineStr">
        <is>
          <t/>
        </is>
      </c>
      <c r="H1645" s="3" t="inlineStr">
        <is>
          <t>Anthony Suarez (veeva.com)</t>
        </is>
      </c>
      <c r="I1645" s="3" t="inlineStr">
        <is>
          <t>Debhora Garcia</t>
        </is>
      </c>
      <c r="J1645" s="4" t="n">
        <v>45684.95827546297</v>
      </c>
      <c r="K1645" s="5" t="n">
        <v>45685.0</v>
      </c>
      <c r="L1645" s="5" t="n">
        <v>45679.0</v>
      </c>
      <c r="M1645" s="3" t="inlineStr">
        <is>
          <t>Approved</t>
        </is>
      </c>
      <c r="N1645" s="3" t="inlineStr">
        <is>
          <t/>
        </is>
      </c>
      <c r="O1645" s="3" t="inlineStr">
        <is>
          <t>42847922MDD3003</t>
        </is>
      </c>
    </row>
    <row r="1646">
      <c r="A1646" s="2" t="str">
        <f>HYPERLINK("https://vtmf.veevavault.com/ui/#doc_info/30183328/1/0", "42847922MDD3003---Third Party Curriculum Vitae-28 Aug 2025 (v1.0)")</f>
        <v>42847922MDD3003---Third Party Curriculum Vitae-28 Aug 2025 (v1.0)</v>
      </c>
      <c r="B1646" s="3" t="inlineStr">
        <is>
          <t>Third Parties</t>
        </is>
      </c>
      <c r="C1646" s="3" t="inlineStr">
        <is>
          <t>Third Party Oversight</t>
        </is>
      </c>
      <c r="D1646" s="3" t="inlineStr">
        <is>
          <t>Third Party Curriculum Vitae</t>
        </is>
      </c>
      <c r="E1646" s="3" t="inlineStr">
        <is>
          <t>Dr, Carolina Goldman CV</t>
        </is>
      </c>
      <c r="F1646" s="2" t="str">
        <f>HYPERLINK("https://vtmf.veevavault.com/ui/#doc_info/30183328/1/0", "VTMF-24301538")</f>
        <v>VTMF-24301538</v>
      </c>
      <c r="G1646" s="3" t="inlineStr">
        <is>
          <t/>
        </is>
      </c>
      <c r="H1646" s="3" t="inlineStr">
        <is>
          <t>System</t>
        </is>
      </c>
      <c r="I1646" s="3" t="inlineStr">
        <is>
          <t>Gina Stefanelli</t>
        </is>
      </c>
      <c r="J1646" s="4" t="n">
        <v>45947.844872685186</v>
      </c>
      <c r="K1646" s="5" t="n">
        <v>45947.0</v>
      </c>
      <c r="L1646" s="5" t="n">
        <v>45897.0</v>
      </c>
      <c r="M1646" s="3" t="inlineStr">
        <is>
          <t>Approved</t>
        </is>
      </c>
      <c r="N1646" s="3" t="inlineStr">
        <is>
          <t/>
        </is>
      </c>
      <c r="O1646" s="3" t="inlineStr">
        <is>
          <t>42847922MDD3003</t>
        </is>
      </c>
    </row>
    <row r="1647">
      <c r="A1647" s="2" t="str">
        <f>HYPERLINK("https://vtmf.veevavault.com/ui/#doc_info/26244026/1/0", "42847922MDD3003---Tracking Information-02 Apr 2024 (v1.0)")</f>
        <v>42847922MDD3003---Tracking Information-02 Apr 2024 (v1.0)</v>
      </c>
      <c r="B1647" s="3" t="inlineStr">
        <is>
          <t>Third Parties</t>
        </is>
      </c>
      <c r="C1647" s="3" t="inlineStr">
        <is>
          <t>General</t>
        </is>
      </c>
      <c r="D1647" s="3" t="inlineStr">
        <is>
          <t>Tracking Information</t>
        </is>
      </c>
      <c r="E1647" s="3" t="inlineStr">
        <is>
          <t>42847922MDD3003 LabCorp Client Information List 02Apr2024</t>
        </is>
      </c>
      <c r="F1647" s="2" t="str">
        <f>HYPERLINK("https://vtmf.veevavault.com/ui/#doc_info/26244026/1/0", "VTMF-20992809")</f>
        <v>VTMF-20992809</v>
      </c>
      <c r="G1647" s="3" t="inlineStr">
        <is>
          <t/>
        </is>
      </c>
      <c r="H1647" s="3" t="inlineStr">
        <is>
          <t>System</t>
        </is>
      </c>
      <c r="I1647" s="3" t="inlineStr">
        <is>
          <t>Jamie Hardy</t>
        </is>
      </c>
      <c r="J1647" s="4" t="n">
        <v>45413.80228009259</v>
      </c>
      <c r="K1647" s="5" t="n">
        <v>45413.0</v>
      </c>
      <c r="L1647" s="5" t="n">
        <v>45384.0</v>
      </c>
      <c r="M1647" s="3" t="inlineStr">
        <is>
          <t>Approved</t>
        </is>
      </c>
      <c r="N1647" s="3" t="inlineStr">
        <is>
          <t/>
        </is>
      </c>
      <c r="O1647" s="3" t="inlineStr">
        <is>
          <t>42847922MDD3003</t>
        </is>
      </c>
    </row>
    <row r="1648">
      <c r="A1648" s="2" t="str">
        <f>HYPERLINK("https://vtmf.veevavault.com/ui/#doc_info/26897160/171/0", "42847922MDD3003---Tracking Information-12 Jun 2026 (v171.0)")</f>
        <v>42847922MDD3003---Tracking Information-12 Jun 2026 (v171.0)</v>
      </c>
      <c r="B1648" s="3" t="inlineStr">
        <is>
          <t>Third Parties</t>
        </is>
      </c>
      <c r="C1648" s="3" t="inlineStr">
        <is>
          <t>General</t>
        </is>
      </c>
      <c r="D1648" s="3" t="inlineStr">
        <is>
          <t>Tracking Information</t>
        </is>
      </c>
      <c r="E1648" s="3" t="inlineStr">
        <is>
          <t>CTNI SAFER Rater Interview results_ongoing</t>
        </is>
      </c>
      <c r="F1648" s="2" t="str">
        <f>HYPERLINK("https://vtmf.veevavault.com/ui/#doc_info/26897160/171/0", "VTMF-21560215")</f>
        <v>VTMF-21560215</v>
      </c>
      <c r="G1648" s="3" t="inlineStr">
        <is>
          <t/>
        </is>
      </c>
      <c r="H1648" s="3" t="inlineStr">
        <is>
          <t>System</t>
        </is>
      </c>
      <c r="I1648" s="3" t="inlineStr">
        <is>
          <t>Aurora Barbera</t>
        </is>
      </c>
      <c r="J1648" s="4" t="n">
        <v>46190.399375</v>
      </c>
      <c r="K1648" s="5" t="n">
        <v>46190.0</v>
      </c>
      <c r="L1648" s="5" t="n">
        <v>46185.0</v>
      </c>
      <c r="M1648" s="3" t="inlineStr">
        <is>
          <t>Approved</t>
        </is>
      </c>
      <c r="N1648" s="3" t="inlineStr">
        <is>
          <t/>
        </is>
      </c>
      <c r="O1648" s="3" t="inlineStr">
        <is>
          <t>42847922MDD3003</t>
        </is>
      </c>
    </row>
    <row r="1649">
      <c r="A1649" s="2" t="str">
        <f>HYPERLINK("https://vtmf.veevavault.com/ui/#doc_info/29602690/2/0", "42847922MDD3003---Tracking Information-14 Nov 2025 (v2.0)")</f>
        <v>42847922MDD3003---Tracking Information-14 Nov 2025 (v2.0)</v>
      </c>
      <c r="B1649" s="3" t="inlineStr">
        <is>
          <t>Third Parties</t>
        </is>
      </c>
      <c r="C1649" s="3" t="inlineStr">
        <is>
          <t>General</t>
        </is>
      </c>
      <c r="D1649" s="3" t="inlineStr">
        <is>
          <t>Tracking Information</t>
        </is>
      </c>
      <c r="E1649" s="3" t="inlineStr">
        <is>
          <t>Cronos Data Monitoring Reports</t>
        </is>
      </c>
      <c r="F1649" s="2" t="str">
        <f>HYPERLINK("https://vtmf.veevavault.com/ui/#doc_info/29602690/2/0", "VTMF-23813059")</f>
        <v>VTMF-23813059</v>
      </c>
      <c r="G1649" s="3" t="inlineStr">
        <is>
          <t/>
        </is>
      </c>
      <c r="H1649" s="3" t="inlineStr">
        <is>
          <t>System</t>
        </is>
      </c>
      <c r="I1649" s="3" t="inlineStr">
        <is>
          <t>Gina Stefanelli</t>
        </is>
      </c>
      <c r="J1649" s="4" t="n">
        <v>45992.8927662037</v>
      </c>
      <c r="K1649" s="5" t="n">
        <v>45992.0</v>
      </c>
      <c r="L1649" s="5" t="n">
        <v>45975.0</v>
      </c>
      <c r="M1649" s="3" t="inlineStr">
        <is>
          <t>Approved</t>
        </is>
      </c>
      <c r="N1649" s="3" t="inlineStr">
        <is>
          <t/>
        </is>
      </c>
      <c r="O1649" s="3" t="inlineStr">
        <is>
          <t>42847922MDD3003</t>
        </is>
      </c>
    </row>
    <row r="1650">
      <c r="A1650" s="2" t="str">
        <f>HYPERLINK("https://vtmf.veevavault.com/ui/#doc_info/25863262/6/0", "42847922MDD3003---Tracking Information-15 Jul 2025 (v6.0)")</f>
        <v>42847922MDD3003---Tracking Information-15 Jul 2025 (v6.0)</v>
      </c>
      <c r="B1650" s="3" t="inlineStr">
        <is>
          <t>Central Trial Documents</t>
        </is>
      </c>
      <c r="C1650" s="3" t="inlineStr">
        <is>
          <t>General</t>
        </is>
      </c>
      <c r="D1650" s="3" t="inlineStr">
        <is>
          <t>Tracking Information</t>
        </is>
      </c>
      <c r="E1650" s="3" t="inlineStr">
        <is>
          <t>42847922MDD3003 Master ICF tracking</t>
        </is>
      </c>
      <c r="F1650" s="2" t="str">
        <f>HYPERLINK("https://vtmf.veevavault.com/ui/#doc_info/25863262/6/0", "VTMF-20658655")</f>
        <v>VTMF-20658655</v>
      </c>
      <c r="G1650" s="3" t="inlineStr">
        <is>
          <t/>
        </is>
      </c>
      <c r="H1650" s="3" t="inlineStr">
        <is>
          <t>System</t>
        </is>
      </c>
      <c r="I1650" s="3" t="inlineStr">
        <is>
          <t>Kristina Ruzinska</t>
        </is>
      </c>
      <c r="J1650" s="4" t="n">
        <v>45853.68592592593</v>
      </c>
      <c r="K1650" s="5" t="n">
        <v>45853.0</v>
      </c>
      <c r="L1650" s="5" t="n">
        <v>45853.0</v>
      </c>
      <c r="M1650" s="3" t="inlineStr">
        <is>
          <t>Approved</t>
        </is>
      </c>
      <c r="N1650" s="3" t="inlineStr">
        <is>
          <t>Study Close</t>
        </is>
      </c>
      <c r="O1650" s="3" t="inlineStr">
        <is>
          <t>42847922MDD3003</t>
        </is>
      </c>
    </row>
    <row r="1651">
      <c r="A1651" s="2" t="str">
        <f>HYPERLINK("https://vtmf.veevavault.com/ui/#doc_info/26183351/1/0", "42847922MDD3003---Tracking Information-21 Feb 2024 (v1.0)")</f>
        <v>42847922MDD3003---Tracking Information-21 Feb 2024 (v1.0)</v>
      </c>
      <c r="B1651" s="3" t="inlineStr">
        <is>
          <t>Trial Management</t>
        </is>
      </c>
      <c r="C1651" s="3" t="inlineStr">
        <is>
          <t>General</t>
        </is>
      </c>
      <c r="D1651" s="3" t="inlineStr">
        <is>
          <t>Tracking Information</t>
        </is>
      </c>
      <c r="E1651" s="3" t="inlineStr">
        <is>
          <t>42847922MDD3003 Greenphire Template List_Blank_13Jun23 - 21Feb24</t>
        </is>
      </c>
      <c r="F1651" s="2" t="str">
        <f>HYPERLINK("https://vtmf.veevavault.com/ui/#doc_info/26183351/1/0", "VTMF-20941060")</f>
        <v>VTMF-20941060</v>
      </c>
      <c r="G1651" s="3" t="inlineStr">
        <is>
          <t/>
        </is>
      </c>
      <c r="H1651" s="3" t="inlineStr">
        <is>
          <t>System</t>
        </is>
      </c>
      <c r="I1651" s="3" t="inlineStr">
        <is>
          <t>Debhora Garcia</t>
        </is>
      </c>
      <c r="J1651" s="4" t="n">
        <v>45405.06537037037</v>
      </c>
      <c r="K1651" s="5" t="n">
        <v>45404.0</v>
      </c>
      <c r="L1651" s="5" t="n">
        <v>45343.0</v>
      </c>
      <c r="M1651" s="3" t="inlineStr">
        <is>
          <t>Approved</t>
        </is>
      </c>
      <c r="N1651" s="3" t="inlineStr">
        <is>
          <t>Study Close</t>
        </is>
      </c>
      <c r="O1651" s="3" t="inlineStr">
        <is>
          <t>42847922MDD3003</t>
        </is>
      </c>
    </row>
    <row r="1652">
      <c r="A1652" s="2" t="str">
        <f>HYPERLINK("https://vtmf.veevavault.com/ui/#doc_info/26228939/3/0", "42847922MDD3003---Trial Master File Plan-09 Dec 2025 (v3.0)")</f>
        <v>42847922MDD3003---Trial Master File Plan-09 Dec 2025 (v3.0)</v>
      </c>
      <c r="B1652" s="3" t="inlineStr">
        <is>
          <t>Trial Management</t>
        </is>
      </c>
      <c r="C1652" s="3" t="inlineStr">
        <is>
          <t>Trial Oversight</t>
        </is>
      </c>
      <c r="D1652" s="3" t="inlineStr">
        <is>
          <t>Trial Master File Plan</t>
        </is>
      </c>
      <c r="E1652" s="3" t="inlineStr">
        <is>
          <t>Electronic Filing and Archiving Plan_V#4.0</t>
        </is>
      </c>
      <c r="F1652" s="2" t="str">
        <f>HYPERLINK("https://vtmf.veevavault.com/ui/#doc_info/26228939/3/0", "VTMF-20979589")</f>
        <v>VTMF-20979589</v>
      </c>
      <c r="G1652" s="3" t="inlineStr">
        <is>
          <t/>
        </is>
      </c>
      <c r="H1652" s="3" t="inlineStr">
        <is>
          <t>System</t>
        </is>
      </c>
      <c r="I1652" s="3" t="inlineStr">
        <is>
          <t>Debhora Garcia</t>
        </is>
      </c>
      <c r="J1652" s="4" t="n">
        <v>46000.90994212963</v>
      </c>
      <c r="K1652" s="5" t="n">
        <v>46048.0</v>
      </c>
      <c r="L1652" s="5" t="n">
        <v>46000.0</v>
      </c>
      <c r="M1652" s="3" t="inlineStr">
        <is>
          <t>Approved</t>
        </is>
      </c>
      <c r="N1652" s="3" t="inlineStr">
        <is>
          <t>Study Start</t>
        </is>
      </c>
      <c r="O1652" s="3" t="inlineStr">
        <is>
          <t>42847922MDD3003</t>
        </is>
      </c>
    </row>
    <row r="1653">
      <c r="A1653" s="2" t="str">
        <f>HYPERLINK("https://vtmf.veevavault.com/ui/#doc_info/29671160/2/0", "42847922MDD3003---Trial Specific Data Transfer Agreement-04 Aug 2025 (v2.0)")</f>
        <v>42847922MDD3003---Trial Specific Data Transfer Agreement-04 Aug 2025 (v2.0)</v>
      </c>
      <c r="B1653" s="3" t="inlineStr">
        <is>
          <t>Data Management</t>
        </is>
      </c>
      <c r="C1653" s="3" t="inlineStr">
        <is>
          <t>Database</t>
        </is>
      </c>
      <c r="D1653" s="3" t="inlineStr">
        <is>
          <t>Trial Specific Data Transfer Agreement</t>
        </is>
      </c>
      <c r="E1653" s="3" t="inlineStr">
        <is>
          <t>JNJ_Clarivate_tsDTA_Op_2.0</t>
        </is>
      </c>
      <c r="F1653" s="2" t="str">
        <f>HYPERLINK("https://vtmf.veevavault.com/ui/#doc_info/29671160/2/0", "VTMF-23871240")</f>
        <v>VTMF-23871240</v>
      </c>
      <c r="G1653" s="3" t="inlineStr">
        <is>
          <t/>
        </is>
      </c>
      <c r="H1653" s="3" t="inlineStr">
        <is>
          <t>Arun Kumar Angu Sukumar</t>
        </is>
      </c>
      <c r="I1653" s="3" t="inlineStr">
        <is>
          <t>Arun Kumar Angu Sukumar</t>
        </is>
      </c>
      <c r="J1653" s="4" t="n">
        <v>45874.44106481481</v>
      </c>
      <c r="K1653" s="5" t="n">
        <v>45874.0</v>
      </c>
      <c r="L1653" s="5" t="n">
        <v>45873.0</v>
      </c>
      <c r="M1653" s="3" t="inlineStr">
        <is>
          <t>Approved</t>
        </is>
      </c>
      <c r="N1653" s="3" t="inlineStr">
        <is>
          <t>Study Start</t>
        </is>
      </c>
      <c r="O1653" s="3" t="inlineStr">
        <is>
          <t>42847922MDD3003</t>
        </is>
      </c>
    </row>
    <row r="1654">
      <c r="A1654" s="2" t="str">
        <f>HYPERLINK("https://vtmf.veevavault.com/ui/#doc_info/27179567/2/0", "42847922MDD3003---Trial Specific Data Transfer Agreement-07 May 2025 (v2.0)")</f>
        <v>42847922MDD3003---Trial Specific Data Transfer Agreement-07 May 2025 (v2.0)</v>
      </c>
      <c r="B1654" s="3" t="inlineStr">
        <is>
          <t>Data Management</t>
        </is>
      </c>
      <c r="C1654" s="3" t="inlineStr">
        <is>
          <t>Database</t>
        </is>
      </c>
      <c r="D1654" s="3" t="inlineStr">
        <is>
          <t>Trial Specific Data Transfer Agreement</t>
        </is>
      </c>
      <c r="E1654" s="3" t="inlineStr">
        <is>
          <t>Labcorp-JNJ_MB_tsDTA_Part1of2_Op_2.0</t>
        </is>
      </c>
      <c r="F1654" s="2" t="str">
        <f>HYPERLINK("https://vtmf.veevavault.com/ui/#doc_info/27179567/2/0", "VTMF-21792950")</f>
        <v>VTMF-21792950</v>
      </c>
      <c r="G1654" s="3" t="inlineStr">
        <is>
          <t/>
        </is>
      </c>
      <c r="H1654" s="3" t="inlineStr">
        <is>
          <t>Anthony Suarez (veeva.com)</t>
        </is>
      </c>
      <c r="I1654" s="3" t="inlineStr">
        <is>
          <t>Arun Kumar Angu Sukumar</t>
        </is>
      </c>
      <c r="J1654" s="4" t="n">
        <v>45806.28444444444</v>
      </c>
      <c r="K1654" s="5" t="n">
        <v>45811.0</v>
      </c>
      <c r="L1654" s="5" t="n">
        <v>45784.0</v>
      </c>
      <c r="M1654" s="3" t="inlineStr">
        <is>
          <t>Approved</t>
        </is>
      </c>
      <c r="N1654" s="3" t="inlineStr">
        <is>
          <t>Study Start</t>
        </is>
      </c>
      <c r="O1654" s="3" t="inlineStr">
        <is>
          <t>42847922MDD3003</t>
        </is>
      </c>
    </row>
    <row r="1655">
      <c r="A1655" s="2" t="str">
        <f>HYPERLINK("https://vtmf.veevavault.com/ui/#doc_info/27224430/2/0", "42847922MDD3003---Trial Specific Data Transfer Agreement-07 May 2025 (v2.0)")</f>
        <v>42847922MDD3003---Trial Specific Data Transfer Agreement-07 May 2025 (v2.0)</v>
      </c>
      <c r="B1655" s="3" t="inlineStr">
        <is>
          <t>Data Management</t>
        </is>
      </c>
      <c r="C1655" s="3" t="inlineStr">
        <is>
          <t>Database</t>
        </is>
      </c>
      <c r="D1655" s="3" t="inlineStr">
        <is>
          <t>Trial Specific Data Transfer Agreement</t>
        </is>
      </c>
      <c r="E1655" s="3" t="inlineStr">
        <is>
          <t>Labcorp-JNJ_MB_tsDTA_Part2of2_Metadata_2.0</t>
        </is>
      </c>
      <c r="F1655" s="2" t="str">
        <f>HYPERLINK("https://vtmf.veevavault.com/ui/#doc_info/27224430/2/0", "VTMF-21831836")</f>
        <v>VTMF-21831836</v>
      </c>
      <c r="G1655" s="3" t="inlineStr">
        <is>
          <t/>
        </is>
      </c>
      <c r="H1655" s="3" t="inlineStr">
        <is>
          <t>Anthony Suarez (veeva.com)</t>
        </is>
      </c>
      <c r="I1655" s="3" t="inlineStr">
        <is>
          <t>Arun Kumar Angu Sukumar</t>
        </is>
      </c>
      <c r="J1655" s="4" t="n">
        <v>45806.28320601852</v>
      </c>
      <c r="K1655" s="5" t="n">
        <v>45806.0</v>
      </c>
      <c r="L1655" s="5" t="n">
        <v>45784.0</v>
      </c>
      <c r="M1655" s="3" t="inlineStr">
        <is>
          <t>Approved</t>
        </is>
      </c>
      <c r="N1655" s="3" t="inlineStr">
        <is>
          <t>Study Start</t>
        </is>
      </c>
      <c r="O1655" s="3" t="inlineStr">
        <is>
          <t>42847922MDD3003</t>
        </is>
      </c>
    </row>
    <row r="1656">
      <c r="A1656" s="2" t="str">
        <f>HYPERLINK("https://vtmf.veevavault.com/ui/#doc_info/27133715/4/0", "42847922MDD3003---Trial Specific Data Transfer Agreement-07 Nov 2025 (v4.0)")</f>
        <v>42847922MDD3003---Trial Specific Data Transfer Agreement-07 Nov 2025 (v4.0)</v>
      </c>
      <c r="B1656" s="3" t="inlineStr">
        <is>
          <t>Data Management</t>
        </is>
      </c>
      <c r="C1656" s="3" t="inlineStr">
        <is>
          <t>Database</t>
        </is>
      </c>
      <c r="D1656" s="3" t="inlineStr">
        <is>
          <t>Trial Specific Data Transfer Agreement</t>
        </is>
      </c>
      <c r="E1656" s="3" t="inlineStr">
        <is>
          <t>Clario-JNJ_FA_tsDTA_Part1of2_Op_4.0</t>
        </is>
      </c>
      <c r="F1656" s="2" t="str">
        <f>HYPERLINK("https://vtmf.veevavault.com/ui/#doc_info/27133715/4/0", "VTMF-21752719")</f>
        <v>VTMF-21752719</v>
      </c>
      <c r="G1656" s="3" t="inlineStr">
        <is>
          <t/>
        </is>
      </c>
      <c r="H1656" s="3" t="inlineStr">
        <is>
          <t>System</t>
        </is>
      </c>
      <c r="I1656" s="3" t="inlineStr">
        <is>
          <t>Arun Kumar Angu Sukumar</t>
        </is>
      </c>
      <c r="J1656" s="4" t="n">
        <v>45973.30480324074</v>
      </c>
      <c r="K1656" s="5" t="n">
        <v>45982.0</v>
      </c>
      <c r="L1656" s="5" t="n">
        <v>45968.0</v>
      </c>
      <c r="M1656" s="3" t="inlineStr">
        <is>
          <t>Approved</t>
        </is>
      </c>
      <c r="N1656" s="3" t="inlineStr">
        <is>
          <t>Study Start</t>
        </is>
      </c>
      <c r="O1656" s="3" t="inlineStr">
        <is>
          <t>42847922MDD3003</t>
        </is>
      </c>
    </row>
    <row r="1657">
      <c r="A1657" s="2" t="str">
        <f>HYPERLINK("https://vtmf.veevavault.com/ui/#doc_info/27133719/4/0", "42847922MDD3003---Trial Specific Data Transfer Agreement-07 Nov 2025 (v4.0)")</f>
        <v>42847922MDD3003---Trial Specific Data Transfer Agreement-07 Nov 2025 (v4.0)</v>
      </c>
      <c r="B1657" s="3" t="inlineStr">
        <is>
          <t>Data Management</t>
        </is>
      </c>
      <c r="C1657" s="3" t="inlineStr">
        <is>
          <t>Database</t>
        </is>
      </c>
      <c r="D1657" s="3" t="inlineStr">
        <is>
          <t>Trial Specific Data Transfer Agreement</t>
        </is>
      </c>
      <c r="E1657" s="3" t="inlineStr">
        <is>
          <t>Clario-JNJ_FA_tsDTA_Part2of2_Metadata_4.0</t>
        </is>
      </c>
      <c r="F1657" s="2" t="str">
        <f>HYPERLINK("https://vtmf.veevavault.com/ui/#doc_info/27133719/4/0", "VTMF-21752725")</f>
        <v>VTMF-21752725</v>
      </c>
      <c r="G1657" s="3" t="inlineStr">
        <is>
          <t/>
        </is>
      </c>
      <c r="H1657" s="3" t="inlineStr">
        <is>
          <t>Arun Kumar Angu Sukumar</t>
        </is>
      </c>
      <c r="I1657" s="3" t="inlineStr">
        <is>
          <t>Arun Kumar Angu Sukumar</t>
        </is>
      </c>
      <c r="J1657" s="4" t="n">
        <v>45973.29861111111</v>
      </c>
      <c r="K1657" s="5" t="n">
        <v>45973.0</v>
      </c>
      <c r="L1657" s="5" t="n">
        <v>45968.0</v>
      </c>
      <c r="M1657" s="3" t="inlineStr">
        <is>
          <t>Approved</t>
        </is>
      </c>
      <c r="N1657" s="3" t="inlineStr">
        <is>
          <t>Study Start</t>
        </is>
      </c>
      <c r="O1657" s="3" t="inlineStr">
        <is>
          <t>42847922MDD3003</t>
        </is>
      </c>
    </row>
    <row r="1658">
      <c r="A1658" s="2" t="str">
        <f>HYPERLINK("https://vtmf.veevavault.com/ui/#doc_info/27224554/1/0", "42847922MDD3003---Trial Specific Data Transfer Agreement-08 Oct 2024 (v1.0)")</f>
        <v>42847922MDD3003---Trial Specific Data Transfer Agreement-08 Oct 2024 (v1.0)</v>
      </c>
      <c r="B1658" s="3" t="inlineStr">
        <is>
          <t>Data Management</t>
        </is>
      </c>
      <c r="C1658" s="3" t="inlineStr">
        <is>
          <t>Database</t>
        </is>
      </c>
      <c r="D1658" s="3" t="inlineStr">
        <is>
          <t>Trial Specific Data Transfer Agreement</t>
        </is>
      </c>
      <c r="E1658" s="3" t="inlineStr">
        <is>
          <t>42847922MDD3003__tsDTA__Sample_Tracking-LabCorp_1of2_OpA_v1.0_08_Oct_2024</t>
        </is>
      </c>
      <c r="F1658" s="2" t="str">
        <f>HYPERLINK("https://vtmf.veevavault.com/ui/#doc_info/27224554/1/0", "VTMF-21831864")</f>
        <v>VTMF-21831864</v>
      </c>
      <c r="G1658" s="3" t="inlineStr">
        <is>
          <t/>
        </is>
      </c>
      <c r="H1658" s="3" t="inlineStr">
        <is>
          <t>Anthony Suarez (veeva.com)</t>
        </is>
      </c>
      <c r="I1658" s="3" t="inlineStr">
        <is>
          <t>Laura Braun</t>
        </is>
      </c>
      <c r="J1658" s="4" t="n">
        <v>45574.59359953704</v>
      </c>
      <c r="K1658" s="5" t="n">
        <v>45579.0</v>
      </c>
      <c r="L1658" s="5" t="n">
        <v>45573.0</v>
      </c>
      <c r="M1658" s="3" t="inlineStr">
        <is>
          <t>Approved</t>
        </is>
      </c>
      <c r="N1658" s="3" t="inlineStr">
        <is>
          <t>Study Start</t>
        </is>
      </c>
      <c r="O1658" s="3" t="inlineStr">
        <is>
          <t>42847922MDD3003</t>
        </is>
      </c>
    </row>
    <row r="1659">
      <c r="A1659" s="2" t="str">
        <f>HYPERLINK("https://vtmf.veevavault.com/ui/#doc_info/27224563/1/0", "42847922MDD3003---Trial Specific Data Transfer Agreement-08 Oct 2024 (v1.0)")</f>
        <v>42847922MDD3003---Trial Specific Data Transfer Agreement-08 Oct 2024 (v1.0)</v>
      </c>
      <c r="B1659" s="3" t="inlineStr">
        <is>
          <t>Data Management</t>
        </is>
      </c>
      <c r="C1659" s="3" t="inlineStr">
        <is>
          <t>Database</t>
        </is>
      </c>
      <c r="D1659" s="3" t="inlineStr">
        <is>
          <t>Trial Specific Data Transfer Agreement</t>
        </is>
      </c>
      <c r="E1659" s="3" t="inlineStr">
        <is>
          <t>42827922MDD3003_tsDTA _Sample Tracking-LabCorp_2of2_TM_v1.0_08 Oct 2024</t>
        </is>
      </c>
      <c r="F1659" s="2" t="str">
        <f>HYPERLINK("https://vtmf.veevavault.com/ui/#doc_info/27224563/1/0", "VTMF-21831885")</f>
        <v>VTMF-21831885</v>
      </c>
      <c r="G1659" s="3" t="inlineStr">
        <is>
          <t/>
        </is>
      </c>
      <c r="H1659" s="3" t="inlineStr">
        <is>
          <t>Anthony Suarez (veeva.com)</t>
        </is>
      </c>
      <c r="I1659" s="3" t="inlineStr">
        <is>
          <t>Laura Braun</t>
        </is>
      </c>
      <c r="J1659" s="4" t="n">
        <v>45574.59599537037</v>
      </c>
      <c r="K1659" s="5" t="n">
        <v>45751.0</v>
      </c>
      <c r="L1659" s="5" t="n">
        <v>45573.0</v>
      </c>
      <c r="M1659" s="3" t="inlineStr">
        <is>
          <t>Approved</t>
        </is>
      </c>
      <c r="N1659" s="3" t="inlineStr">
        <is>
          <t>Study Start</t>
        </is>
      </c>
      <c r="O1659" s="3" t="inlineStr">
        <is>
          <t>42847922MDD3003</t>
        </is>
      </c>
    </row>
    <row r="1660">
      <c r="A1660" s="2" t="str">
        <f>HYPERLINK("https://vtmf.veevavault.com/ui/#doc_info/29425787/8/0", "42847922MDD3003---Trial Specific Data Transfer Agreement-09 Jun 2026 (v8.0)")</f>
        <v>42847922MDD3003---Trial Specific Data Transfer Agreement-09 Jun 2026 (v8.0)</v>
      </c>
      <c r="B1660" s="3" t="inlineStr">
        <is>
          <t>Data Management</t>
        </is>
      </c>
      <c r="C1660" s="3" t="inlineStr">
        <is>
          <t>Database</t>
        </is>
      </c>
      <c r="D1660" s="3" t="inlineStr">
        <is>
          <t>Trial Specific Data Transfer Agreement</t>
        </is>
      </c>
      <c r="E1660" s="3" t="inlineStr">
        <is>
          <t>Sense.ai-JNJ_NV_tsDTA_Part2of2_Metadata_7.0</t>
        </is>
      </c>
      <c r="F1660" s="2" t="str">
        <f>HYPERLINK("https://vtmf.veevavault.com/ui/#doc_info/29425787/8/0", "VTMF-23663334")</f>
        <v>VTMF-23663334</v>
      </c>
      <c r="G1660" s="3" t="inlineStr">
        <is>
          <t/>
        </is>
      </c>
      <c r="H1660" s="3" t="inlineStr">
        <is>
          <t>System</t>
        </is>
      </c>
      <c r="I1660" s="3" t="inlineStr">
        <is>
          <t>Arun Kumar Angu Sukumar</t>
        </is>
      </c>
      <c r="J1660" s="4" t="n">
        <v>46182.75579861111</v>
      </c>
      <c r="K1660" s="5" t="n">
        <v>46183.0</v>
      </c>
      <c r="L1660" s="5" t="n">
        <v>46182.0</v>
      </c>
      <c r="M1660" s="3" t="inlineStr">
        <is>
          <t>Approved</t>
        </is>
      </c>
      <c r="N1660" s="3" t="inlineStr">
        <is>
          <t>Study Start</t>
        </is>
      </c>
      <c r="O1660" s="3" t="inlineStr">
        <is>
          <t>42847922MDD3003</t>
        </is>
      </c>
    </row>
    <row r="1661">
      <c r="A1661" s="2" t="str">
        <f>HYPERLINK("https://vtmf.veevavault.com/ui/#doc_info/29427302/8/0", "42847922MDD3003---Trial Specific Data Transfer Agreement-11 Jun 2026 (v8.0)")</f>
        <v>42847922MDD3003---Trial Specific Data Transfer Agreement-11 Jun 2026 (v8.0)</v>
      </c>
      <c r="B1661" s="3" t="inlineStr">
        <is>
          <t>Data Management</t>
        </is>
      </c>
      <c r="C1661" s="3" t="inlineStr">
        <is>
          <t>Database</t>
        </is>
      </c>
      <c r="D1661" s="3" t="inlineStr">
        <is>
          <t>Trial Specific Data Transfer Agreement</t>
        </is>
      </c>
      <c r="E1661" s="3" t="inlineStr">
        <is>
          <t>Sense.ai-JNJ_NV_tsDTA_Part1of2_Op_3.2.3</t>
        </is>
      </c>
      <c r="F1661" s="2" t="str">
        <f>HYPERLINK("https://vtmf.veevavault.com/ui/#doc_info/29427302/8/0", "VTMF-23663352")</f>
        <v>VTMF-23663352</v>
      </c>
      <c r="G1661" s="3" t="inlineStr">
        <is>
          <t/>
        </is>
      </c>
      <c r="H1661" s="3" t="inlineStr">
        <is>
          <t>System</t>
        </is>
      </c>
      <c r="I1661" s="3" t="inlineStr">
        <is>
          <t>Arun Kumar Angu Sukumar</t>
        </is>
      </c>
      <c r="J1661" s="4" t="n">
        <v>46189.286307870374</v>
      </c>
      <c r="K1661" s="5" t="n">
        <v>46189.0</v>
      </c>
      <c r="L1661" s="5" t="n">
        <v>46184.0</v>
      </c>
      <c r="M1661" s="3" t="inlineStr">
        <is>
          <t>Approved</t>
        </is>
      </c>
      <c r="N1661" s="3" t="inlineStr">
        <is>
          <t>Study Start</t>
        </is>
      </c>
      <c r="O1661" s="3" t="inlineStr">
        <is>
          <t>42847922MDD3003</t>
        </is>
      </c>
    </row>
    <row r="1662">
      <c r="A1662" s="2" t="str">
        <f>HYPERLINK("https://vtmf.veevavault.com/ui/#doc_info/27066111/4/0", "42847922MDD3003---Trial Specific Data Transfer Agreement-11 Sep 2025 (v4.0)")</f>
        <v>42847922MDD3003---Trial Specific Data Transfer Agreement-11 Sep 2025 (v4.0)</v>
      </c>
      <c r="B1662" s="3" t="inlineStr">
        <is>
          <t>Data Management</t>
        </is>
      </c>
      <c r="C1662" s="3" t="inlineStr">
        <is>
          <t>Database</t>
        </is>
      </c>
      <c r="D1662" s="3" t="inlineStr">
        <is>
          <t>Trial Specific Data Transfer Agreement</t>
        </is>
      </c>
      <c r="E1662" s="3" t="inlineStr">
        <is>
          <t>Clario-JNJ_EG_tsDTA_Part1of2_Op_4.0</t>
        </is>
      </c>
      <c r="F1662" s="2" t="str">
        <f>HYPERLINK("https://vtmf.veevavault.com/ui/#doc_info/27066111/4/0", "VTMF-21695505")</f>
        <v>VTMF-21695505</v>
      </c>
      <c r="G1662" s="3" t="inlineStr">
        <is>
          <t/>
        </is>
      </c>
      <c r="H1662" s="3" t="inlineStr">
        <is>
          <t>System</t>
        </is>
      </c>
      <c r="I1662" s="3" t="inlineStr">
        <is>
          <t>Arun Kumar Angu Sukumar</t>
        </is>
      </c>
      <c r="J1662" s="4" t="n">
        <v>45917.34755787037</v>
      </c>
      <c r="K1662" s="5" t="n">
        <v>45922.0</v>
      </c>
      <c r="L1662" s="5" t="n">
        <v>45911.0</v>
      </c>
      <c r="M1662" s="3" t="inlineStr">
        <is>
          <t>Approved</t>
        </is>
      </c>
      <c r="N1662" s="3" t="inlineStr">
        <is>
          <t>Study Start</t>
        </is>
      </c>
      <c r="O1662" s="3" t="inlineStr">
        <is>
          <t>42847922MDD3003</t>
        </is>
      </c>
    </row>
    <row r="1663">
      <c r="A1663" s="2" t="str">
        <f>HYPERLINK("https://vtmf.veevavault.com/ui/#doc_info/27066123/5/0", "42847922MDD3003---Trial Specific Data Transfer Agreement-11 Sep 2025 (v5.0)")</f>
        <v>42847922MDD3003---Trial Specific Data Transfer Agreement-11 Sep 2025 (v5.0)</v>
      </c>
      <c r="B1663" s="3" t="inlineStr">
        <is>
          <t>Data Management</t>
        </is>
      </c>
      <c r="C1663" s="3" t="inlineStr">
        <is>
          <t>Database</t>
        </is>
      </c>
      <c r="D1663" s="3" t="inlineStr">
        <is>
          <t>Trial Specific Data Transfer Agreement</t>
        </is>
      </c>
      <c r="E1663" s="3" t="inlineStr">
        <is>
          <t>Clario-JNJ_EG_tsDTA_Part2of2_Metadata_4.0</t>
        </is>
      </c>
      <c r="F1663" s="2" t="str">
        <f>HYPERLINK("https://vtmf.veevavault.com/ui/#doc_info/27066123/5/0", "VTMF-21695701")</f>
        <v>VTMF-21695701</v>
      </c>
      <c r="G1663" s="3" t="inlineStr">
        <is>
          <t/>
        </is>
      </c>
      <c r="H1663" s="3" t="inlineStr">
        <is>
          <t>System</t>
        </is>
      </c>
      <c r="I1663" s="3" t="inlineStr">
        <is>
          <t>Arun Kumar Angu Sukumar</t>
        </is>
      </c>
      <c r="J1663" s="4" t="n">
        <v>45965.591990740744</v>
      </c>
      <c r="K1663" s="5" t="n">
        <v>45965.0</v>
      </c>
      <c r="L1663" s="5" t="n">
        <v>45911.0</v>
      </c>
      <c r="M1663" s="3" t="inlineStr">
        <is>
          <t>Approved</t>
        </is>
      </c>
      <c r="N1663" s="3" t="inlineStr">
        <is>
          <t>Study Start</t>
        </is>
      </c>
      <c r="O1663" s="3" t="inlineStr">
        <is>
          <t>42847922MDD3003</t>
        </is>
      </c>
    </row>
    <row r="1664">
      <c r="A1664" s="2" t="str">
        <f>HYPERLINK("https://vtmf.veevavault.com/ui/#doc_info/26938062/1/0", "42847922MDD3003---Trial Specific Data Transfer Agreement-16 Jul 2024 (v1.0)")</f>
        <v>42847922MDD3003---Trial Specific Data Transfer Agreement-16 Jul 2024 (v1.0)</v>
      </c>
      <c r="B1664" s="3" t="inlineStr">
        <is>
          <t>Data Management</t>
        </is>
      </c>
      <c r="C1664" s="3" t="inlineStr">
        <is>
          <t>Database</t>
        </is>
      </c>
      <c r="D1664" s="3" t="inlineStr">
        <is>
          <t>Trial Specific Data Transfer Agreement</t>
        </is>
      </c>
      <c r="E1664" s="3" t="inlineStr">
        <is>
          <t>Vendor_Signed_42847922MDD3003_Data_Monitoring_Type_II_JNJ_to_CRONOS_tsDTA_Part_1_of_2_OpA_v1.0</t>
        </is>
      </c>
      <c r="F1664" s="2" t="str">
        <f>HYPERLINK("https://vtmf.veevavault.com/ui/#doc_info/26938062/1/0", "VTMF-21594130")</f>
        <v>VTMF-21594130</v>
      </c>
      <c r="G1664" s="3" t="inlineStr">
        <is>
          <t/>
        </is>
      </c>
      <c r="H1664" s="3" t="inlineStr">
        <is>
          <t>Anthony Suarez (veeva.com)</t>
        </is>
      </c>
      <c r="I1664" s="3" t="inlineStr">
        <is>
          <t>Laura Braun</t>
        </is>
      </c>
      <c r="J1664" s="4" t="n">
        <v>45526.870775462965</v>
      </c>
      <c r="K1664" s="5" t="n">
        <v>45526.0</v>
      </c>
      <c r="L1664" s="5" t="n">
        <v>45489.0</v>
      </c>
      <c r="M1664" s="3" t="inlineStr">
        <is>
          <t>Approved</t>
        </is>
      </c>
      <c r="N1664" s="3" t="inlineStr">
        <is>
          <t>Study Start</t>
        </is>
      </c>
      <c r="O1664" s="3" t="inlineStr">
        <is>
          <t>42847922MDD3003</t>
        </is>
      </c>
    </row>
    <row r="1665">
      <c r="A1665" s="2" t="str">
        <f>HYPERLINK("https://vtmf.veevavault.com/ui/#doc_info/26746259/2/0", "42847922MDD3003---Trial Specific Data Transfer Agreement-20 Aug 2024 (v2.0)")</f>
        <v>42847922MDD3003---Trial Specific Data Transfer Agreement-20 Aug 2024 (v2.0)</v>
      </c>
      <c r="B1665" s="3" t="inlineStr">
        <is>
          <t>Data Management</t>
        </is>
      </c>
      <c r="C1665" s="3" t="inlineStr">
        <is>
          <t>Database</t>
        </is>
      </c>
      <c r="D1665" s="3" t="inlineStr">
        <is>
          <t>Trial Specific Data Transfer Agreement</t>
        </is>
      </c>
      <c r="E1665" s="3" t="inlineStr">
        <is>
          <t>42847922MDD3003_Data Monitoring_Type II_JNJ to CRONOS_tsDTA_Part 1 of 2_OpA_v2.0</t>
        </is>
      </c>
      <c r="F1665" s="2" t="str">
        <f>HYPERLINK("https://vtmf.veevavault.com/ui/#doc_info/26746259/2/0", "VTMF-21432916")</f>
        <v>VTMF-21432916</v>
      </c>
      <c r="G1665" s="3" t="inlineStr">
        <is>
          <t/>
        </is>
      </c>
      <c r="H1665" s="3" t="inlineStr">
        <is>
          <t>Anthony Suarez (veeva.com)</t>
        </is>
      </c>
      <c r="I1665" s="3" t="inlineStr">
        <is>
          <t>Laura Braun</t>
        </is>
      </c>
      <c r="J1665" s="4" t="n">
        <v>45530.47787037037</v>
      </c>
      <c r="K1665" s="5" t="n">
        <v>45530.0</v>
      </c>
      <c r="L1665" s="5" t="n">
        <v>45524.0</v>
      </c>
      <c r="M1665" s="3" t="inlineStr">
        <is>
          <t>Approved</t>
        </is>
      </c>
      <c r="N1665" s="3" t="inlineStr">
        <is>
          <t>Study Start</t>
        </is>
      </c>
      <c r="O1665" s="3" t="inlineStr">
        <is>
          <t>42847922MDD3003</t>
        </is>
      </c>
    </row>
    <row r="1666">
      <c r="A1666" s="2" t="str">
        <f>HYPERLINK("https://vtmf.veevavault.com/ui/#doc_info/26746291/2/0", "42847922MDD3003---Trial Specific Data Transfer Agreement-20 Aug 2024 (v2.0)")</f>
        <v>42847922MDD3003---Trial Specific Data Transfer Agreement-20 Aug 2024 (v2.0)</v>
      </c>
      <c r="B1666" s="3" t="inlineStr">
        <is>
          <t>Data Management</t>
        </is>
      </c>
      <c r="C1666" s="3" t="inlineStr">
        <is>
          <t>Database</t>
        </is>
      </c>
      <c r="D1666" s="3" t="inlineStr">
        <is>
          <t>Trial Specific Data Transfer Agreement</t>
        </is>
      </c>
      <c r="E1666" s="3" t="inlineStr">
        <is>
          <t>42847922MDD3003_Data Surveillance_JNJ to CRONOS_tsDTA_Part 2 of 2_TMS_v2.0.xlsx</t>
        </is>
      </c>
      <c r="F1666" s="2" t="str">
        <f>HYPERLINK("https://vtmf.veevavault.com/ui/#doc_info/26746291/2/0", "VTMF-21432950")</f>
        <v>VTMF-21432950</v>
      </c>
      <c r="G1666" s="3" t="inlineStr">
        <is>
          <t/>
        </is>
      </c>
      <c r="H1666" s="3" t="inlineStr">
        <is>
          <t>Anthony Suarez (veeva.com)</t>
        </is>
      </c>
      <c r="I1666" s="3" t="inlineStr">
        <is>
          <t>Laura Braun</t>
        </is>
      </c>
      <c r="J1666" s="4" t="n">
        <v>45526.87369212963</v>
      </c>
      <c r="K1666" s="5" t="n">
        <v>45530.0</v>
      </c>
      <c r="L1666" s="5" t="n">
        <v>45524.0</v>
      </c>
      <c r="M1666" s="3" t="inlineStr">
        <is>
          <t>Approved</t>
        </is>
      </c>
      <c r="N1666" s="3" t="inlineStr">
        <is>
          <t>Study Start</t>
        </is>
      </c>
      <c r="O1666" s="3" t="inlineStr">
        <is>
          <t>42847922MDD3003</t>
        </is>
      </c>
    </row>
    <row r="1667">
      <c r="A1667" s="2" t="str">
        <f>HYPERLINK("https://vtmf.veevavault.com/ui/#doc_info/27132309/1/0", "42847922MDD3003---Trial Specific Data Transfer Agreement-24 Sep 2024 (v1.0)")</f>
        <v>42847922MDD3003---Trial Specific Data Transfer Agreement-24 Sep 2024 (v1.0)</v>
      </c>
      <c r="B1667" s="3" t="inlineStr">
        <is>
          <t>Data Management</t>
        </is>
      </c>
      <c r="C1667" s="3" t="inlineStr">
        <is>
          <t>Database</t>
        </is>
      </c>
      <c r="D1667" s="3" t="inlineStr">
        <is>
          <t>Trial Specific Data Transfer Agreement</t>
        </is>
      </c>
      <c r="E1667" s="3" t="inlineStr">
        <is>
          <t>42847922MDD3003_tsDTA_Randomization (ZR)_SDO-DM_Part 1 of 2_Operational Agreements_v1.0_24-Sep-2024</t>
        </is>
      </c>
      <c r="F1667" s="2" t="str">
        <f>HYPERLINK("https://vtmf.veevavault.com/ui/#doc_info/27132309/1/0", "VTMF-21751557")</f>
        <v>VTMF-21751557</v>
      </c>
      <c r="G1667" s="3" t="inlineStr">
        <is>
          <t/>
        </is>
      </c>
      <c r="H1667" s="3" t="inlineStr">
        <is>
          <t>Anthony Suarez (veeva.com)</t>
        </is>
      </c>
      <c r="I1667" s="3" t="inlineStr">
        <is>
          <t>Laura Braun</t>
        </is>
      </c>
      <c r="J1667" s="4" t="n">
        <v>45559.65758101852</v>
      </c>
      <c r="K1667" s="5" t="n">
        <v>45560.0</v>
      </c>
      <c r="L1667" s="5" t="n">
        <v>45559.0</v>
      </c>
      <c r="M1667" s="3" t="inlineStr">
        <is>
          <t>Approved</t>
        </is>
      </c>
      <c r="N1667" s="3" t="inlineStr">
        <is>
          <t>Study Start</t>
        </is>
      </c>
      <c r="O1667" s="3" t="inlineStr">
        <is>
          <t>42847922MDD3003</t>
        </is>
      </c>
    </row>
    <row r="1668">
      <c r="A1668" s="2" t="str">
        <f>HYPERLINK("https://vtmf.veevavault.com/ui/#doc_info/27132323/1/0", "42847922MDD3003---Trial Specific Data Transfer Agreement-24 Sep 2024 (v1.0)")</f>
        <v>42847922MDD3003---Trial Specific Data Transfer Agreement-24 Sep 2024 (v1.0)</v>
      </c>
      <c r="B1668" s="3" t="inlineStr">
        <is>
          <t>Data Management</t>
        </is>
      </c>
      <c r="C1668" s="3" t="inlineStr">
        <is>
          <t>Database</t>
        </is>
      </c>
      <c r="D1668" s="3" t="inlineStr">
        <is>
          <t>Trial Specific Data Transfer Agreement</t>
        </is>
      </c>
      <c r="E1668" s="3" t="inlineStr">
        <is>
          <t>42847922MDD3003_tsDTA_Randomization (ZR)_SDO-DM_Part 2 of 2_Transfer Metadata Specification_v1.0_24-Sep-2024</t>
        </is>
      </c>
      <c r="F1668" s="2" t="str">
        <f>HYPERLINK("https://vtmf.veevavault.com/ui/#doc_info/27132323/1/0", "VTMF-21751579")</f>
        <v>VTMF-21751579</v>
      </c>
      <c r="G1668" s="3" t="inlineStr">
        <is>
          <t/>
        </is>
      </c>
      <c r="H1668" s="3" t="inlineStr">
        <is>
          <t>Anthony Suarez (veeva.com)</t>
        </is>
      </c>
      <c r="I1668" s="3" t="inlineStr">
        <is>
          <t>Laura Braun</t>
        </is>
      </c>
      <c r="J1668" s="4" t="n">
        <v>45559.661458333336</v>
      </c>
      <c r="K1668" s="5" t="n">
        <v>45559.0</v>
      </c>
      <c r="L1668" s="5" t="n">
        <v>45559.0</v>
      </c>
      <c r="M1668" s="3" t="inlineStr">
        <is>
          <t>Approved</t>
        </is>
      </c>
      <c r="N1668" s="3" t="inlineStr">
        <is>
          <t>Study Start</t>
        </is>
      </c>
      <c r="O1668" s="3" t="inlineStr">
        <is>
          <t>42847922MDD3003</t>
        </is>
      </c>
    </row>
    <row r="1669">
      <c r="A1669" s="2" t="str">
        <f>HYPERLINK("https://vtmf.veevavault.com/ui/#doc_info/27179561/2/0", "42847922MDD3003---Trial Specific Data Transfer Agreement-25 Jul 2025 (v2.0)")</f>
        <v>42847922MDD3003---Trial Specific Data Transfer Agreement-25 Jul 2025 (v2.0)</v>
      </c>
      <c r="B1669" s="3" t="inlineStr">
        <is>
          <t>Data Management</t>
        </is>
      </c>
      <c r="C1669" s="3" t="inlineStr">
        <is>
          <t>Database</t>
        </is>
      </c>
      <c r="D1669" s="3" t="inlineStr">
        <is>
          <t>Trial Specific Data Transfer Agreement</t>
        </is>
      </c>
      <c r="E1669" s="3" t="inlineStr">
        <is>
          <t>Labcorp-JNJ_LB_tsDTA_Part1of2_Op_2.0</t>
        </is>
      </c>
      <c r="F1669" s="2" t="str">
        <f>HYPERLINK("https://vtmf.veevavault.com/ui/#doc_info/27179561/2/0", "VTMF-21792939")</f>
        <v>VTMF-21792939</v>
      </c>
      <c r="G1669" s="3" t="inlineStr">
        <is>
          <t/>
        </is>
      </c>
      <c r="H1669" s="3" t="inlineStr">
        <is>
          <t>Arun Kumar Angu Sukumar</t>
        </is>
      </c>
      <c r="I1669" s="3" t="inlineStr">
        <is>
          <t>Arun Kumar Angu Sukumar</t>
        </is>
      </c>
      <c r="J1669" s="4" t="n">
        <v>45863.62331018518</v>
      </c>
      <c r="K1669" s="5" t="n">
        <v>45870.0</v>
      </c>
      <c r="L1669" s="5" t="n">
        <v>45863.0</v>
      </c>
      <c r="M1669" s="3" t="inlineStr">
        <is>
          <t>Approved</t>
        </is>
      </c>
      <c r="N1669" s="3" t="inlineStr">
        <is>
          <t>Study Start</t>
        </is>
      </c>
      <c r="O1669" s="3" t="inlineStr">
        <is>
          <t>42847922MDD3003</t>
        </is>
      </c>
    </row>
    <row r="1670">
      <c r="A1670" s="2" t="str">
        <f>HYPERLINK("https://vtmf.veevavault.com/ui/#doc_info/27208522/2/0", "42847922MDD3003---Trial Specific Data Transfer Agreement-25 Jul 2025 (v2.0)")</f>
        <v>42847922MDD3003---Trial Specific Data Transfer Agreement-25 Jul 2025 (v2.0)</v>
      </c>
      <c r="B1670" s="3" t="inlineStr">
        <is>
          <t>Data Management</t>
        </is>
      </c>
      <c r="C1670" s="3" t="inlineStr">
        <is>
          <t>Database</t>
        </is>
      </c>
      <c r="D1670" s="3" t="inlineStr">
        <is>
          <t>Trial Specific Data Transfer Agreement</t>
        </is>
      </c>
      <c r="E1670" s="3" t="inlineStr">
        <is>
          <t>Labcorp-JNJ_LB_tsDTA_Part2of2_Metadata_2.0</t>
        </is>
      </c>
      <c r="F1670" s="2" t="str">
        <f>HYPERLINK("https://vtmf.veevavault.com/ui/#doc_info/27208522/2/0", "VTMF-21818170")</f>
        <v>VTMF-21818170</v>
      </c>
      <c r="G1670" s="3" t="inlineStr">
        <is>
          <t/>
        </is>
      </c>
      <c r="H1670" s="3" t="inlineStr">
        <is>
          <t>Arun Kumar Angu Sukumar</t>
        </is>
      </c>
      <c r="I1670" s="3" t="inlineStr">
        <is>
          <t>Arun Kumar Angu Sukumar</t>
        </is>
      </c>
      <c r="J1670" s="4" t="n">
        <v>45863.6221875</v>
      </c>
      <c r="K1670" s="5" t="n">
        <v>45863.0</v>
      </c>
      <c r="L1670" s="5" t="n">
        <v>45863.0</v>
      </c>
      <c r="M1670" s="3" t="inlineStr">
        <is>
          <t>Approved</t>
        </is>
      </c>
      <c r="N1670" s="3" t="inlineStr">
        <is>
          <t>Study Start</t>
        </is>
      </c>
      <c r="O1670" s="3" t="inlineStr">
        <is>
          <t>42847922MDD3003</t>
        </is>
      </c>
    </row>
    <row r="1671">
      <c r="A1671" s="2" t="str">
        <f>HYPERLINK("https://vtmf.veevavault.com/ui/#doc_info/27027415/2/0", "42847922MDD3003---Trial Specific Data Transfer Agreement-25 Nov 2024 (v2.0)")</f>
        <v>42847922MDD3003---Trial Specific Data Transfer Agreement-25 Nov 2024 (v2.0)</v>
      </c>
      <c r="B1671" s="3" t="inlineStr">
        <is>
          <t>Data Management</t>
        </is>
      </c>
      <c r="C1671" s="3" t="inlineStr">
        <is>
          <t>Database</t>
        </is>
      </c>
      <c r="D1671" s="3" t="inlineStr">
        <is>
          <t>Trial Specific Data Transfer Agreement</t>
        </is>
      </c>
      <c r="E1671" s="3" t="inlineStr">
        <is>
          <t>42847922MDD3003_4G Clinical-IQVIA SDO_ZR_tsDTA_Part1of2_Op_V2.0_25Nov2024</t>
        </is>
      </c>
      <c r="F1671" s="2" t="str">
        <f>HYPERLINK("https://vtmf.veevavault.com/ui/#doc_info/27027415/2/0", "VTMF-21667578")</f>
        <v>VTMF-21667578</v>
      </c>
      <c r="G1671" s="3" t="inlineStr">
        <is>
          <t/>
        </is>
      </c>
      <c r="H1671" s="3" t="inlineStr">
        <is>
          <t>Anthony Suarez (veeva.com)</t>
        </is>
      </c>
      <c r="I1671" s="3" t="inlineStr">
        <is>
          <t>Laura Braun</t>
        </is>
      </c>
      <c r="J1671" s="4" t="n">
        <v>45623.6456712963</v>
      </c>
      <c r="K1671" s="5" t="n">
        <v>45628.0</v>
      </c>
      <c r="L1671" s="5" t="n">
        <v>45621.0</v>
      </c>
      <c r="M1671" s="3" t="inlineStr">
        <is>
          <t>Approved</t>
        </is>
      </c>
      <c r="N1671" s="3" t="inlineStr">
        <is>
          <t>Study Start</t>
        </is>
      </c>
      <c r="O1671" s="3" t="inlineStr">
        <is>
          <t>42847922MDD3003</t>
        </is>
      </c>
    </row>
    <row r="1672">
      <c r="A1672" s="2" t="str">
        <f>HYPERLINK("https://vtmf.veevavault.com/ui/#doc_info/27027419/2/0", "42847922MDD3003---Trial Specific Data Transfer Agreement-25 Nov 2024 (v2.0)")</f>
        <v>42847922MDD3003---Trial Specific Data Transfer Agreement-25 Nov 2024 (v2.0)</v>
      </c>
      <c r="B1672" s="3" t="inlineStr">
        <is>
          <t>Data Management</t>
        </is>
      </c>
      <c r="C1672" s="3" t="inlineStr">
        <is>
          <t>Database</t>
        </is>
      </c>
      <c r="D1672" s="3" t="inlineStr">
        <is>
          <t>Trial Specific Data Transfer Agreement</t>
        </is>
      </c>
      <c r="E1672" s="3" t="inlineStr">
        <is>
          <t>42847922MDD3003_4G Clinical-IQVIA SDO_ZR_tsDTA_Part2of2_Metadata_V2.0_25Nov2024</t>
        </is>
      </c>
      <c r="F1672" s="2" t="str">
        <f>HYPERLINK("https://vtmf.veevavault.com/ui/#doc_info/27027419/2/0", "VTMF-21667587")</f>
        <v>VTMF-21667587</v>
      </c>
      <c r="G1672" s="3" t="inlineStr">
        <is>
          <t/>
        </is>
      </c>
      <c r="H1672" s="3" t="inlineStr">
        <is>
          <t>Anthony Suarez (veeva.com)</t>
        </is>
      </c>
      <c r="I1672" s="3" t="inlineStr">
        <is>
          <t>Laura Braun</t>
        </is>
      </c>
      <c r="J1672" s="4" t="n">
        <v>45623.64807870371</v>
      </c>
      <c r="K1672" s="5" t="n">
        <v>45623.0</v>
      </c>
      <c r="L1672" s="5" t="n">
        <v>45621.0</v>
      </c>
      <c r="M1672" s="3" t="inlineStr">
        <is>
          <t>Approved</t>
        </is>
      </c>
      <c r="N1672" s="3" t="inlineStr">
        <is>
          <t>Study Start</t>
        </is>
      </c>
      <c r="O1672" s="3" t="inlineStr">
        <is>
          <t>42847922MDD3003</t>
        </is>
      </c>
    </row>
    <row r="1673">
      <c r="A1673" s="2" t="str">
        <f>HYPERLINK("https://vtmf.veevavault.com/ui/#doc_info/25132604/294/0", "42847922MDD3003---Trial Team Details-08 Jun 2026- (v294.0)")</f>
        <v>42847922MDD3003---Trial Team Details-08 Jun 2026- (v294.0)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Trial Team Details</t>
        </is>
      </c>
      <c r="E1673" s="3" t="inlineStr">
        <is>
          <t>Trial Contact List v11.0</t>
        </is>
      </c>
      <c r="F1673" s="2" t="str">
        <f>HYPERLINK("https://vtmf.veevavault.com/ui/#doc_info/25132604/294/0", "VTMF-20019135")</f>
        <v>VTMF-20019135</v>
      </c>
      <c r="G1673" s="3" t="inlineStr">
        <is>
          <t/>
        </is>
      </c>
      <c r="H1673" s="3" t="inlineStr">
        <is>
          <t>System</t>
        </is>
      </c>
      <c r="I1673" s="3" t="inlineStr">
        <is>
          <t>Debhora Garcia</t>
        </is>
      </c>
      <c r="J1673" s="4" t="n">
        <v>46183.729629629626</v>
      </c>
      <c r="K1673" s="5" t="n">
        <v>46183.0</v>
      </c>
      <c r="L1673" s="5" t="n">
        <v>46181.0</v>
      </c>
      <c r="M1673" s="3" t="inlineStr">
        <is>
          <t>Approved</t>
        </is>
      </c>
      <c r="N1673" s="3" t="inlineStr">
        <is>
          <t>Study Close, Study Start</t>
        </is>
      </c>
      <c r="O1673" s="3" t="inlineStr">
        <is>
          <t>42847922MDD3003</t>
        </is>
      </c>
    </row>
    <row r="1674">
      <c r="A1674" s="2" t="str">
        <f>HYPERLINK("https://vtmf.veevavault.com/ui/#doc_info/29073300/1/0", "42847922MDD3003---Trial Team Evidence of Training-16 Apr 2025 (v1.0)")</f>
        <v>42847922MDD3003---Trial Team Evidence of Training-16 Apr 2025 (v1.0)</v>
      </c>
      <c r="B1674" s="3" t="inlineStr">
        <is>
          <t>Trial Management</t>
        </is>
      </c>
      <c r="C1674" s="3" t="inlineStr">
        <is>
          <t>Meetings</t>
        </is>
      </c>
      <c r="D1674" s="3" t="inlineStr">
        <is>
          <t>Trial Team Evidence of Training</t>
        </is>
      </c>
      <c r="E1674" s="3" t="inlineStr">
        <is>
          <t>Lunch_HCP Sign-In Sheet_OARS 7 LATAM IM</t>
        </is>
      </c>
      <c r="F1674" s="2" t="str">
        <f>HYPERLINK("https://vtmf.veevavault.com/ui/#doc_info/29073300/1/0", "VTMF-23360368")</f>
        <v>VTMF-23360368</v>
      </c>
      <c r="G1674" s="3" t="inlineStr">
        <is>
          <t/>
        </is>
      </c>
      <c r="H1674" s="3" t="inlineStr">
        <is>
          <t>Anthony Suarez (veeva.com)</t>
        </is>
      </c>
      <c r="I1674" s="3" t="inlineStr">
        <is>
          <t>Debhora Garcia</t>
        </is>
      </c>
      <c r="J1674" s="4" t="n">
        <v>45785.94363425926</v>
      </c>
      <c r="K1674" s="5" t="n">
        <v>45785.0</v>
      </c>
      <c r="L1674" s="5" t="n">
        <v>45763.0</v>
      </c>
      <c r="M1674" s="3" t="inlineStr">
        <is>
          <t>Approved</t>
        </is>
      </c>
      <c r="N1674" s="3" t="inlineStr">
        <is>
          <t>Not associated to a milestone</t>
        </is>
      </c>
      <c r="O1674" s="3" t="inlineStr">
        <is>
          <t>42847922MDD3003</t>
        </is>
      </c>
    </row>
    <row r="1675">
      <c r="A1675" s="2" t="str">
        <f>HYPERLINK("https://vtmf.veevavault.com/ui/#doc_info/29073854/1/0", "42847922MDD3003---Trial Team Evidence of Training-16 Apr 2025 (v1.0)")</f>
        <v>42847922MDD3003---Trial Team Evidence of Training-16 Apr 2025 (v1.0)</v>
      </c>
      <c r="B1675" s="3" t="inlineStr">
        <is>
          <t>Trial Management</t>
        </is>
      </c>
      <c r="C1675" s="3" t="inlineStr">
        <is>
          <t>Meetings</t>
        </is>
      </c>
      <c r="D1675" s="3" t="inlineStr">
        <is>
          <t>Trial Team Evidence of Training</t>
        </is>
      </c>
      <c r="E1675" s="3" t="inlineStr">
        <is>
          <t>IM_Day 1_PM Session_HCP Sign-In Sheet_OARS 7 LATAM IM</t>
        </is>
      </c>
      <c r="F1675" s="2" t="str">
        <f>HYPERLINK("https://vtmf.veevavault.com/ui/#doc_info/29073854/1/0", "VTMF-23360358")</f>
        <v>VTMF-23360358</v>
      </c>
      <c r="G1675" s="3" t="inlineStr">
        <is>
          <t/>
        </is>
      </c>
      <c r="H1675" s="3" t="inlineStr">
        <is>
          <t>Anthony Suarez (veeva.com)</t>
        </is>
      </c>
      <c r="I1675" s="3" t="inlineStr">
        <is>
          <t>Debhora Garcia</t>
        </is>
      </c>
      <c r="J1675" s="4" t="n">
        <v>45785.93950231482</v>
      </c>
      <c r="K1675" s="5" t="n">
        <v>45785.0</v>
      </c>
      <c r="L1675" s="5" t="n">
        <v>45763.0</v>
      </c>
      <c r="M1675" s="3" t="inlineStr">
        <is>
          <t>Approved</t>
        </is>
      </c>
      <c r="N1675" s="3" t="inlineStr">
        <is>
          <t>Not associated to a milestone</t>
        </is>
      </c>
      <c r="O1675" s="3" t="inlineStr">
        <is>
          <t>42847922MDD3003</t>
        </is>
      </c>
    </row>
    <row r="1676">
      <c r="A1676" s="2" t="str">
        <f>HYPERLINK("https://vtmf.veevavault.com/ui/#doc_info/29073903/1/0", "42847922MDD3003---Trial Team Evidence of Training-16 Apr 2025 (v1.0)")</f>
        <v>42847922MDD3003---Trial Team Evidence of Training-16 Apr 2025 (v1.0)</v>
      </c>
      <c r="B1676" s="3" t="inlineStr">
        <is>
          <t>Trial Management</t>
        </is>
      </c>
      <c r="C1676" s="3" t="inlineStr">
        <is>
          <t>Meetings</t>
        </is>
      </c>
      <c r="D1676" s="3" t="inlineStr">
        <is>
          <t>Trial Team Evidence of Training</t>
        </is>
      </c>
      <c r="E1676" s="3" t="inlineStr">
        <is>
          <t>Welcome Dinner_HCP Sign-In Sheet_OARS 7 LATAM IM</t>
        </is>
      </c>
      <c r="F1676" s="2" t="str">
        <f>HYPERLINK("https://vtmf.veevavault.com/ui/#doc_info/29073903/1/0", "VTMF-23360375")</f>
        <v>VTMF-23360375</v>
      </c>
      <c r="G1676" s="3" t="inlineStr">
        <is>
          <t/>
        </is>
      </c>
      <c r="H1676" s="3" t="inlineStr">
        <is>
          <t>Anthony Suarez (veeva.com)</t>
        </is>
      </c>
      <c r="I1676" s="3" t="inlineStr">
        <is>
          <t>Debhora Garcia</t>
        </is>
      </c>
      <c r="J1676" s="4" t="n">
        <v>45785.945555555554</v>
      </c>
      <c r="K1676" s="5" t="n">
        <v>45785.0</v>
      </c>
      <c r="L1676" s="5" t="n">
        <v>45763.0</v>
      </c>
      <c r="M1676" s="3" t="inlineStr">
        <is>
          <t>Approved</t>
        </is>
      </c>
      <c r="N1676" s="3" t="inlineStr">
        <is>
          <t>Not associated to a milestone</t>
        </is>
      </c>
      <c r="O1676" s="3" t="inlineStr">
        <is>
          <t>42847922MDD3003</t>
        </is>
      </c>
    </row>
    <row r="1677">
      <c r="A1677" s="2" t="str">
        <f>HYPERLINK("https://vtmf.veevavault.com/ui/#doc_info/29073905/1/0", "42847922MDD3003---Trial Team Evidence of Training-16 Apr 2025 (v1.0)")</f>
        <v>42847922MDD3003---Trial Team Evidence of Training-16 Apr 2025 (v1.0)</v>
      </c>
      <c r="B1677" s="3" t="inlineStr">
        <is>
          <t>Trial Management</t>
        </is>
      </c>
      <c r="C1677" s="3" t="inlineStr">
        <is>
          <t>Meetings</t>
        </is>
      </c>
      <c r="D1677" s="3" t="inlineStr">
        <is>
          <t>Trial Team Evidence of Training</t>
        </is>
      </c>
      <c r="E1677" s="3" t="inlineStr">
        <is>
          <t>IM_Day 2_AM Session &amp; Lunch_HCP Sign-In Sheet_OARS 7 LATAM IM</t>
        </is>
      </c>
      <c r="F1677" s="2" t="str">
        <f>HYPERLINK("https://vtmf.veevavault.com/ui/#doc_info/29073905/1/0", "VTMF-23360379")</f>
        <v>VTMF-23360379</v>
      </c>
      <c r="G1677" s="3" t="inlineStr">
        <is>
          <t/>
        </is>
      </c>
      <c r="H1677" s="3" t="inlineStr">
        <is>
          <t>Anthony Suarez (veeva.com)</t>
        </is>
      </c>
      <c r="I1677" s="3" t="inlineStr">
        <is>
          <t>Debhora Garcia</t>
        </is>
      </c>
      <c r="J1677" s="4" t="n">
        <v>45785.94673611111</v>
      </c>
      <c r="K1677" s="5" t="n">
        <v>45785.0</v>
      </c>
      <c r="L1677" s="5" t="n">
        <v>45763.0</v>
      </c>
      <c r="M1677" s="3" t="inlineStr">
        <is>
          <t>Approved</t>
        </is>
      </c>
      <c r="N1677" s="3" t="inlineStr">
        <is>
          <t>Not associated to a milestone</t>
        </is>
      </c>
      <c r="O1677" s="3" t="inlineStr">
        <is>
          <t>42847922MDD3003</t>
        </is>
      </c>
    </row>
    <row r="1678">
      <c r="A1678" s="2" t="str">
        <f>HYPERLINK("https://vtmf.veevavault.com/ui/#doc_info/29073908/1/0", "42847922MDD3003---Trial Team Evidence of Training-16 Apr 2025 (v1.0)")</f>
        <v>42847922MDD3003---Trial Team Evidence of Training-16 Apr 2025 (v1.0)</v>
      </c>
      <c r="B1678" s="3" t="inlineStr">
        <is>
          <t>Trial Management</t>
        </is>
      </c>
      <c r="C1678" s="3" t="inlineStr">
        <is>
          <t>Meetings</t>
        </is>
      </c>
      <c r="D1678" s="3" t="inlineStr">
        <is>
          <t>Trial Team Evidence of Training</t>
        </is>
      </c>
      <c r="E1678" s="3" t="inlineStr">
        <is>
          <t>IM_Day 2_PM Session_HCP Sign-In Sheet_OARS 7 LATAM IM</t>
        </is>
      </c>
      <c r="F1678" s="2" t="str">
        <f>HYPERLINK("https://vtmf.veevavault.com/ui/#doc_info/29073908/1/0", "VTMF-23360385")</f>
        <v>VTMF-23360385</v>
      </c>
      <c r="G1678" s="3" t="inlineStr">
        <is>
          <t/>
        </is>
      </c>
      <c r="H1678" s="3" t="inlineStr">
        <is>
          <t>Anthony Suarez (veeva.com)</t>
        </is>
      </c>
      <c r="I1678" s="3" t="inlineStr">
        <is>
          <t>Debhora Garcia</t>
        </is>
      </c>
      <c r="J1678" s="4" t="n">
        <v>45785.94773148148</v>
      </c>
      <c r="K1678" s="5" t="n">
        <v>45785.0</v>
      </c>
      <c r="L1678" s="5" t="n">
        <v>45763.0</v>
      </c>
      <c r="M1678" s="3" t="inlineStr">
        <is>
          <t>Approved</t>
        </is>
      </c>
      <c r="N1678" s="3" t="inlineStr">
        <is>
          <t>Not associated to a milestone</t>
        </is>
      </c>
      <c r="O1678" s="3" t="inlineStr">
        <is>
          <t>42847922MDD3003</t>
        </is>
      </c>
    </row>
    <row r="1679">
      <c r="A1679" s="2" t="str">
        <f>HYPERLINK("https://vtmf.veevavault.com/ui/#doc_info/29073911/1/0", "42847922MDD3003---Trial Team Evidence of Training-16 Apr 2025 (v1.0)")</f>
        <v>42847922MDD3003---Trial Team Evidence of Training-16 Apr 2025 (v1.0)</v>
      </c>
      <c r="B1679" s="3" t="inlineStr">
        <is>
          <t>Trial Management</t>
        </is>
      </c>
      <c r="C1679" s="3" t="inlineStr">
        <is>
          <t>Meetings</t>
        </is>
      </c>
      <c r="D1679" s="3" t="inlineStr">
        <is>
          <t>Trial Team Evidence of Training</t>
        </is>
      </c>
      <c r="E1679" s="3" t="inlineStr">
        <is>
          <t>IM_Day 1_PM Session_JJ Vendor Sign-In Sheet_OARS 7 LATAM IM</t>
        </is>
      </c>
      <c r="F1679" s="2" t="str">
        <f>HYPERLINK("https://vtmf.veevavault.com/ui/#doc_info/29073911/1/0", "VTMF-23360389")</f>
        <v>VTMF-23360389</v>
      </c>
      <c r="G1679" s="3" t="inlineStr">
        <is>
          <t/>
        </is>
      </c>
      <c r="H1679" s="3" t="inlineStr">
        <is>
          <t>Anthony Suarez (veeva.com)</t>
        </is>
      </c>
      <c r="I1679" s="3" t="inlineStr">
        <is>
          <t>Debhora Garcia</t>
        </is>
      </c>
      <c r="J1679" s="4" t="n">
        <v>45785.94974537037</v>
      </c>
      <c r="K1679" s="5" t="n">
        <v>45785.0</v>
      </c>
      <c r="L1679" s="5" t="n">
        <v>45763.0</v>
      </c>
      <c r="M1679" s="3" t="inlineStr">
        <is>
          <t>Approved</t>
        </is>
      </c>
      <c r="N1679" s="3" t="inlineStr">
        <is>
          <t>Not associated to a milestone</t>
        </is>
      </c>
      <c r="O1679" s="3" t="inlineStr">
        <is>
          <t>42847922MDD3003</t>
        </is>
      </c>
    </row>
    <row r="1680">
      <c r="A1680" s="2" t="str">
        <f>HYPERLINK("https://vtmf.veevavault.com/ui/#doc_info/29073917/1/0", "42847922MDD3003---Trial Team Evidence of Training-16 Apr 2025 (v1.0)")</f>
        <v>42847922MDD3003---Trial Team Evidence of Training-16 Apr 2025 (v1.0)</v>
      </c>
      <c r="B1680" s="3" t="inlineStr">
        <is>
          <t>Trial Management</t>
        </is>
      </c>
      <c r="C1680" s="3" t="inlineStr">
        <is>
          <t>Meetings</t>
        </is>
      </c>
      <c r="D1680" s="3" t="inlineStr">
        <is>
          <t>Trial Team Evidence of Training</t>
        </is>
      </c>
      <c r="E1680" s="3" t="inlineStr">
        <is>
          <t>Lunch_JJ Vendor Sign-In Sheet_OARS 7 LATAM IM_15 - 16 April 202</t>
        </is>
      </c>
      <c r="F1680" s="2" t="str">
        <f>HYPERLINK("https://vtmf.veevavault.com/ui/#doc_info/29073917/1/0", "VTMF-23360397")</f>
        <v>VTMF-23360397</v>
      </c>
      <c r="G1680" s="3" t="inlineStr">
        <is>
          <t/>
        </is>
      </c>
      <c r="H1680" s="3" t="inlineStr">
        <is>
          <t>Anthony Suarez (veeva.com)</t>
        </is>
      </c>
      <c r="I1680" s="3" t="inlineStr">
        <is>
          <t>Debhora Garcia</t>
        </is>
      </c>
      <c r="J1680" s="4" t="n">
        <v>45785.95079861111</v>
      </c>
      <c r="K1680" s="5" t="n">
        <v>45785.0</v>
      </c>
      <c r="L1680" s="5" t="n">
        <v>45763.0</v>
      </c>
      <c r="M1680" s="3" t="inlineStr">
        <is>
          <t>Approved</t>
        </is>
      </c>
      <c r="N1680" s="3" t="inlineStr">
        <is>
          <t>Not associated to a milestone</t>
        </is>
      </c>
      <c r="O1680" s="3" t="inlineStr">
        <is>
          <t>42847922MDD3003</t>
        </is>
      </c>
    </row>
    <row r="1681">
      <c r="A1681" s="2" t="str">
        <f>HYPERLINK("https://vtmf.veevavault.com/ui/#doc_info/29073918/1/0", "42847922MDD3003---Trial Team Evidence of Training-16 Apr 2025 (v1.0)")</f>
        <v>42847922MDD3003---Trial Team Evidence of Training-16 Apr 2025 (v1.0)</v>
      </c>
      <c r="B1681" s="3" t="inlineStr">
        <is>
          <t>Trial Management</t>
        </is>
      </c>
      <c r="C1681" s="3" t="inlineStr">
        <is>
          <t>Meetings</t>
        </is>
      </c>
      <c r="D1681" s="3" t="inlineStr">
        <is>
          <t>Trial Team Evidence of Training</t>
        </is>
      </c>
      <c r="E1681" s="3" t="inlineStr">
        <is>
          <t>Monitors Meeting_JJ Vendor Sign-In Sheet_OARS 7 LATAM IM</t>
        </is>
      </c>
      <c r="F1681" s="2" t="str">
        <f>HYPERLINK("https://vtmf.veevavault.com/ui/#doc_info/29073918/1/0", "VTMF-23360401")</f>
        <v>VTMF-23360401</v>
      </c>
      <c r="G1681" s="3" t="inlineStr">
        <is>
          <t/>
        </is>
      </c>
      <c r="H1681" s="3" t="inlineStr">
        <is>
          <t>Anthony Suarez (veeva.com)</t>
        </is>
      </c>
      <c r="I1681" s="3" t="inlineStr">
        <is>
          <t>Debhora Garcia</t>
        </is>
      </c>
      <c r="J1681" s="4" t="n">
        <v>45785.95178240741</v>
      </c>
      <c r="K1681" s="5" t="n">
        <v>45785.0</v>
      </c>
      <c r="L1681" s="5" t="n">
        <v>45763.0</v>
      </c>
      <c r="M1681" s="3" t="inlineStr">
        <is>
          <t>Approved</t>
        </is>
      </c>
      <c r="N1681" s="3" t="inlineStr">
        <is>
          <t>Not associated to a milestone</t>
        </is>
      </c>
      <c r="O1681" s="3" t="inlineStr">
        <is>
          <t>42847922MDD3003</t>
        </is>
      </c>
    </row>
    <row r="1682">
      <c r="A1682" s="2" t="str">
        <f>HYPERLINK("https://vtmf.veevavault.com/ui/#doc_info/29073920/1/0", "42847922MDD3003---Trial Team Evidence of Training-16 Apr 2025 (v1.0)")</f>
        <v>42847922MDD3003---Trial Team Evidence of Training-16 Apr 2025 (v1.0)</v>
      </c>
      <c r="B1682" s="3" t="inlineStr">
        <is>
          <t>Trial Management</t>
        </is>
      </c>
      <c r="C1682" s="3" t="inlineStr">
        <is>
          <t>Meetings</t>
        </is>
      </c>
      <c r="D1682" s="3" t="inlineStr">
        <is>
          <t>Trial Team Evidence of Training</t>
        </is>
      </c>
      <c r="E1682" s="3" t="inlineStr">
        <is>
          <t>Welcome Dinner_JJ Vendor Sign-In Sheet_OARS 7 LATAM IM</t>
        </is>
      </c>
      <c r="F1682" s="2" t="str">
        <f>HYPERLINK("https://vtmf.veevavault.com/ui/#doc_info/29073920/1/0", "VTMF-23360404")</f>
        <v>VTMF-23360404</v>
      </c>
      <c r="G1682" s="3" t="inlineStr">
        <is>
          <t/>
        </is>
      </c>
      <c r="H1682" s="3" t="inlineStr">
        <is>
          <t>Anthony Suarez (veeva.com)</t>
        </is>
      </c>
      <c r="I1682" s="3" t="inlineStr">
        <is>
          <t>Debhora Garcia</t>
        </is>
      </c>
      <c r="J1682" s="4" t="n">
        <v>45785.95276620371</v>
      </c>
      <c r="K1682" s="5" t="n">
        <v>45785.0</v>
      </c>
      <c r="L1682" s="5" t="n">
        <v>45763.0</v>
      </c>
      <c r="M1682" s="3" t="inlineStr">
        <is>
          <t>Approved</t>
        </is>
      </c>
      <c r="N1682" s="3" t="inlineStr">
        <is>
          <t>Not associated to a milestone</t>
        </is>
      </c>
      <c r="O1682" s="3" t="inlineStr">
        <is>
          <t>42847922MDD3003</t>
        </is>
      </c>
    </row>
    <row r="1683">
      <c r="A1683" s="2" t="str">
        <f>HYPERLINK("https://vtmf.veevavault.com/ui/#doc_info/29073922/1/0", "42847922MDD3003---Trial Team Evidence of Training-16 Apr 2025 (v1.0)")</f>
        <v>42847922MDD3003---Trial Team Evidence of Training-16 Apr 2025 (v1.0)</v>
      </c>
      <c r="B1683" s="3" t="inlineStr">
        <is>
          <t>Trial Management</t>
        </is>
      </c>
      <c r="C1683" s="3" t="inlineStr">
        <is>
          <t>Meetings</t>
        </is>
      </c>
      <c r="D1683" s="3" t="inlineStr">
        <is>
          <t>Trial Team Evidence of Training</t>
        </is>
      </c>
      <c r="E1683" s="3" t="inlineStr">
        <is>
          <t>IM_Day 2_AM Session &amp; Lunch_JJ Vendor Sign-In Sheet_OARS 7 LATAM IM</t>
        </is>
      </c>
      <c r="F1683" s="2" t="str">
        <f>HYPERLINK("https://vtmf.veevavault.com/ui/#doc_info/29073922/1/0", "VTMF-23360542")</f>
        <v>VTMF-23360542</v>
      </c>
      <c r="G1683" s="3" t="inlineStr">
        <is>
          <t/>
        </is>
      </c>
      <c r="H1683" s="3" t="inlineStr">
        <is>
          <t>Anthony Suarez (veeva.com)</t>
        </is>
      </c>
      <c r="I1683" s="3" t="inlineStr">
        <is>
          <t>Debhora Garcia</t>
        </is>
      </c>
      <c r="J1683" s="4" t="n">
        <v>45785.95385416667</v>
      </c>
      <c r="K1683" s="5" t="n">
        <v>45785.0</v>
      </c>
      <c r="L1683" s="5" t="n">
        <v>45763.0</v>
      </c>
      <c r="M1683" s="3" t="inlineStr">
        <is>
          <t>Approved</t>
        </is>
      </c>
      <c r="N1683" s="3" t="inlineStr">
        <is>
          <t>Not associated to a milestone</t>
        </is>
      </c>
      <c r="O1683" s="3" t="inlineStr">
        <is>
          <t>42847922MDD3003</t>
        </is>
      </c>
    </row>
    <row r="1684">
      <c r="A1684" s="2" t="str">
        <f>HYPERLINK("https://vtmf.veevavault.com/ui/#doc_info/29073923/1/0", "42847922MDD3003---Trial Team Evidence of Training-16 Apr 2025 (v1.0)")</f>
        <v>42847922MDD3003---Trial Team Evidence of Training-16 Apr 2025 (v1.0)</v>
      </c>
      <c r="B1684" s="3" t="inlineStr">
        <is>
          <t>Trial Management</t>
        </is>
      </c>
      <c r="C1684" s="3" t="inlineStr">
        <is>
          <t>Meetings</t>
        </is>
      </c>
      <c r="D1684" s="3" t="inlineStr">
        <is>
          <t>Trial Team Evidence of Training</t>
        </is>
      </c>
      <c r="E1684" s="3" t="inlineStr">
        <is>
          <t>IM_Day 2_PM Session_JJ Vendor Sign-In Sheet_OARS 7 LATAM IM</t>
        </is>
      </c>
      <c r="F1684" s="2" t="str">
        <f>HYPERLINK("https://vtmf.veevavault.com/ui/#doc_info/29073923/1/0", "VTMF-23360545")</f>
        <v>VTMF-23360545</v>
      </c>
      <c r="G1684" s="3" t="inlineStr">
        <is>
          <t/>
        </is>
      </c>
      <c r="H1684" s="3" t="inlineStr">
        <is>
          <t>Anthony Suarez (veeva.com)</t>
        </is>
      </c>
      <c r="I1684" s="3" t="inlineStr">
        <is>
          <t>Debhora Garcia</t>
        </is>
      </c>
      <c r="J1684" s="4" t="n">
        <v>45785.95506944445</v>
      </c>
      <c r="K1684" s="5" t="n">
        <v>45785.0</v>
      </c>
      <c r="L1684" s="5" t="n">
        <v>45763.0</v>
      </c>
      <c r="M1684" s="3" t="inlineStr">
        <is>
          <t>Approved</t>
        </is>
      </c>
      <c r="N1684" s="3" t="inlineStr">
        <is>
          <t>Not associated to a milestone</t>
        </is>
      </c>
      <c r="O1684" s="3" t="inlineStr">
        <is>
          <t>42847922MDD3003</t>
        </is>
      </c>
    </row>
    <row r="1685">
      <c r="A1685" s="2" t="str">
        <f>HYPERLINK("https://vtmf.veevavault.com/ui/#doc_info/26183369/1/0", "42847922MDD3003---Trial Team Evidence of Training-17 Apr 2024 (v1.0)")</f>
        <v>42847922MDD3003---Trial Team Evidence of Training-17 Apr 2024 (v1.0)</v>
      </c>
      <c r="B1685" s="3" t="inlineStr">
        <is>
          <t>Trial Management</t>
        </is>
      </c>
      <c r="C1685" s="3" t="inlineStr">
        <is>
          <t>Meetings</t>
        </is>
      </c>
      <c r="D1685" s="3" t="inlineStr">
        <is>
          <t>Trial Team Evidence of Training</t>
        </is>
      </c>
      <c r="E1685" s="3" t="inlineStr">
        <is>
          <t>42847922MDD3003_Greenphire Training_Attendance list_17-Apr-2024</t>
        </is>
      </c>
      <c r="F1685" s="2" t="str">
        <f>HYPERLINK("https://vtmf.veevavault.com/ui/#doc_info/26183369/1/0", "VTMF-20941087")</f>
        <v>VTMF-20941087</v>
      </c>
      <c r="G1685" s="3" t="inlineStr">
        <is>
          <t/>
        </is>
      </c>
      <c r="H1685" s="3" t="inlineStr">
        <is>
          <t>System</t>
        </is>
      </c>
      <c r="I1685" s="3" t="inlineStr">
        <is>
          <t>Debhora Garcia</t>
        </is>
      </c>
      <c r="J1685" s="4" t="n">
        <v>45405.07226851852</v>
      </c>
      <c r="K1685" s="5" t="n">
        <v>45404.0</v>
      </c>
      <c r="L1685" s="5" t="n">
        <v>45399.0</v>
      </c>
      <c r="M1685" s="3" t="inlineStr">
        <is>
          <t>Approved</t>
        </is>
      </c>
      <c r="N1685" s="3" t="inlineStr">
        <is>
          <t>Not associated to a milestone</t>
        </is>
      </c>
      <c r="O1685" s="3" t="inlineStr">
        <is>
          <t>42847922MDD3003</t>
        </is>
      </c>
    </row>
    <row r="1686">
      <c r="A1686" s="2" t="str">
        <f>HYPERLINK("https://vtmf.veevavault.com/ui/#doc_info/26698855/1/0", "42847922MDD3003---Trial Team Training Material-01 May 2024 (v1.0)")</f>
        <v>42847922MDD3003---Trial Team Training Material-01 May 2024 (v1.0)</v>
      </c>
      <c r="B1686" s="3" t="inlineStr">
        <is>
          <t>Trial Management</t>
        </is>
      </c>
      <c r="C1686" s="3" t="inlineStr">
        <is>
          <t>Meetings</t>
        </is>
      </c>
      <c r="D1686" s="3" t="inlineStr">
        <is>
          <t>Trial Team Training Material</t>
        </is>
      </c>
      <c r="E1686" s="3" t="inlineStr">
        <is>
          <t>JJIM Seltorexant 42847922MDD3003_ATRQ_v1.0_Final_01May2024</t>
        </is>
      </c>
      <c r="F1686" s="2" t="str">
        <f>HYPERLINK("https://vtmf.veevavault.com/ui/#doc_info/26698855/1/0", "VTMF-21391691")</f>
        <v>VTMF-21391691</v>
      </c>
      <c r="G1686" s="3" t="inlineStr">
        <is>
          <t/>
        </is>
      </c>
      <c r="H1686" s="3" t="inlineStr">
        <is>
          <t>System</t>
        </is>
      </c>
      <c r="I1686" s="3" t="inlineStr">
        <is>
          <t>Gina Stefanelli</t>
        </is>
      </c>
      <c r="J1686" s="4" t="n">
        <v>45485.60480324074</v>
      </c>
      <c r="K1686" s="5" t="n">
        <v>45485.0</v>
      </c>
      <c r="L1686" s="5" t="n">
        <v>45413.0</v>
      </c>
      <c r="M1686" s="3" t="inlineStr">
        <is>
          <t>Approved</t>
        </is>
      </c>
      <c r="N1686" s="3" t="inlineStr">
        <is>
          <t>Study Start</t>
        </is>
      </c>
      <c r="O1686" s="3" t="inlineStr">
        <is>
          <t>42847922MDD3003</t>
        </is>
      </c>
    </row>
    <row r="1687">
      <c r="A1687" s="2" t="str">
        <f>HYPERLINK("https://vtmf.veevavault.com/ui/#doc_info/26541101/1/0", "42847922MDD3003---Trial Team Training Material-02 May 2024 (v1.0)")</f>
        <v>42847922MDD3003---Trial Team Training Material-02 May 2024 (v1.0)</v>
      </c>
      <c r="B1687" s="3" t="inlineStr">
        <is>
          <t>Trial Management</t>
        </is>
      </c>
      <c r="C1687" s="3" t="inlineStr">
        <is>
          <t>Meetings</t>
        </is>
      </c>
      <c r="D1687" s="3" t="inlineStr">
        <is>
          <t>Trial Team Training Material</t>
        </is>
      </c>
      <c r="E1687" s="3" t="inlineStr">
        <is>
          <t>Central Laboratory Services provided by Labcorp v1.0 02May2024.</t>
        </is>
      </c>
      <c r="F1687" s="2" t="str">
        <f>HYPERLINK("https://vtmf.veevavault.com/ui/#doc_info/26541101/1/0", "VTMF-21254242")</f>
        <v>VTMF-21254242</v>
      </c>
      <c r="G1687" s="3" t="inlineStr">
        <is>
          <t/>
        </is>
      </c>
      <c r="H1687" s="3" t="inlineStr">
        <is>
          <t>System</t>
        </is>
      </c>
      <c r="I1687" s="3" t="inlineStr">
        <is>
          <t>Gina Stefanelli</t>
        </is>
      </c>
      <c r="J1687" s="4" t="n">
        <v>45460.9681712963</v>
      </c>
      <c r="K1687" s="5" t="n">
        <v>45460.0</v>
      </c>
      <c r="L1687" s="5" t="n">
        <v>45414.0</v>
      </c>
      <c r="M1687" s="3" t="inlineStr">
        <is>
          <t>Approved</t>
        </is>
      </c>
      <c r="N1687" s="3" t="inlineStr">
        <is>
          <t>Study Start</t>
        </is>
      </c>
      <c r="O1687" s="3" t="inlineStr">
        <is>
          <t>42847922MDD3003</t>
        </is>
      </c>
    </row>
    <row r="1688">
      <c r="A1688" s="2" t="str">
        <f>HYPERLINK("https://vtmf.veevavault.com/ui/#doc_info/26698721/1/0", "42847922MDD3003---Trial Team Training Material-03 Jun 2024 (v1.0)")</f>
        <v>42847922MDD3003---Trial Team Training Material-03 Jun 2024 (v1.0)</v>
      </c>
      <c r="B1688" s="3" t="inlineStr">
        <is>
          <t>Trial Management</t>
        </is>
      </c>
      <c r="C1688" s="3" t="inlineStr">
        <is>
          <t>Meetings</t>
        </is>
      </c>
      <c r="D1688" s="3" t="inlineStr">
        <is>
          <t>Trial Team Training Material</t>
        </is>
      </c>
      <c r="E1688" s="3" t="inlineStr">
        <is>
          <t>JJIM Seltorexant 42847922MDD3003_Cronos Services Overview_v1.0_Final_03Jun2024.</t>
        </is>
      </c>
      <c r="F1688" s="2" t="str">
        <f>HYPERLINK("https://vtmf.veevavault.com/ui/#doc_info/26698721/1/0", "VTMF-21391546")</f>
        <v>VTMF-21391546</v>
      </c>
      <c r="G1688" s="3" t="inlineStr">
        <is>
          <t/>
        </is>
      </c>
      <c r="H1688" s="3" t="inlineStr">
        <is>
          <t>System</t>
        </is>
      </c>
      <c r="I1688" s="3" t="inlineStr">
        <is>
          <t>Gina Stefanelli</t>
        </is>
      </c>
      <c r="J1688" s="4" t="n">
        <v>45485.59025462963</v>
      </c>
      <c r="K1688" s="5" t="n">
        <v>45485.0</v>
      </c>
      <c r="L1688" s="5" t="n">
        <v>45446.0</v>
      </c>
      <c r="M1688" s="3" t="inlineStr">
        <is>
          <t>Approved</t>
        </is>
      </c>
      <c r="N1688" s="3" t="inlineStr">
        <is>
          <t>Study Start</t>
        </is>
      </c>
      <c r="O1688" s="3" t="inlineStr">
        <is>
          <t>42847922MDD3003</t>
        </is>
      </c>
    </row>
    <row r="1689">
      <c r="A1689" s="2" t="str">
        <f>HYPERLINK("https://vtmf.veevavault.com/ui/#doc_info/26698818/1/0", "42847922MDD3003---Trial Team Training Material-03 Jun 2024 (v1.0)")</f>
        <v>42847922MDD3003---Trial Team Training Material-03 Jun 2024 (v1.0)</v>
      </c>
      <c r="B1689" s="3" t="inlineStr">
        <is>
          <t>Trial Management</t>
        </is>
      </c>
      <c r="C1689" s="3" t="inlineStr">
        <is>
          <t>Meetings</t>
        </is>
      </c>
      <c r="D1689" s="3" t="inlineStr">
        <is>
          <t>Trial Team Training Material</t>
        </is>
      </c>
      <c r="E1689" s="3" t="inlineStr">
        <is>
          <t>JJIM Seltorexant 42847922MDD3003_CGI-S_Protocol Specific_v1.0_Final_03Jun2024.</t>
        </is>
      </c>
      <c r="F1689" s="2" t="str">
        <f>HYPERLINK("https://vtmf.veevavault.com/ui/#doc_info/26698818/1/0", "VTMF-21391604")</f>
        <v>VTMF-21391604</v>
      </c>
      <c r="G1689" s="3" t="inlineStr">
        <is>
          <t/>
        </is>
      </c>
      <c r="H1689" s="3" t="inlineStr">
        <is>
          <t>System</t>
        </is>
      </c>
      <c r="I1689" s="3" t="inlineStr">
        <is>
          <t>Gina Stefanelli</t>
        </is>
      </c>
      <c r="J1689" s="4" t="n">
        <v>45485.597349537034</v>
      </c>
      <c r="K1689" s="5" t="n">
        <v>45485.0</v>
      </c>
      <c r="L1689" s="5" t="n">
        <v>45446.0</v>
      </c>
      <c r="M1689" s="3" t="inlineStr">
        <is>
          <t>Approved</t>
        </is>
      </c>
      <c r="N1689" s="3" t="inlineStr">
        <is>
          <t>Study Start</t>
        </is>
      </c>
      <c r="O1689" s="3" t="inlineStr">
        <is>
          <t>42847922MDD3003</t>
        </is>
      </c>
    </row>
    <row r="1690">
      <c r="A1690" s="2" t="str">
        <f>HYPERLINK("https://vtmf.veevavault.com/ui/#doc_info/26698834/1/0", "42847922MDD3003---Trial Team Training Material-03 Jun 2024 (v1.0)")</f>
        <v>42847922MDD3003---Trial Team Training Material-03 Jun 2024 (v1.0)</v>
      </c>
      <c r="B1690" s="3" t="inlineStr">
        <is>
          <t>Trial Management</t>
        </is>
      </c>
      <c r="C1690" s="3" t="inlineStr">
        <is>
          <t>Meetings</t>
        </is>
      </c>
      <c r="D1690" s="3" t="inlineStr">
        <is>
          <t>Trial Team Training Material</t>
        </is>
      </c>
      <c r="E1690" s="3" t="inlineStr">
        <is>
          <t>JJIM_4MDD_Cronos Placebo Response Mitigation Training_v1.0_Final_03Jun2024.</t>
        </is>
      </c>
      <c r="F1690" s="2" t="str">
        <f>HYPERLINK("https://vtmf.veevavault.com/ui/#doc_info/26698834/1/0", "VTMF-21391656")</f>
        <v>VTMF-21391656</v>
      </c>
      <c r="G1690" s="3" t="inlineStr">
        <is>
          <t/>
        </is>
      </c>
      <c r="H1690" s="3" t="inlineStr">
        <is>
          <t>System</t>
        </is>
      </c>
      <c r="I1690" s="3" t="inlineStr">
        <is>
          <t>Gina Stefanelli</t>
        </is>
      </c>
      <c r="J1690" s="4" t="n">
        <v>45485.60181712963</v>
      </c>
      <c r="K1690" s="5" t="n">
        <v>45485.0</v>
      </c>
      <c r="L1690" s="5" t="n">
        <v>45446.0</v>
      </c>
      <c r="M1690" s="3" t="inlineStr">
        <is>
          <t>Approved</t>
        </is>
      </c>
      <c r="N1690" s="3" t="inlineStr">
        <is>
          <t>Study Start</t>
        </is>
      </c>
      <c r="O1690" s="3" t="inlineStr">
        <is>
          <t>42847922MDD3003</t>
        </is>
      </c>
    </row>
    <row r="1691">
      <c r="A1691" s="2" t="str">
        <f>HYPERLINK("https://vtmf.veevavault.com/ui/#doc_info/26698859/1/0", "42847922MDD3003---Trial Team Training Material-03 Jun 2024 (v1.0)")</f>
        <v>42847922MDD3003---Trial Team Training Material-03 Jun 2024 (v1.0)</v>
      </c>
      <c r="B1691" s="3" t="inlineStr">
        <is>
          <t>Trial Management</t>
        </is>
      </c>
      <c r="C1691" s="3" t="inlineStr">
        <is>
          <t>Meetings</t>
        </is>
      </c>
      <c r="D1691" s="3" t="inlineStr">
        <is>
          <t>Trial Team Training Material</t>
        </is>
      </c>
      <c r="E1691" s="3" t="inlineStr">
        <is>
          <t>JJIM Seltorexant 42847922MDD3003_SCID-5-CT_Protocol Specific_v1.0_Final_03Jun2024</t>
        </is>
      </c>
      <c r="F1691" s="2" t="str">
        <f>HYPERLINK("https://vtmf.veevavault.com/ui/#doc_info/26698859/1/0", "VTMF-21391702")</f>
        <v>VTMF-21391702</v>
      </c>
      <c r="G1691" s="3" t="inlineStr">
        <is>
          <t/>
        </is>
      </c>
      <c r="H1691" s="3" t="inlineStr">
        <is>
          <t>System</t>
        </is>
      </c>
      <c r="I1691" s="3" t="inlineStr">
        <is>
          <t>Gina Stefanelli</t>
        </is>
      </c>
      <c r="J1691" s="4" t="n">
        <v>45485.60668981481</v>
      </c>
      <c r="K1691" s="5" t="n">
        <v>45485.0</v>
      </c>
      <c r="L1691" s="5" t="n">
        <v>45446.0</v>
      </c>
      <c r="M1691" s="3" t="inlineStr">
        <is>
          <t>Approved</t>
        </is>
      </c>
      <c r="N1691" s="3" t="inlineStr">
        <is>
          <t>Study Start</t>
        </is>
      </c>
      <c r="O1691" s="3" t="inlineStr">
        <is>
          <t>42847922MDD3003</t>
        </is>
      </c>
    </row>
    <row r="1692">
      <c r="A1692" s="2" t="str">
        <f>HYPERLINK("https://vtmf.veevavault.com/ui/#doc_info/26698981/1/0", "42847922MDD3003---Trial Team Training Material-03 Jun 2024 (v1.0)")</f>
        <v>42847922MDD3003---Trial Team Training Material-03 Jun 2024 (v1.0)</v>
      </c>
      <c r="B1692" s="3" t="inlineStr">
        <is>
          <t>Trial Management</t>
        </is>
      </c>
      <c r="C1692" s="3" t="inlineStr">
        <is>
          <t>Meetings</t>
        </is>
      </c>
      <c r="D1692" s="3" t="inlineStr">
        <is>
          <t>Trial Team Training Material</t>
        </is>
      </c>
      <c r="E1692" s="3" t="inlineStr">
        <is>
          <t>JJIM Seltorexant 42847922MDD3003_SIGMA_Protocol Specific_v1.0_Final_03Jun2024</t>
        </is>
      </c>
      <c r="F1692" s="2" t="str">
        <f>HYPERLINK("https://vtmf.veevavault.com/ui/#doc_info/26698981/1/0", "VTMF-21391798")</f>
        <v>VTMF-21391798</v>
      </c>
      <c r="G1692" s="3" t="inlineStr">
        <is>
          <t/>
        </is>
      </c>
      <c r="H1692" s="3" t="inlineStr">
        <is>
          <t>System</t>
        </is>
      </c>
      <c r="I1692" s="3" t="inlineStr">
        <is>
          <t>Gina Stefanelli</t>
        </is>
      </c>
      <c r="J1692" s="4" t="n">
        <v>45485.61399305556</v>
      </c>
      <c r="K1692" s="5" t="n">
        <v>45485.0</v>
      </c>
      <c r="L1692" s="5" t="n">
        <v>45446.0</v>
      </c>
      <c r="M1692" s="3" t="inlineStr">
        <is>
          <t>Approved</t>
        </is>
      </c>
      <c r="N1692" s="3" t="inlineStr">
        <is>
          <t>Study Start</t>
        </is>
      </c>
      <c r="O1692" s="3" t="inlineStr">
        <is>
          <t>42847922MDD3003</t>
        </is>
      </c>
    </row>
    <row r="1693">
      <c r="A1693" s="2" t="str">
        <f>HYPERLINK("https://vtmf.veevavault.com/ui/#doc_info/29841633/1/0", "42847922MDD3003---Trial Team Training Material-05 Aug 2025 (v1.0)")</f>
        <v>42847922MDD3003---Trial Team Training Material-05 Aug 2025 (v1.0)</v>
      </c>
      <c r="B1693" s="3" t="inlineStr">
        <is>
          <t>Trial Management</t>
        </is>
      </c>
      <c r="C1693" s="3" t="inlineStr">
        <is>
          <t>Meetings</t>
        </is>
      </c>
      <c r="D1693" s="3" t="inlineStr">
        <is>
          <t>Trial Team Training Material</t>
        </is>
      </c>
      <c r="E1693" s="3" t="inlineStr">
        <is>
          <t>Site Training Material-DM Slides 05Aug2025 UPDATE IM integration</t>
        </is>
      </c>
      <c r="F1693" s="2" t="str">
        <f>HYPERLINK("https://vtmf.veevavault.com/ui/#doc_info/29841633/1/0", "VTMF-24017224")</f>
        <v>VTMF-24017224</v>
      </c>
      <c r="G1693" s="3" t="inlineStr">
        <is>
          <t/>
        </is>
      </c>
      <c r="H1693" s="3" t="inlineStr">
        <is>
          <t>System</t>
        </is>
      </c>
      <c r="I1693" s="3" t="inlineStr">
        <is>
          <t>Gina Stefanelli</t>
        </is>
      </c>
      <c r="J1693" s="4" t="n">
        <v>45896.806296296294</v>
      </c>
      <c r="K1693" s="5" t="n">
        <v>45896.0</v>
      </c>
      <c r="L1693" s="5" t="n">
        <v>45874.0</v>
      </c>
      <c r="M1693" s="3" t="inlineStr">
        <is>
          <t>Approved</t>
        </is>
      </c>
      <c r="N1693" s="3" t="inlineStr">
        <is>
          <t>Study Start</t>
        </is>
      </c>
      <c r="O1693" s="3" t="inlineStr">
        <is>
          <t>42847922MDD3003</t>
        </is>
      </c>
    </row>
    <row r="1694">
      <c r="A1694" s="2" t="str">
        <f>HYPERLINK("https://vtmf.veevavault.com/ui/#doc_info/26547531/1/0", "42847922MDD3003---Trial Team Training Material-07 Jun 2024 (v1.0)")</f>
        <v>42847922MDD3003---Trial Team Training Material-07 Jun 2024 (v1.0)</v>
      </c>
      <c r="B1694" s="3" t="inlineStr">
        <is>
          <t>Trial Management</t>
        </is>
      </c>
      <c r="C1694" s="3" t="inlineStr">
        <is>
          <t>Meetings</t>
        </is>
      </c>
      <c r="D1694" s="3" t="inlineStr">
        <is>
          <t>Trial Team Training Material</t>
        </is>
      </c>
      <c r="E1694" s="3" t="inlineStr">
        <is>
          <t>Clario ECG Training 07 June 2024</t>
        </is>
      </c>
      <c r="F1694" s="2" t="str">
        <f>HYPERLINK("https://vtmf.veevavault.com/ui/#doc_info/26547531/1/0", "VTMF-21259924")</f>
        <v>VTMF-21259924</v>
      </c>
      <c r="G1694" s="3" t="inlineStr">
        <is>
          <t/>
        </is>
      </c>
      <c r="H1694" s="3" t="inlineStr">
        <is>
          <t>Anthony Suarez (veeva.com)</t>
        </is>
      </c>
      <c r="I1694" s="3" t="inlineStr">
        <is>
          <t>Gina Stefanelli</t>
        </is>
      </c>
      <c r="J1694" s="4" t="n">
        <v>45461.720613425925</v>
      </c>
      <c r="K1694" s="5" t="n">
        <v>45461.0</v>
      </c>
      <c r="L1694" s="5" t="n">
        <v>45450.0</v>
      </c>
      <c r="M1694" s="3" t="inlineStr">
        <is>
          <t>Approved</t>
        </is>
      </c>
      <c r="N1694" s="3" t="inlineStr">
        <is>
          <t>Study Start</t>
        </is>
      </c>
      <c r="O1694" s="3" t="inlineStr">
        <is>
          <t>42847922MDD3003, 67953964MDD3005, 67953964MDD3007</t>
        </is>
      </c>
    </row>
    <row r="1695">
      <c r="A1695" s="2" t="str">
        <f>HYPERLINK("https://vtmf.veevavault.com/ui/#doc_info/26088431/1/0", "42847922MDD3003---Trial Team Training Material-08 Apr 2024 (v1.0)")</f>
        <v>42847922MDD3003---Trial Team Training Material-08 Apr 2024 (v1.0)</v>
      </c>
      <c r="B1695" s="3" t="inlineStr">
        <is>
          <t>Trial Management</t>
        </is>
      </c>
      <c r="C1695" s="3" t="inlineStr">
        <is>
          <t>Meetings</t>
        </is>
      </c>
      <c r="D1695" s="3" t="inlineStr">
        <is>
          <t>Trial Team Training Material</t>
        </is>
      </c>
      <c r="E1695" s="3" t="inlineStr">
        <is>
          <t>42847922MDD3003 - Overview of Major Depressive Disorder &amp; Seltorexant_V1.0</t>
        </is>
      </c>
      <c r="F1695" s="2" t="str">
        <f>HYPERLINK("https://vtmf.veevavault.com/ui/#doc_info/26088431/1/0", "VTMF-20857737")</f>
        <v>VTMF-20857737</v>
      </c>
      <c r="G1695" s="3" t="inlineStr">
        <is>
          <t/>
        </is>
      </c>
      <c r="H1695" s="3" t="inlineStr">
        <is>
          <t>System</t>
        </is>
      </c>
      <c r="I1695" s="3" t="inlineStr">
        <is>
          <t>Arturo Munguia</t>
        </is>
      </c>
      <c r="J1695" s="4" t="n">
        <v>45390.80601851852</v>
      </c>
      <c r="K1695" s="5" t="n">
        <v>45390.0</v>
      </c>
      <c r="L1695" s="5" t="n">
        <v>45390.0</v>
      </c>
      <c r="M1695" s="3" t="inlineStr">
        <is>
          <t>Approved</t>
        </is>
      </c>
      <c r="N1695" s="3" t="inlineStr">
        <is>
          <t>Study Start</t>
        </is>
      </c>
      <c r="O1695" s="3" t="inlineStr">
        <is>
          <t>42847922MDD3003</t>
        </is>
      </c>
    </row>
    <row r="1696">
      <c r="A1696" s="2" t="str">
        <f>HYPERLINK("https://vtmf.veevavault.com/ui/#doc_info/25356920/1/0", "42847922MDD3003---Trial Team Training Material-08 Dec 2023 (v1.0)")</f>
        <v>42847922MDD3003---Trial Team Training Material-08 Dec 2023 (v1.0)</v>
      </c>
      <c r="B1696" s="3" t="inlineStr">
        <is>
          <t>Trial Management</t>
        </is>
      </c>
      <c r="C1696" s="3" t="inlineStr">
        <is>
          <t>Meetings</t>
        </is>
      </c>
      <c r="D1696" s="3" t="inlineStr">
        <is>
          <t>Trial Team Training Material</t>
        </is>
      </c>
      <c r="E1696" s="3" t="inlineStr">
        <is>
          <t>MDD2001_MDD3003_MDD3005_MDD3007_Mood Program SQV_Training recording_08Dec2023</t>
        </is>
      </c>
      <c r="F1696" s="2" t="str">
        <f>HYPERLINK("https://vtmf.veevavault.com/ui/#doc_info/25356920/1/0", "VTMF-20215087")</f>
        <v>VTMF-20215087</v>
      </c>
      <c r="G1696" s="3" t="inlineStr">
        <is>
          <t/>
        </is>
      </c>
      <c r="H1696" s="3" t="inlineStr">
        <is>
          <t>Arturo Munguia</t>
        </is>
      </c>
      <c r="I1696" s="3" t="inlineStr">
        <is>
          <t>Tania Cruz</t>
        </is>
      </c>
      <c r="J1696" s="4" t="n">
        <v>45275.92114583333</v>
      </c>
      <c r="K1696" s="5" t="n">
        <v>45275.0</v>
      </c>
      <c r="L1696" s="5" t="n">
        <v>45268.0</v>
      </c>
      <c r="M1696" s="3" t="inlineStr">
        <is>
          <t>Approved</t>
        </is>
      </c>
      <c r="N1696" s="3" t="inlineStr">
        <is>
          <t>Study Start</t>
        </is>
      </c>
      <c r="O1696" s="3" t="inlineStr">
        <is>
          <t>42847922MDD3003, 67953964MDD3005, 67953964MDD3007, 89495120MDD2001</t>
        </is>
      </c>
    </row>
    <row r="1697">
      <c r="A1697" s="2" t="str">
        <f>HYPERLINK("https://vtmf.veevavault.com/ui/#doc_info/26541497/1/0", "42847922MDD3003---Trial Team Training Material-11 Jun 2024 (v1.0)")</f>
        <v>42847922MDD3003---Trial Team Training Material-11 Jun 2024 (v1.0)</v>
      </c>
      <c r="B1697" s="3" t="inlineStr">
        <is>
          <t>Trial Management</t>
        </is>
      </c>
      <c r="C1697" s="3" t="inlineStr">
        <is>
          <t>Meetings</t>
        </is>
      </c>
      <c r="D1697" s="3" t="inlineStr">
        <is>
          <t>Trial Team Training Material</t>
        </is>
      </c>
      <c r="E1697" s="3" t="inlineStr">
        <is>
          <t>Clario Electronic Clinical Outcome Assessment (eCOA) - Train the Trainer Training</t>
        </is>
      </c>
      <c r="F1697" s="2" t="str">
        <f>HYPERLINK("https://vtmf.veevavault.com/ui/#doc_info/26541497/1/0", "VTMF-21254537")</f>
        <v>VTMF-21254537</v>
      </c>
      <c r="G1697" s="3" t="inlineStr">
        <is>
          <t/>
        </is>
      </c>
      <c r="H1697" s="3" t="inlineStr">
        <is>
          <t>Gina Stefanelli</t>
        </is>
      </c>
      <c r="I1697" s="3" t="inlineStr">
        <is>
          <t>Gina Stefanelli</t>
        </is>
      </c>
      <c r="J1697" s="4" t="n">
        <v>45461.089270833334</v>
      </c>
      <c r="K1697" s="5" t="n">
        <v>45460.0</v>
      </c>
      <c r="L1697" s="5" t="n">
        <v>45454.0</v>
      </c>
      <c r="M1697" s="3" t="inlineStr">
        <is>
          <t>Approved</t>
        </is>
      </c>
      <c r="N1697" s="3" t="inlineStr">
        <is>
          <t>Study Start</t>
        </is>
      </c>
      <c r="O1697" s="3" t="inlineStr">
        <is>
          <t>42847922MDD3003</t>
        </is>
      </c>
    </row>
    <row r="1698">
      <c r="A1698" s="2" t="str">
        <f>HYPERLINK("https://vtmf.veevavault.com/ui/#doc_info/26616275/1/0", "42847922MDD3003---Trial Team Training Material-12 Jun 2024 (v1.0)")</f>
        <v>42847922MDD3003---Trial Team Training Material-12 Jun 2024 (v1.0)</v>
      </c>
      <c r="B1698" s="3" t="inlineStr">
        <is>
          <t>Trial Management</t>
        </is>
      </c>
      <c r="C1698" s="3" t="inlineStr">
        <is>
          <t>Meetings</t>
        </is>
      </c>
      <c r="D1698" s="3" t="inlineStr">
        <is>
          <t>Trial Team Training Material</t>
        </is>
      </c>
      <c r="E1698" s="3" t="inlineStr">
        <is>
          <t>Janssen JNJ42847922 (Seltorexant) CTNI IM Slides 12JUne 2024.</t>
        </is>
      </c>
      <c r="F1698" s="2" t="str">
        <f>HYPERLINK("https://vtmf.veevavault.com/ui/#doc_info/26616275/1/0", "VTMF-21319464")</f>
        <v>VTMF-21319464</v>
      </c>
      <c r="G1698" s="3" t="inlineStr">
        <is>
          <t/>
        </is>
      </c>
      <c r="H1698" s="3" t="inlineStr">
        <is>
          <t>System</t>
        </is>
      </c>
      <c r="I1698" s="3" t="inlineStr">
        <is>
          <t>Gina Stefanelli</t>
        </is>
      </c>
      <c r="J1698" s="4" t="n">
        <v>45471.6358912037</v>
      </c>
      <c r="K1698" s="5" t="n">
        <v>45471.0</v>
      </c>
      <c r="L1698" s="5" t="n">
        <v>45455.0</v>
      </c>
      <c r="M1698" s="3" t="inlineStr">
        <is>
          <t>Approved</t>
        </is>
      </c>
      <c r="N1698" s="3" t="inlineStr">
        <is>
          <t>Study Start</t>
        </is>
      </c>
      <c r="O1698" s="3" t="inlineStr">
        <is>
          <t>42847922MDD3003</t>
        </is>
      </c>
    </row>
    <row r="1699">
      <c r="A1699" s="2" t="str">
        <f>HYPERLINK("https://vtmf.veevavault.com/ui/#doc_info/27470200/2/0", "42847922MDD3003---Trial Team Training Material-12 Nov 2024 (v2.0)")</f>
        <v>42847922MDD3003---Trial Team Training Material-12 Nov 2024 (v2.0)</v>
      </c>
      <c r="B1699" s="3" t="inlineStr">
        <is>
          <t>Trial Management</t>
        </is>
      </c>
      <c r="C1699" s="3" t="inlineStr">
        <is>
          <t>Meetings</t>
        </is>
      </c>
      <c r="D1699" s="3" t="inlineStr">
        <is>
          <t>Trial Team Training Material</t>
        </is>
      </c>
      <c r="E1699" s="3" t="inlineStr">
        <is>
          <t>SIV Operational Training EU countries</t>
        </is>
      </c>
      <c r="F1699" s="2" t="str">
        <f>HYPERLINK("https://vtmf.veevavault.com/ui/#doc_info/27470200/2/0", "VTMF-22031390")</f>
        <v>VTMF-22031390</v>
      </c>
      <c r="G1699" s="3" t="inlineStr">
        <is>
          <t/>
        </is>
      </c>
      <c r="H1699" s="3" t="inlineStr">
        <is>
          <t>Anthony Suarez (veeva.com)</t>
        </is>
      </c>
      <c r="I1699" s="3" t="inlineStr">
        <is>
          <t>Kristina Ruzinska</t>
        </is>
      </c>
      <c r="J1699" s="4" t="n">
        <v>45608.81972222222</v>
      </c>
      <c r="K1699" s="5" t="n">
        <v>45608.0</v>
      </c>
      <c r="L1699" s="5" t="n">
        <v>45608.0</v>
      </c>
      <c r="M1699" s="3" t="inlineStr">
        <is>
          <t>Approved</t>
        </is>
      </c>
      <c r="N1699" s="3" t="inlineStr">
        <is>
          <t>Study Start</t>
        </is>
      </c>
      <c r="O1699" s="3" t="inlineStr">
        <is>
          <t>42847922MDD3003</t>
        </is>
      </c>
    </row>
    <row r="1700">
      <c r="A1700" s="2" t="str">
        <f>HYPERLINK("https://vtmf.veevavault.com/ui/#doc_info/27328149/1/0", "42847922MDD3003---Trial Team Training Material-12 Sep 2024 (v1.0)")</f>
        <v>42847922MDD3003---Trial Team Training Material-12 Sep 2024 (v1.0)</v>
      </c>
      <c r="B1700" s="3" t="inlineStr">
        <is>
          <t>Trial Management</t>
        </is>
      </c>
      <c r="C1700" s="3" t="inlineStr">
        <is>
          <t>Meetings</t>
        </is>
      </c>
      <c r="D1700" s="3" t="inlineStr">
        <is>
          <t>Trial Team Training Material</t>
        </is>
      </c>
      <c r="E1700" s="3" t="inlineStr">
        <is>
          <t>42847922MDD3003 Compound and Protocol training PA2</t>
        </is>
      </c>
      <c r="F1700" s="2" t="str">
        <f>HYPERLINK("https://vtmf.veevavault.com/ui/#doc_info/27328149/1/0", "VTMF-21920818")</f>
        <v>VTMF-21920818</v>
      </c>
      <c r="G1700" s="3" t="inlineStr">
        <is>
          <t/>
        </is>
      </c>
      <c r="H1700" s="3" t="inlineStr">
        <is>
          <t>Anthony Suarez (veeva.com)</t>
        </is>
      </c>
      <c r="I1700" s="3" t="inlineStr">
        <is>
          <t>Gina Stefanelli</t>
        </is>
      </c>
      <c r="J1700" s="4" t="n">
        <v>45589.64393518519</v>
      </c>
      <c r="K1700" s="5" t="n">
        <v>45589.0</v>
      </c>
      <c r="L1700" s="5" t="n">
        <v>45547.0</v>
      </c>
      <c r="M1700" s="3" t="inlineStr">
        <is>
          <t>Approved</t>
        </is>
      </c>
      <c r="N1700" s="3" t="inlineStr">
        <is>
          <t>Study Start</t>
        </is>
      </c>
      <c r="O1700" s="3" t="inlineStr">
        <is>
          <t>42847922MDD3003</t>
        </is>
      </c>
    </row>
    <row r="1701">
      <c r="A1701" s="2" t="str">
        <f>HYPERLINK("https://vtmf.veevavault.com/ui/#doc_info/27540780/1/0", "42847922MDD3003---Trial Team Training Material-13 Nov 2024 (v1.0)")</f>
        <v>42847922MDD3003---Trial Team Training Material-13 Nov 2024 (v1.0)</v>
      </c>
      <c r="B1701" s="3" t="inlineStr">
        <is>
          <t>Trial Management</t>
        </is>
      </c>
      <c r="C1701" s="3" t="inlineStr">
        <is>
          <t>Meetings</t>
        </is>
      </c>
      <c r="D1701" s="3" t="inlineStr">
        <is>
          <t>Trial Team Training Material</t>
        </is>
      </c>
      <c r="E1701" s="3" t="inlineStr">
        <is>
          <t>42847922MDD3003 Protocol Amendment.2 training V2.0</t>
        </is>
      </c>
      <c r="F1701" s="2" t="str">
        <f>HYPERLINK("https://vtmf.veevavault.com/ui/#doc_info/27540780/1/0", "VTMF-22092505")</f>
        <v>VTMF-22092505</v>
      </c>
      <c r="G1701" s="3" t="inlineStr">
        <is>
          <t/>
        </is>
      </c>
      <c r="H1701" s="3" t="inlineStr">
        <is>
          <t>System</t>
        </is>
      </c>
      <c r="I1701" s="3" t="inlineStr">
        <is>
          <t>Gina Stefanelli</t>
        </is>
      </c>
      <c r="J1701" s="4" t="n">
        <v>45616.76393518518</v>
      </c>
      <c r="K1701" s="5" t="n">
        <v>45616.0</v>
      </c>
      <c r="L1701" s="5" t="n">
        <v>45609.0</v>
      </c>
      <c r="M1701" s="3" t="inlineStr">
        <is>
          <t>Approved</t>
        </is>
      </c>
      <c r="N1701" s="3" t="inlineStr">
        <is>
          <t>Study Start</t>
        </is>
      </c>
      <c r="O1701" s="3" t="inlineStr">
        <is>
          <t>42847922MDD3003</t>
        </is>
      </c>
    </row>
    <row r="1702">
      <c r="A1702" s="2" t="str">
        <f>HYPERLINK("https://vtmf.veevavault.com/ui/#doc_info/25356201/1/0", "42847922MDD3003---Trial Team Training Material-15 Dec 2023 (v1.0)")</f>
        <v>42847922MDD3003---Trial Team Training Material-15 Dec 2023 (v1.0)</v>
      </c>
      <c r="B1702" s="3" t="inlineStr">
        <is>
          <t>Trial Management</t>
        </is>
      </c>
      <c r="C1702" s="3" t="inlineStr">
        <is>
          <t>Meetings</t>
        </is>
      </c>
      <c r="D1702" s="3" t="inlineStr">
        <is>
          <t>Trial Team Training Material</t>
        </is>
      </c>
      <c r="E1702" s="3" t="inlineStr">
        <is>
          <t>MDD2001_MDD3003_MDD3005_MDD3007_Final SQV Slide Deck Training_15-Dec-2023</t>
        </is>
      </c>
      <c r="F1702" s="2" t="str">
        <f>HYPERLINK("https://vtmf.veevavault.com/ui/#doc_info/25356201/1/0", "VTMF-20214477")</f>
        <v>VTMF-20214477</v>
      </c>
      <c r="G1702" s="3" t="inlineStr">
        <is>
          <t/>
        </is>
      </c>
      <c r="H1702" s="3" t="inlineStr">
        <is>
          <t>Anthony Suarez (veeva.com)</t>
        </is>
      </c>
      <c r="I1702" s="3" t="inlineStr">
        <is>
          <t>Arturo Munguia</t>
        </is>
      </c>
      <c r="J1702" s="4" t="n">
        <v>45275.79929398148</v>
      </c>
      <c r="K1702" s="5" t="n">
        <v>45275.0</v>
      </c>
      <c r="L1702" s="5" t="n">
        <v>45275.0</v>
      </c>
      <c r="M1702" s="3" t="inlineStr">
        <is>
          <t>Approved</t>
        </is>
      </c>
      <c r="N1702" s="3" t="inlineStr">
        <is>
          <t>Study Start</t>
        </is>
      </c>
      <c r="O1702" s="3" t="inlineStr">
        <is>
          <t>42847922MDD3003, 67953964MDD3005, 67953964MDD3007, 89495120MDD2001</t>
        </is>
      </c>
    </row>
    <row r="1703">
      <c r="A1703" s="2" t="str">
        <f>HYPERLINK("https://vtmf.veevavault.com/ui/#doc_info/25356916/1/0", "42847922MDD3003---Trial Team Training Material-15 Dec 2023 (v1.0)")</f>
        <v>42847922MDD3003---Trial Team Training Material-15 Dec 2023 (v1.0)</v>
      </c>
      <c r="B1703" s="3" t="inlineStr">
        <is>
          <t>Trial Management</t>
        </is>
      </c>
      <c r="C1703" s="3" t="inlineStr">
        <is>
          <t>Meetings</t>
        </is>
      </c>
      <c r="D1703" s="3" t="inlineStr">
        <is>
          <t>Trial Team Training Material</t>
        </is>
      </c>
      <c r="E1703" s="3" t="inlineStr">
        <is>
          <t>MDD2001_MDD3003_MDD3005_MDD3007_Mood Program SQV_Training recording_15Dec2023</t>
        </is>
      </c>
      <c r="F1703" s="2" t="str">
        <f>HYPERLINK("https://vtmf.veevavault.com/ui/#doc_info/25356916/1/0", "VTMF-20215084")</f>
        <v>VTMF-20215084</v>
      </c>
      <c r="G1703" s="3" t="inlineStr">
        <is>
          <t/>
        </is>
      </c>
      <c r="H1703" s="3" t="inlineStr">
        <is>
          <t>Arturo Munguia</t>
        </is>
      </c>
      <c r="I1703" s="3" t="inlineStr">
        <is>
          <t>Tania Cruz</t>
        </is>
      </c>
      <c r="J1703" s="4" t="n">
        <v>45275.92114583333</v>
      </c>
      <c r="K1703" s="5" t="n">
        <v>45275.0</v>
      </c>
      <c r="L1703" s="5" t="n">
        <v>45275.0</v>
      </c>
      <c r="M1703" s="3" t="inlineStr">
        <is>
          <t>Approved</t>
        </is>
      </c>
      <c r="N1703" s="3" t="inlineStr">
        <is>
          <t>Study Start</t>
        </is>
      </c>
      <c r="O1703" s="3" t="inlineStr">
        <is>
          <t>42847922MDD3003, 67953964MDD3005, 67953964MDD3007, 89495120MDD2001</t>
        </is>
      </c>
    </row>
    <row r="1704">
      <c r="A1704" s="2" t="str">
        <f>HYPERLINK("https://vtmf.veevavault.com/ui/#doc_info/26677595/1/0", "42847922MDD3003---Trial Team Training Material-15 Dec 2023 (v1.0)")</f>
        <v>42847922MDD3003---Trial Team Training Material-15 Dec 2023 (v1.0)</v>
      </c>
      <c r="B1704" s="3" t="inlineStr">
        <is>
          <t>Trial Management</t>
        </is>
      </c>
      <c r="C1704" s="3" t="inlineStr">
        <is>
          <t>Meetings</t>
        </is>
      </c>
      <c r="D1704" s="3" t="inlineStr">
        <is>
          <t>Trial Team Training Material</t>
        </is>
      </c>
      <c r="E1704" s="3" t="inlineStr">
        <is>
          <t>Site Qualification Visit (SQV) Training Presentation, 15 December 2023</t>
        </is>
      </c>
      <c r="F1704" s="2" t="str">
        <f>HYPERLINK("https://vtmf.veevavault.com/ui/#doc_info/26677595/1/0", "VTMF-21372913")</f>
        <v>VTMF-21372913</v>
      </c>
      <c r="G1704" s="3" t="inlineStr">
        <is>
          <t/>
        </is>
      </c>
      <c r="H1704" s="3" t="inlineStr">
        <is>
          <t>Gina Stefanelli</t>
        </is>
      </c>
      <c r="I1704" s="3" t="inlineStr">
        <is>
          <t>Gina Stefanelli</t>
        </is>
      </c>
      <c r="J1704" s="4" t="n">
        <v>45483.11420138889</v>
      </c>
      <c r="K1704" s="5" t="n">
        <v>45482.0</v>
      </c>
      <c r="L1704" s="5" t="n">
        <v>45275.0</v>
      </c>
      <c r="M1704" s="3" t="inlineStr">
        <is>
          <t>Approved</t>
        </is>
      </c>
      <c r="N1704" s="3" t="inlineStr">
        <is>
          <t>Study Start</t>
        </is>
      </c>
      <c r="O1704" s="3" t="inlineStr">
        <is>
          <t>42847922MDD3003, 67953964MDD3005, 67953964MDD3007, 89495120MDD2001</t>
        </is>
      </c>
    </row>
    <row r="1705">
      <c r="A1705" s="2" t="str">
        <f>HYPERLINK("https://vtmf.veevavault.com/ui/#doc_info/26698825/1/0", "42847922MDD3003---Trial Team Training Material-15 May 2024 (v1.0)")</f>
        <v>42847922MDD3003---Trial Team Training Material-15 May 2024 (v1.0)</v>
      </c>
      <c r="B1705" s="3" t="inlineStr">
        <is>
          <t>Trial Management</t>
        </is>
      </c>
      <c r="C1705" s="3" t="inlineStr">
        <is>
          <t>Meetings</t>
        </is>
      </c>
      <c r="D1705" s="3" t="inlineStr">
        <is>
          <t>Trial Team Training Material</t>
        </is>
      </c>
      <c r="E1705" s="3" t="inlineStr">
        <is>
          <t>Janssen_42847922MDD3003_4G_Site_User_Training_Presentation_Final_v1.0_20240515.</t>
        </is>
      </c>
      <c r="F1705" s="2" t="str">
        <f>HYPERLINK("https://vtmf.veevavault.com/ui/#doc_info/26698825/1/0", "VTMF-21391623")</f>
        <v>VTMF-21391623</v>
      </c>
      <c r="G1705" s="3" t="inlineStr">
        <is>
          <t/>
        </is>
      </c>
      <c r="H1705" s="3" t="inlineStr">
        <is>
          <t>System</t>
        </is>
      </c>
      <c r="I1705" s="3" t="inlineStr">
        <is>
          <t>Gina Stefanelli</t>
        </is>
      </c>
      <c r="J1705" s="4" t="n">
        <v>45485.59873842593</v>
      </c>
      <c r="K1705" s="5" t="n">
        <v>45485.0</v>
      </c>
      <c r="L1705" s="5" t="n">
        <v>45427.0</v>
      </c>
      <c r="M1705" s="3" t="inlineStr">
        <is>
          <t>Approved</t>
        </is>
      </c>
      <c r="N1705" s="3" t="inlineStr">
        <is>
          <t>Study Start</t>
        </is>
      </c>
      <c r="O1705" s="3" t="inlineStr">
        <is>
          <t>42847922MDD3003</t>
        </is>
      </c>
    </row>
    <row r="1706">
      <c r="A1706" s="2" t="str">
        <f>HYPERLINK("https://vtmf.veevavault.com/ui/#doc_info/27260072/1/0", "42847922MDD3003---Trial Team Training Material-15 Oct 2024 (v1.0)")</f>
        <v>42847922MDD3003---Trial Team Training Material-15 Oct 2024 (v1.0)</v>
      </c>
      <c r="B1706" s="3" t="inlineStr">
        <is>
          <t>Trial Management</t>
        </is>
      </c>
      <c r="C1706" s="3" t="inlineStr">
        <is>
          <t>Meetings</t>
        </is>
      </c>
      <c r="D1706" s="3" t="inlineStr">
        <is>
          <t>Trial Team Training Material</t>
        </is>
      </c>
      <c r="E1706" s="3" t="inlineStr">
        <is>
          <t>SIV Operational training for local teams_Mexico and Turkey</t>
        </is>
      </c>
      <c r="F1706" s="2" t="str">
        <f>HYPERLINK("https://vtmf.veevavault.com/ui/#doc_info/27260072/1/0", "VTMF-21861874")</f>
        <v>VTMF-21861874</v>
      </c>
      <c r="G1706" s="3" t="inlineStr">
        <is>
          <t/>
        </is>
      </c>
      <c r="H1706" s="3" t="inlineStr">
        <is>
          <t>Anthony Suarez (veeva.com)</t>
        </is>
      </c>
      <c r="I1706" s="3" t="inlineStr">
        <is>
          <t>Kristina Ruzinska</t>
        </is>
      </c>
      <c r="J1706" s="4" t="n">
        <v>45580.73993055556</v>
      </c>
      <c r="K1706" s="5" t="n">
        <v>45580.0</v>
      </c>
      <c r="L1706" s="5" t="n">
        <v>45580.0</v>
      </c>
      <c r="M1706" s="3" t="inlineStr">
        <is>
          <t>Approved</t>
        </is>
      </c>
      <c r="N1706" s="3" t="inlineStr">
        <is>
          <t>Study Start</t>
        </is>
      </c>
      <c r="O1706" s="3" t="inlineStr">
        <is>
          <t>42847922MDD3003</t>
        </is>
      </c>
    </row>
    <row r="1707">
      <c r="A1707" s="2" t="str">
        <f>HYPERLINK("https://vtmf.veevavault.com/ui/#doc_info/26183317/1/0", "42847922MDD3003---Trial Team Training Material-17 Apr 2024 (v1.0)")</f>
        <v>42847922MDD3003---Trial Team Training Material-17 Apr 2024 (v1.0)</v>
      </c>
      <c r="B1707" s="3" t="inlineStr">
        <is>
          <t>Trial Management</t>
        </is>
      </c>
      <c r="C1707" s="3" t="inlineStr">
        <is>
          <t>Meetings</t>
        </is>
      </c>
      <c r="D1707" s="3" t="inlineStr">
        <is>
          <t>Trial Team Training Material</t>
        </is>
      </c>
      <c r="E1707" s="3" t="inlineStr">
        <is>
          <t>42847922MDD3003 STAP LTM and SM Training_17Apr2024</t>
        </is>
      </c>
      <c r="F1707" s="2" t="str">
        <f>HYPERLINK("https://vtmf.veevavault.com/ui/#doc_info/26183317/1/0", "VTMF-20940985")</f>
        <v>VTMF-20940985</v>
      </c>
      <c r="G1707" s="3" t="inlineStr">
        <is>
          <t/>
        </is>
      </c>
      <c r="H1707" s="3" t="inlineStr">
        <is>
          <t>System</t>
        </is>
      </c>
      <c r="I1707" s="3" t="inlineStr">
        <is>
          <t>Debhora Garcia</t>
        </is>
      </c>
      <c r="J1707" s="4" t="n">
        <v>45405.01856481482</v>
      </c>
      <c r="K1707" s="5" t="n">
        <v>45404.0</v>
      </c>
      <c r="L1707" s="5" t="n">
        <v>45399.0</v>
      </c>
      <c r="M1707" s="3" t="inlineStr">
        <is>
          <t>Approved</t>
        </is>
      </c>
      <c r="N1707" s="3" t="inlineStr">
        <is>
          <t>Study Start</t>
        </is>
      </c>
      <c r="O1707" s="3" t="inlineStr">
        <is>
          <t>42847922MDD3003</t>
        </is>
      </c>
    </row>
    <row r="1708">
      <c r="A1708" s="2" t="str">
        <f>HYPERLINK("https://vtmf.veevavault.com/ui/#doc_info/26548936/1/0", "42847922MDD3003---Trial Team Training Material-18 Jun 2024 (v1.0)")</f>
        <v>42847922MDD3003---Trial Team Training Material-18 Jun 2024 (v1.0)</v>
      </c>
      <c r="B1708" s="3" t="inlineStr">
        <is>
          <t>Trial Management</t>
        </is>
      </c>
      <c r="C1708" s="3" t="inlineStr">
        <is>
          <t>Meetings</t>
        </is>
      </c>
      <c r="D1708" s="3" t="inlineStr">
        <is>
          <t>Trial Team Training Material</t>
        </is>
      </c>
      <c r="E1708" s="3" t="inlineStr">
        <is>
          <t>OARS 7 42847922MDD3003 Monitoring Guidelines Slides; 18June2024</t>
        </is>
      </c>
      <c r="F1708" s="2" t="str">
        <f>HYPERLINK("https://vtmf.veevavault.com/ui/#doc_info/26548936/1/0", "VTMF-21261157")</f>
        <v>VTMF-21261157</v>
      </c>
      <c r="G1708" s="3" t="inlineStr">
        <is>
          <t/>
        </is>
      </c>
      <c r="H1708" s="3" t="inlineStr">
        <is>
          <t>System</t>
        </is>
      </c>
      <c r="I1708" s="3" t="inlineStr">
        <is>
          <t>Debhora Garcia</t>
        </is>
      </c>
      <c r="J1708" s="4" t="n">
        <v>45461.882256944446</v>
      </c>
      <c r="K1708" s="5" t="n">
        <v>45461.0</v>
      </c>
      <c r="L1708" s="5" t="n">
        <v>45461.0</v>
      </c>
      <c r="M1708" s="3" t="inlineStr">
        <is>
          <t>Approved</t>
        </is>
      </c>
      <c r="N1708" s="3" t="inlineStr">
        <is>
          <t>Study Start</t>
        </is>
      </c>
      <c r="O1708" s="3" t="inlineStr">
        <is>
          <t>42847922MDD3003</t>
        </is>
      </c>
    </row>
    <row r="1709">
      <c r="A1709" s="2" t="str">
        <f>HYPERLINK("https://vtmf.veevavault.com/ui/#doc_info/26584151/1/0", "42847922MDD3003---Trial Team Training Material-18 Jun 2024 (v1.0)")</f>
        <v>42847922MDD3003---Trial Team Training Material-18 Jun 2024 (v1.0)</v>
      </c>
      <c r="B1709" s="3" t="inlineStr">
        <is>
          <t>Trial Management</t>
        </is>
      </c>
      <c r="C1709" s="3" t="inlineStr">
        <is>
          <t>Meetings</t>
        </is>
      </c>
      <c r="D1709" s="3" t="inlineStr">
        <is>
          <t>Trial Team Training Material</t>
        </is>
      </c>
      <c r="E1709" s="3" t="inlineStr">
        <is>
          <t>42847922MDD3003 Teckro training; 18Jun2024</t>
        </is>
      </c>
      <c r="F1709" s="2" t="str">
        <f>HYPERLINK("https://vtmf.veevavault.com/ui/#doc_info/26584151/1/0", "VTMF-21291597")</f>
        <v>VTMF-21291597</v>
      </c>
      <c r="G1709" s="3" t="inlineStr">
        <is>
          <t/>
        </is>
      </c>
      <c r="H1709" s="3" t="inlineStr">
        <is>
          <t>System</t>
        </is>
      </c>
      <c r="I1709" s="3" t="inlineStr">
        <is>
          <t>Debhora Garcia</t>
        </is>
      </c>
      <c r="J1709" s="4" t="n">
        <v>45468.03325231482</v>
      </c>
      <c r="K1709" s="5" t="n">
        <v>45468.0</v>
      </c>
      <c r="L1709" s="5" t="n">
        <v>45461.0</v>
      </c>
      <c r="M1709" s="3" t="inlineStr">
        <is>
          <t>Approved</t>
        </is>
      </c>
      <c r="N1709" s="3" t="inlineStr">
        <is>
          <t>Study Start</t>
        </is>
      </c>
      <c r="O1709" s="3" t="inlineStr">
        <is>
          <t>42847922MDD3003</t>
        </is>
      </c>
    </row>
    <row r="1710">
      <c r="A1710" s="2" t="str">
        <f>HYPERLINK("https://vtmf.veevavault.com/ui/#doc_info/26567469/1/0", "42847922MDD3003---Trial Team Training Material-20 Jun 2024 (v1.0)")</f>
        <v>42847922MDD3003---Trial Team Training Material-20 Jun 2024 (v1.0)</v>
      </c>
      <c r="B1710" s="3" t="inlineStr">
        <is>
          <t>Trial Management</t>
        </is>
      </c>
      <c r="C1710" s="3" t="inlineStr">
        <is>
          <t>Meetings</t>
        </is>
      </c>
      <c r="D1710" s="3" t="inlineStr">
        <is>
          <t>Trial Team Training Material</t>
        </is>
      </c>
      <c r="E1710" s="3" t="inlineStr">
        <is>
          <t>SIV training for US local team 20Jun24</t>
        </is>
      </c>
      <c r="F1710" s="2" t="str">
        <f>HYPERLINK("https://vtmf.veevavault.com/ui/#doc_info/26567469/1/0", "VTMF-21276868")</f>
        <v>VTMF-21276868</v>
      </c>
      <c r="G1710" s="3" t="inlineStr">
        <is>
          <t/>
        </is>
      </c>
      <c r="H1710" s="3" t="inlineStr">
        <is>
          <t>System</t>
        </is>
      </c>
      <c r="I1710" s="3" t="inlineStr">
        <is>
          <t>Kristina Ruzinska</t>
        </is>
      </c>
      <c r="J1710" s="4" t="n">
        <v>45464.39313657407</v>
      </c>
      <c r="K1710" s="5" t="n">
        <v>45464.0</v>
      </c>
      <c r="L1710" s="5" t="n">
        <v>45463.0</v>
      </c>
      <c r="M1710" s="3" t="inlineStr">
        <is>
          <t>Approved</t>
        </is>
      </c>
      <c r="N1710" s="3" t="inlineStr">
        <is>
          <t>Study Start</t>
        </is>
      </c>
      <c r="O1710" s="3" t="inlineStr">
        <is>
          <t>42847922MDD3003</t>
        </is>
      </c>
    </row>
    <row r="1711">
      <c r="A1711" s="2" t="str">
        <f>HYPERLINK("https://vtmf.veevavault.com/ui/#doc_info/28739651/1/0", "42847922MDD3003---Trial Team Training Material-20 Mar 2025 (v1.0)")</f>
        <v>42847922MDD3003---Trial Team Training Material-20 Mar 2025 (v1.0)</v>
      </c>
      <c r="B1711" s="3" t="inlineStr">
        <is>
          <t>Trial Management</t>
        </is>
      </c>
      <c r="C1711" s="3" t="inlineStr">
        <is>
          <t>Meetings</t>
        </is>
      </c>
      <c r="D1711" s="3" t="inlineStr">
        <is>
          <t>Trial Team Training Material</t>
        </is>
      </c>
      <c r="E1711" s="3" t="inlineStr">
        <is>
          <t>42847922MDD3003 Critical aspects of the Protocol Training</t>
        </is>
      </c>
      <c r="F1711" s="2" t="str">
        <f>HYPERLINK("https://vtmf.veevavault.com/ui/#doc_info/28739651/1/0", "VTMF-23089112")</f>
        <v>VTMF-23089112</v>
      </c>
      <c r="G1711" s="3" t="inlineStr">
        <is>
          <t/>
        </is>
      </c>
      <c r="H1711" s="3" t="inlineStr">
        <is>
          <t>Anthony Suarez (veeva.com)</t>
        </is>
      </c>
      <c r="I1711" s="3" t="inlineStr">
        <is>
          <t>Gina Stefanelli</t>
        </is>
      </c>
      <c r="J1711" s="4" t="n">
        <v>45741.824895833335</v>
      </c>
      <c r="K1711" s="5" t="n">
        <v>45741.0</v>
      </c>
      <c r="L1711" s="5" t="n">
        <v>45736.0</v>
      </c>
      <c r="M1711" s="3" t="inlineStr">
        <is>
          <t>Approved</t>
        </is>
      </c>
      <c r="N1711" s="3" t="inlineStr">
        <is>
          <t>Study Start</t>
        </is>
      </c>
      <c r="O1711" s="3" t="inlineStr">
        <is>
          <t>42847922MDD3003</t>
        </is>
      </c>
    </row>
    <row r="1712">
      <c r="A1712" s="2" t="str">
        <f>HYPERLINK("https://vtmf.veevavault.com/ui/#doc_info/26698718/1/0", "42847922MDD3003---Trial Team Training Material-20 May 2024 (v1.0)")</f>
        <v>42847922MDD3003---Trial Team Training Material-20 May 2024 (v1.0)</v>
      </c>
      <c r="B1712" s="3" t="inlineStr">
        <is>
          <t>Trial Management</t>
        </is>
      </c>
      <c r="C1712" s="3" t="inlineStr">
        <is>
          <t>Meetings</t>
        </is>
      </c>
      <c r="D1712" s="3" t="inlineStr">
        <is>
          <t>Trial Team Training Material</t>
        </is>
      </c>
      <c r="E1712" s="3" t="inlineStr">
        <is>
          <t>JJIM Seltorexant 42847922MDD3003_MMSE_v1.0_Final_20May2024.</t>
        </is>
      </c>
      <c r="F1712" s="2" t="str">
        <f>HYPERLINK("https://vtmf.veevavault.com/ui/#doc_info/26698718/1/0", "VTMF-21391523")</f>
        <v>VTMF-21391523</v>
      </c>
      <c r="G1712" s="3" t="inlineStr">
        <is>
          <t/>
        </is>
      </c>
      <c r="H1712" s="3" t="inlineStr">
        <is>
          <t>System</t>
        </is>
      </c>
      <c r="I1712" s="3" t="inlineStr">
        <is>
          <t>Gina Stefanelli</t>
        </is>
      </c>
      <c r="J1712" s="4" t="n">
        <v>45485.58795138889</v>
      </c>
      <c r="K1712" s="5" t="n">
        <v>45485.0</v>
      </c>
      <c r="L1712" s="5" t="n">
        <v>45432.0</v>
      </c>
      <c r="M1712" s="3" t="inlineStr">
        <is>
          <t>Approved</t>
        </is>
      </c>
      <c r="N1712" s="3" t="inlineStr">
        <is>
          <t>Study Start</t>
        </is>
      </c>
      <c r="O1712" s="3" t="inlineStr">
        <is>
          <t>42847922MDD3003</t>
        </is>
      </c>
    </row>
    <row r="1713">
      <c r="A1713" s="2" t="str">
        <f>HYPERLINK("https://vtmf.veevavault.com/ui/#doc_info/26698830/1/0", "42847922MDD3003---Trial Team Training Material-20 May 2024 (v1.0)")</f>
        <v>42847922MDD3003---Trial Team Training Material-20 May 2024 (v1.0)</v>
      </c>
      <c r="B1713" s="3" t="inlineStr">
        <is>
          <t>Trial Management</t>
        </is>
      </c>
      <c r="C1713" s="3" t="inlineStr">
        <is>
          <t>Meetings</t>
        </is>
      </c>
      <c r="D1713" s="3" t="inlineStr">
        <is>
          <t>Trial Team Training Material</t>
        </is>
      </c>
      <c r="E1713" s="3" t="inlineStr">
        <is>
          <t>JJIM_4MDD_CGI-S_Core Training_v1.0_Final_20May2024.</t>
        </is>
      </c>
      <c r="F1713" s="2" t="str">
        <f>HYPERLINK("https://vtmf.veevavault.com/ui/#doc_info/26698830/1/0", "VTMF-21391642")</f>
        <v>VTMF-21391642</v>
      </c>
      <c r="G1713" s="3" t="inlineStr">
        <is>
          <t/>
        </is>
      </c>
      <c r="H1713" s="3" t="inlineStr">
        <is>
          <t>System</t>
        </is>
      </c>
      <c r="I1713" s="3" t="inlineStr">
        <is>
          <t>Gina Stefanelli</t>
        </is>
      </c>
      <c r="J1713" s="4" t="n">
        <v>45485.60055555555</v>
      </c>
      <c r="K1713" s="5" t="n">
        <v>45485.0</v>
      </c>
      <c r="L1713" s="5" t="n">
        <v>45432.0</v>
      </c>
      <c r="M1713" s="3" t="inlineStr">
        <is>
          <t>Approved</t>
        </is>
      </c>
      <c r="N1713" s="3" t="inlineStr">
        <is>
          <t>Study Start</t>
        </is>
      </c>
      <c r="O1713" s="3" t="inlineStr">
        <is>
          <t>42847922MDD3003</t>
        </is>
      </c>
    </row>
    <row r="1714">
      <c r="A1714" s="2" t="str">
        <f>HYPERLINK("https://vtmf.veevavault.com/ui/#doc_info/26698876/1/0", "42847922MDD3003---Trial Team Training Material-20 May 2024 (v1.0)")</f>
        <v>42847922MDD3003---Trial Team Training Material-20 May 2024 (v1.0)</v>
      </c>
      <c r="B1714" s="3" t="inlineStr">
        <is>
          <t>Trial Management</t>
        </is>
      </c>
      <c r="C1714" s="3" t="inlineStr">
        <is>
          <t>Meetings</t>
        </is>
      </c>
      <c r="D1714" s="3" t="inlineStr">
        <is>
          <t>Trial Team Training Material</t>
        </is>
      </c>
      <c r="E1714" s="3" t="inlineStr">
        <is>
          <t>JJIM Seltorexant 42847922MDD3003_PWC-20_v1.0_Final_20May2024</t>
        </is>
      </c>
      <c r="F1714" s="2" t="str">
        <f>HYPERLINK("https://vtmf.veevavault.com/ui/#doc_info/26698876/1/0", "VTMF-21391729")</f>
        <v>VTMF-21391729</v>
      </c>
      <c r="G1714" s="3" t="inlineStr">
        <is>
          <t/>
        </is>
      </c>
      <c r="H1714" s="3" t="inlineStr">
        <is>
          <t>System</t>
        </is>
      </c>
      <c r="I1714" s="3" t="inlineStr">
        <is>
          <t>Gina Stefanelli</t>
        </is>
      </c>
      <c r="J1714" s="4" t="n">
        <v>45485.60916666667</v>
      </c>
      <c r="K1714" s="5" t="n">
        <v>45485.0</v>
      </c>
      <c r="L1714" s="5" t="n">
        <v>45432.0</v>
      </c>
      <c r="M1714" s="3" t="inlineStr">
        <is>
          <t>Approved</t>
        </is>
      </c>
      <c r="N1714" s="3" t="inlineStr">
        <is>
          <t>Study Start</t>
        </is>
      </c>
      <c r="O1714" s="3" t="inlineStr">
        <is>
          <t>42847922MDD3003</t>
        </is>
      </c>
    </row>
    <row r="1715">
      <c r="A1715" s="2" t="str">
        <f>HYPERLINK("https://vtmf.veevavault.com/ui/#doc_info/26698968/1/0", "42847922MDD3003---Trial Team Training Material-20 May 2024 (v1.0)")</f>
        <v>42847922MDD3003---Trial Team Training Material-20 May 2024 (v1.0)</v>
      </c>
      <c r="B1715" s="3" t="inlineStr">
        <is>
          <t>Trial Management</t>
        </is>
      </c>
      <c r="C1715" s="3" t="inlineStr">
        <is>
          <t>Meetings</t>
        </is>
      </c>
      <c r="D1715" s="3" t="inlineStr">
        <is>
          <t>Trial Team Training Material</t>
        </is>
      </c>
      <c r="E1715" s="3" t="inlineStr">
        <is>
          <t>JJIM_4MDD_SCID-5-CT_Core Training_v1.0_Final_20May2024</t>
        </is>
      </c>
      <c r="F1715" s="2" t="str">
        <f>HYPERLINK("https://vtmf.veevavault.com/ui/#doc_info/26698968/1/0", "VTMF-21391781")</f>
        <v>VTMF-21391781</v>
      </c>
      <c r="G1715" s="3" t="inlineStr">
        <is>
          <t/>
        </is>
      </c>
      <c r="H1715" s="3" t="inlineStr">
        <is>
          <t>System</t>
        </is>
      </c>
      <c r="I1715" s="3" t="inlineStr">
        <is>
          <t>Gina Stefanelli</t>
        </is>
      </c>
      <c r="J1715" s="4" t="n">
        <v>45485.61237268519</v>
      </c>
      <c r="K1715" s="5" t="n">
        <v>45485.0</v>
      </c>
      <c r="L1715" s="5" t="n">
        <v>45432.0</v>
      </c>
      <c r="M1715" s="3" t="inlineStr">
        <is>
          <t>Approved</t>
        </is>
      </c>
      <c r="N1715" s="3" t="inlineStr">
        <is>
          <t>Study Start</t>
        </is>
      </c>
      <c r="O1715" s="3" t="inlineStr">
        <is>
          <t>42847922MDD3003</t>
        </is>
      </c>
    </row>
    <row r="1716">
      <c r="A1716" s="2" t="str">
        <f>HYPERLINK("https://vtmf.veevavault.com/ui/#doc_info/26698997/1/0", "42847922MDD3003---Trial Team Training Material-20 May 2024 (v1.0)")</f>
        <v>42847922MDD3003---Trial Team Training Material-20 May 2024 (v1.0)</v>
      </c>
      <c r="B1716" s="3" t="inlineStr">
        <is>
          <t>Trial Management</t>
        </is>
      </c>
      <c r="C1716" s="3" t="inlineStr">
        <is>
          <t>Meetings</t>
        </is>
      </c>
      <c r="D1716" s="3" t="inlineStr">
        <is>
          <t>Trial Team Training Material</t>
        </is>
      </c>
      <c r="E1716" s="3" t="inlineStr">
        <is>
          <t>JJIM Seltorexant 42847922MDD3003_SIGMA_Core Training_v1.0_Final_20May2024.</t>
        </is>
      </c>
      <c r="F1716" s="2" t="str">
        <f>HYPERLINK("https://vtmf.veevavault.com/ui/#doc_info/26698997/1/0", "VTMF-21391817")</f>
        <v>VTMF-21391817</v>
      </c>
      <c r="G1716" s="3" t="inlineStr">
        <is>
          <t/>
        </is>
      </c>
      <c r="H1716" s="3" t="inlineStr">
        <is>
          <t>System</t>
        </is>
      </c>
      <c r="I1716" s="3" t="inlineStr">
        <is>
          <t>Gina Stefanelli</t>
        </is>
      </c>
      <c r="J1716" s="4" t="n">
        <v>45485.61534722222</v>
      </c>
      <c r="K1716" s="5" t="n">
        <v>45485.0</v>
      </c>
      <c r="L1716" s="5" t="n">
        <v>45432.0</v>
      </c>
      <c r="M1716" s="3" t="inlineStr">
        <is>
          <t>Approved</t>
        </is>
      </c>
      <c r="N1716" s="3" t="inlineStr">
        <is>
          <t>Study Start</t>
        </is>
      </c>
      <c r="O1716" s="3" t="inlineStr">
        <is>
          <t>42847922MDD3003</t>
        </is>
      </c>
    </row>
    <row r="1717">
      <c r="A1717" s="2" t="str">
        <f>HYPERLINK("https://vtmf.veevavault.com/ui/#doc_info/29003835/1/0", "42847922MDD3003---Trial Team Training Material-21 Apr 2025 (v1.0)")</f>
        <v>42847922MDD3003---Trial Team Training Material-21 Apr 2025 (v1.0)</v>
      </c>
      <c r="B1717" s="3" t="inlineStr">
        <is>
          <t>Trial Management</t>
        </is>
      </c>
      <c r="C1717" s="3" t="inlineStr">
        <is>
          <t>Meetings</t>
        </is>
      </c>
      <c r="D1717" s="3" t="inlineStr">
        <is>
          <t>Trial Team Training Material</t>
        </is>
      </c>
      <c r="E1717" s="3" t="inlineStr">
        <is>
          <t>MDD3003_Enhanced Site Engagement session</t>
        </is>
      </c>
      <c r="F1717" s="2" t="str">
        <f>HYPERLINK("https://vtmf.veevavault.com/ui/#doc_info/29003835/1/0", "VTMF-23301090")</f>
        <v>VTMF-23301090</v>
      </c>
      <c r="G1717" s="3" t="inlineStr">
        <is>
          <t/>
        </is>
      </c>
      <c r="H1717" s="3" t="inlineStr">
        <is>
          <t>Anthony Suarez (veeva.com)</t>
        </is>
      </c>
      <c r="I1717" s="3" t="inlineStr">
        <is>
          <t>Gina Stefanelli</t>
        </is>
      </c>
      <c r="J1717" s="4" t="n">
        <v>45776.76917824074</v>
      </c>
      <c r="K1717" s="5" t="n">
        <v>45776.0</v>
      </c>
      <c r="L1717" s="5" t="n">
        <v>45768.0</v>
      </c>
      <c r="M1717" s="3" t="inlineStr">
        <is>
          <t>Approved</t>
        </is>
      </c>
      <c r="N1717" s="3" t="inlineStr">
        <is>
          <t>Study Start</t>
        </is>
      </c>
      <c r="O1717" s="3" t="inlineStr">
        <is>
          <t>42847922MDD3003</t>
        </is>
      </c>
    </row>
    <row r="1718">
      <c r="A1718" s="2" t="str">
        <f>HYPERLINK("https://vtmf.veevavault.com/ui/#doc_info/26538711/1/0", "42847922MDD3003---Trial Team Training Material-22 Feb 2024 (v1.0)")</f>
        <v>42847922MDD3003---Trial Team Training Material-22 Feb 2024 (v1.0)</v>
      </c>
      <c r="B1718" s="3" t="inlineStr">
        <is>
          <t>Trial Management</t>
        </is>
      </c>
      <c r="C1718" s="3" t="inlineStr">
        <is>
          <t>Meetings</t>
        </is>
      </c>
      <c r="D1718" s="3" t="inlineStr">
        <is>
          <t>Trial Team Training Material</t>
        </is>
      </c>
      <c r="E1718" s="3" t="inlineStr">
        <is>
          <t>42847922MDD3003 Protocol Training Slides 22 Feb 2024</t>
        </is>
      </c>
      <c r="F1718" s="2" t="str">
        <f>HYPERLINK("https://vtmf.veevavault.com/ui/#doc_info/26538711/1/0", "VTMF-21252052")</f>
        <v>VTMF-21252052</v>
      </c>
      <c r="G1718" s="3" t="inlineStr">
        <is>
          <t/>
        </is>
      </c>
      <c r="H1718" s="3" t="inlineStr">
        <is>
          <t>System</t>
        </is>
      </c>
      <c r="I1718" s="3" t="inlineStr">
        <is>
          <t>Gina Stefanelli</t>
        </is>
      </c>
      <c r="J1718" s="4" t="n">
        <v>45460.689884259256</v>
      </c>
      <c r="K1718" s="5" t="n">
        <v>45460.0</v>
      </c>
      <c r="L1718" s="5" t="n">
        <v>45344.0</v>
      </c>
      <c r="M1718" s="3" t="inlineStr">
        <is>
          <t>Approved</t>
        </is>
      </c>
      <c r="N1718" s="3" t="inlineStr">
        <is>
          <t>Study Start</t>
        </is>
      </c>
      <c r="O1718" s="3" t="inlineStr">
        <is>
          <t>42847922MDD3003</t>
        </is>
      </c>
    </row>
    <row r="1719">
      <c r="A1719" s="2" t="str">
        <f>HYPERLINK("https://vtmf.veevavault.com/ui/#doc_info/26539024/2/0", "42847922MDD3003---Trial Team Training Material-24 Oct 2024 (v2.0)")</f>
        <v>42847922MDD3003---Trial Team Training Material-24 Oct 2024 (v2.0)</v>
      </c>
      <c r="B1719" s="3" t="inlineStr">
        <is>
          <t>Trial Management</t>
        </is>
      </c>
      <c r="C1719" s="3" t="inlineStr">
        <is>
          <t>Meetings</t>
        </is>
      </c>
      <c r="D1719" s="3" t="inlineStr">
        <is>
          <t>Trial Team Training Material</t>
        </is>
      </c>
      <c r="E1719" s="3" t="inlineStr">
        <is>
          <t>Seltorexant Compound Training _v2.0</t>
        </is>
      </c>
      <c r="F1719" s="2" t="str">
        <f>HYPERLINK("https://vtmf.veevavault.com/ui/#doc_info/26539024/2/0", "VTMF-21252264")</f>
        <v>VTMF-21252264</v>
      </c>
      <c r="G1719" s="3" t="inlineStr">
        <is>
          <t/>
        </is>
      </c>
      <c r="H1719" s="3" t="inlineStr">
        <is>
          <t>Anthony Suarez (veeva.com)</t>
        </is>
      </c>
      <c r="I1719" s="3" t="inlineStr">
        <is>
          <t>Gina Stefanelli</t>
        </is>
      </c>
      <c r="J1719" s="4" t="n">
        <v>45589.65354166667</v>
      </c>
      <c r="K1719" s="5" t="n">
        <v>45589.0</v>
      </c>
      <c r="L1719" s="5" t="n">
        <v>45589.0</v>
      </c>
      <c r="M1719" s="3" t="inlineStr">
        <is>
          <t>Approved</t>
        </is>
      </c>
      <c r="N1719" s="3" t="inlineStr">
        <is>
          <t>Study Start</t>
        </is>
      </c>
      <c r="O1719" s="3" t="inlineStr">
        <is>
          <t>42847922MDD3003</t>
        </is>
      </c>
    </row>
    <row r="1720">
      <c r="A1720" s="2" t="str">
        <f>HYPERLINK("https://vtmf.veevavault.com/ui/#doc_info/27328320/1/0", "42847922MDD3003---Trial Team Training Material-24 Oct 2024 (v1.0)")</f>
        <v>42847922MDD3003---Trial Team Training Material-24 Oct 2024 (v1.0)</v>
      </c>
      <c r="B1720" s="3" t="inlineStr">
        <is>
          <t>Trial Management</t>
        </is>
      </c>
      <c r="C1720" s="3" t="inlineStr">
        <is>
          <t>Meetings</t>
        </is>
      </c>
      <c r="D1720" s="3" t="inlineStr">
        <is>
          <t>Trial Team Training Material</t>
        </is>
      </c>
      <c r="E1720" s="3" t="inlineStr">
        <is>
          <t>42847922MDD3003 Data Management Training</t>
        </is>
      </c>
      <c r="F1720" s="2" t="str">
        <f>HYPERLINK("https://vtmf.veevavault.com/ui/#doc_info/27328320/1/0", "VTMF-21920932")</f>
        <v>VTMF-21920932</v>
      </c>
      <c r="G1720" s="3" t="inlineStr">
        <is>
          <t/>
        </is>
      </c>
      <c r="H1720" s="3" t="inlineStr">
        <is>
          <t>Anthony Suarez (veeva.com)</t>
        </is>
      </c>
      <c r="I1720" s="3" t="inlineStr">
        <is>
          <t>Gina Stefanelli</t>
        </is>
      </c>
      <c r="J1720" s="4" t="n">
        <v>45589.662199074075</v>
      </c>
      <c r="K1720" s="5" t="n">
        <v>45589.0</v>
      </c>
      <c r="L1720" s="5" t="n">
        <v>45589.0</v>
      </c>
      <c r="M1720" s="3" t="inlineStr">
        <is>
          <t>Approved</t>
        </is>
      </c>
      <c r="N1720" s="3" t="inlineStr">
        <is>
          <t>Study Start</t>
        </is>
      </c>
      <c r="O1720" s="3" t="inlineStr">
        <is>
          <t>42847922MDD3003</t>
        </is>
      </c>
    </row>
    <row r="1721">
      <c r="A1721" s="2" t="str">
        <f>HYPERLINK("https://vtmf.veevavault.com/ui/#doc_info/27791042/1/0", "42847922MDD3003---Trial Team Training Material-25 Nov 2024 (v1.0)")</f>
        <v>42847922MDD3003---Trial Team Training Material-25 Nov 2024 (v1.0)</v>
      </c>
      <c r="B1721" s="3" t="inlineStr">
        <is>
          <t>Trial Management</t>
        </is>
      </c>
      <c r="C1721" s="3" t="inlineStr">
        <is>
          <t>Meetings</t>
        </is>
      </c>
      <c r="D1721" s="3" t="inlineStr">
        <is>
          <t>Trial Team Training Material</t>
        </is>
      </c>
      <c r="E1721" s="3" t="inlineStr">
        <is>
          <t>OARS 7 42847922MDD3003 Monitoring Guidelines Version 2.0 _ Training</t>
        </is>
      </c>
      <c r="F1721" s="2" t="str">
        <f>HYPERLINK("https://vtmf.veevavault.com/ui/#doc_info/27791042/1/0", "VTMF-22283731")</f>
        <v>VTMF-22283731</v>
      </c>
      <c r="G1721" s="3" t="inlineStr">
        <is>
          <t/>
        </is>
      </c>
      <c r="H1721" s="3" t="inlineStr">
        <is>
          <t>Anthony Suarez (veeva.com)</t>
        </is>
      </c>
      <c r="I1721" s="3" t="inlineStr">
        <is>
          <t>Gina Stefanelli</t>
        </is>
      </c>
      <c r="J1721" s="4" t="n">
        <v>45629.63990740741</v>
      </c>
      <c r="K1721" s="5" t="n">
        <v>45629.0</v>
      </c>
      <c r="L1721" s="5" t="n">
        <v>45621.0</v>
      </c>
      <c r="M1721" s="3" t="inlineStr">
        <is>
          <t>Approved</t>
        </is>
      </c>
      <c r="N1721" s="3" t="inlineStr">
        <is>
          <t>Study Start</t>
        </is>
      </c>
      <c r="O1721" s="3" t="inlineStr">
        <is>
          <t>42847922MDD3003</t>
        </is>
      </c>
    </row>
    <row r="1722">
      <c r="A1722" s="2" t="str">
        <f>HYPERLINK("https://vtmf.veevavault.com/ui/#doc_info/26541527/1/0", "42847922MDD3003---Trial Team Training Material-30 Apr 2024 (v1.0)")</f>
        <v>42847922MDD3003---Trial Team Training Material-30 Apr 2024 (v1.0)</v>
      </c>
      <c r="B1722" s="3" t="inlineStr">
        <is>
          <t>Trial Management</t>
        </is>
      </c>
      <c r="C1722" s="3" t="inlineStr">
        <is>
          <t>Meetings</t>
        </is>
      </c>
      <c r="D1722" s="3" t="inlineStr">
        <is>
          <t>Trial Team Training Material</t>
        </is>
      </c>
      <c r="E1722" s="3" t="inlineStr">
        <is>
          <t>SIPPM Training V1.0 final 30Apr20244</t>
        </is>
      </c>
      <c r="F1722" s="2" t="str">
        <f>HYPERLINK("https://vtmf.veevavault.com/ui/#doc_info/26541527/1/0", "VTMF-21254504")</f>
        <v>VTMF-21254504</v>
      </c>
      <c r="G1722" s="3" t="inlineStr">
        <is>
          <t/>
        </is>
      </c>
      <c r="H1722" s="3" t="inlineStr">
        <is>
          <t>System</t>
        </is>
      </c>
      <c r="I1722" s="3" t="inlineStr">
        <is>
          <t>Gina Stefanelli</t>
        </is>
      </c>
      <c r="J1722" s="4" t="n">
        <v>45461.07332175926</v>
      </c>
      <c r="K1722" s="5" t="n">
        <v>45460.0</v>
      </c>
      <c r="L1722" s="5" t="n">
        <v>45412.0</v>
      </c>
      <c r="M1722" s="3" t="inlineStr">
        <is>
          <t>Approved</t>
        </is>
      </c>
      <c r="N1722" s="3" t="inlineStr">
        <is>
          <t>Study Start</t>
        </is>
      </c>
      <c r="O1722" s="3" t="inlineStr">
        <is>
          <t>42847922MDD3003</t>
        </is>
      </c>
    </row>
    <row r="1723">
      <c r="A1723" s="2" t="str">
        <f>HYPERLINK("https://vtmf.veevavault.com/ui/#doc_info/26739999/2/0", "42847922MDD3003---TSDV Specification Form-06 May 2025 (v2.0)")</f>
        <v>42847922MDD3003---TSDV Specification Form-06 May 2025 (v2.0)</v>
      </c>
      <c r="B1723" s="3" t="inlineStr">
        <is>
          <t>Data Management</t>
        </is>
      </c>
      <c r="C1723" s="3" t="inlineStr">
        <is>
          <t>Data Management Oversight</t>
        </is>
      </c>
      <c r="D1723" s="3" t="inlineStr">
        <is>
          <t>TSDV Specification Form</t>
        </is>
      </c>
      <c r="E1723" s="3" t="inlineStr">
        <is>
          <t>TSDV Specification Form V2.0</t>
        </is>
      </c>
      <c r="F1723" s="2" t="str">
        <f>HYPERLINK("https://vtmf.veevavault.com/ui/#doc_info/26739999/2/0", "VTMF-21427416")</f>
        <v>VTMF-21427416</v>
      </c>
      <c r="G1723" s="3" t="inlineStr">
        <is>
          <t/>
        </is>
      </c>
      <c r="H1723" s="3" t="inlineStr">
        <is>
          <t>Anthony Suarez (veeva.com)</t>
        </is>
      </c>
      <c r="I1723" s="3" t="inlineStr">
        <is>
          <t>Adedokun Ademiluyi</t>
        </is>
      </c>
      <c r="J1723" s="4" t="n">
        <v>45792.748773148145</v>
      </c>
      <c r="K1723" s="5" t="n">
        <v>45793.0</v>
      </c>
      <c r="L1723" s="5" t="n">
        <v>45783.0</v>
      </c>
      <c r="M1723" s="3" t="inlineStr">
        <is>
          <t>Approved</t>
        </is>
      </c>
      <c r="N1723" s="3" t="inlineStr">
        <is>
          <t/>
        </is>
      </c>
      <c r="O1723" s="3" t="inlineStr">
        <is>
          <t>42847922MDD3003</t>
        </is>
      </c>
    </row>
    <row r="1724">
      <c r="A1724" s="2" t="str">
        <f>HYPERLINK("https://vtmf.veevavault.com/ui/#doc_info/26756617/3/0", "42847922MDD3003---UAT Documentation (EDC) (v3.0)")</f>
        <v>42847922MDD3003---UAT Documentation (EDC) (v3.0)</v>
      </c>
      <c r="B1724" s="3" t="inlineStr">
        <is>
          <t>Data Management</t>
        </is>
      </c>
      <c r="C1724" s="3" t="inlineStr">
        <is>
          <t>EDC Management</t>
        </is>
      </c>
      <c r="D1724" s="3" t="inlineStr">
        <is>
          <t>UAT Documentation (EDC)</t>
        </is>
      </c>
      <c r="E1724" s="3" t="inlineStr">
        <is>
          <t>42847922MDD3003_TV-eFRM-17781_UAT Log_v3.0</t>
        </is>
      </c>
      <c r="F1724" s="2" t="str">
        <f>HYPERLINK("https://vtmf.veevavault.com/ui/#doc_info/26756617/3/0", "VTMF-21441656")</f>
        <v>VTMF-21441656</v>
      </c>
      <c r="G1724" s="3" t="inlineStr">
        <is>
          <t/>
        </is>
      </c>
      <c r="H1724" s="3" t="inlineStr">
        <is>
          <t>Anthony Suarez (veeva.com)</t>
        </is>
      </c>
      <c r="I1724" s="3" t="inlineStr">
        <is>
          <t>Amrita Trueblood</t>
        </is>
      </c>
      <c r="J1724" s="4" t="n">
        <v>45804.89306712963</v>
      </c>
      <c r="K1724" s="5" t="n">
        <v>45811.0</v>
      </c>
      <c r="L1724" s="5" t="n">
        <v>45804.0</v>
      </c>
      <c r="M1724" s="3" t="inlineStr">
        <is>
          <t>Approved</t>
        </is>
      </c>
      <c r="N1724" s="3" t="inlineStr">
        <is>
          <t/>
        </is>
      </c>
      <c r="O1724" s="3" t="inlineStr">
        <is>
          <t>42847922MDD3003</t>
        </is>
      </c>
    </row>
    <row r="1725">
      <c r="A1725" s="2" t="str">
        <f>HYPERLINK("https://vtmf.veevavault.com/ui/#doc_info/26757177/11/0", "42847922MDD3003---UAT Documentation (EDC) (v11.0)")</f>
        <v>42847922MDD3003---UAT Documentation (EDC) (v11.0)</v>
      </c>
      <c r="B1725" s="3" t="inlineStr">
        <is>
          <t>Data Management</t>
        </is>
      </c>
      <c r="C1725" s="3" t="inlineStr">
        <is>
          <t>EDC Management</t>
        </is>
      </c>
      <c r="D1725" s="3" t="inlineStr">
        <is>
          <t>UAT Documentation (EDC)</t>
        </is>
      </c>
      <c r="E1725" s="3" t="inlineStr">
        <is>
          <t>EDC Build Specification Companion_v12.0</t>
        </is>
      </c>
      <c r="F1725" s="2" t="str">
        <f>HYPERLINK("https://vtmf.veevavault.com/ui/#doc_info/26757177/11/0", "VTMF-21442102")</f>
        <v>VTMF-21442102</v>
      </c>
      <c r="G1725" s="3" t="inlineStr">
        <is>
          <t/>
        </is>
      </c>
      <c r="H1725" s="3" t="inlineStr">
        <is>
          <t>System</t>
        </is>
      </c>
      <c r="I1725" s="3" t="inlineStr">
        <is>
          <t>Amrita Trueblood</t>
        </is>
      </c>
      <c r="J1725" s="4" t="n">
        <v>46093.5856712963</v>
      </c>
      <c r="K1725" s="5" t="n">
        <v>46094.0</v>
      </c>
      <c r="L1725" s="5" t="n">
        <v>46093.0</v>
      </c>
      <c r="M1725" s="3" t="inlineStr">
        <is>
          <t>Approved</t>
        </is>
      </c>
      <c r="N1725" s="3" t="inlineStr">
        <is>
          <t/>
        </is>
      </c>
      <c r="O1725" s="3" t="inlineStr">
        <is>
          <t>42847922MDD3003</t>
        </is>
      </c>
    </row>
    <row r="1726">
      <c r="A1726" s="2" t="str">
        <f>HYPERLINK("https://vtmf.veevavault.com/ui/#doc_info/27027362/16/0", "42847922MDD3003---UAT Documentation (EDC) (v16.0)")</f>
        <v>42847922MDD3003---UAT Documentation (EDC) (v16.0)</v>
      </c>
      <c r="B1726" s="3" t="inlineStr">
        <is>
          <t>Data Management</t>
        </is>
      </c>
      <c r="C1726" s="3" t="inlineStr">
        <is>
          <t>EDC Management</t>
        </is>
      </c>
      <c r="D1726" s="3" t="inlineStr">
        <is>
          <t>UAT Documentation (EDC)</t>
        </is>
      </c>
      <c r="E1726" s="3" t="inlineStr">
        <is>
          <t>EDC Change Request Form_v13.0</t>
        </is>
      </c>
      <c r="F1726" s="2" t="str">
        <f>HYPERLINK("https://vtmf.veevavault.com/ui/#doc_info/27027362/16/0", "VTMF-21667651")</f>
        <v>VTMF-21667651</v>
      </c>
      <c r="G1726" s="3" t="inlineStr">
        <is>
          <t/>
        </is>
      </c>
      <c r="H1726" s="3" t="inlineStr">
        <is>
          <t>System</t>
        </is>
      </c>
      <c r="I1726" s="3" t="inlineStr">
        <is>
          <t>Mahija Manchakal</t>
        </is>
      </c>
      <c r="J1726" s="4" t="n">
        <v>46162.916041666664</v>
      </c>
      <c r="K1726" s="5" t="n">
        <v>46163.0</v>
      </c>
      <c r="L1726" s="5" t="n">
        <v>46162.0</v>
      </c>
      <c r="M1726" s="3" t="inlineStr">
        <is>
          <t>Approved</t>
        </is>
      </c>
      <c r="N1726" s="3" t="inlineStr">
        <is>
          <t/>
        </is>
      </c>
      <c r="O1726" s="3" t="inlineStr">
        <is>
          <t>42847922MDD3003</t>
        </is>
      </c>
    </row>
    <row r="1727">
      <c r="A1727" s="2" t="str">
        <f>HYPERLINK("https://vtmf.veevavault.com/ui/#doc_info/29039311/1/0", "42847922MDD3003---UAT Documentation (EDC) (v1.0)")</f>
        <v>42847922MDD3003---UAT Documentation (EDC) (v1.0)</v>
      </c>
      <c r="B1727" s="3" t="inlineStr">
        <is>
          <t>Data Management</t>
        </is>
      </c>
      <c r="C1727" s="3" t="inlineStr">
        <is>
          <t>EDC Management</t>
        </is>
      </c>
      <c r="D1727" s="3" t="inlineStr">
        <is>
          <t>UAT Documentation (EDC)</t>
        </is>
      </c>
      <c r="E1727" s="3" t="inlineStr">
        <is>
          <t>EDC Build Specification Companion__v2</t>
        </is>
      </c>
      <c r="F1727" s="2" t="str">
        <f>HYPERLINK("https://vtmf.veevavault.com/ui/#doc_info/29039311/1/0", "VTMF-23332047")</f>
        <v>VTMF-23332047</v>
      </c>
      <c r="G1727" s="3" t="inlineStr">
        <is>
          <t/>
        </is>
      </c>
      <c r="H1727" s="3" t="inlineStr">
        <is>
          <t>Anthony Suarez (veeva.com)</t>
        </is>
      </c>
      <c r="I1727" s="3" t="inlineStr">
        <is>
          <t>Amrita Trueblood</t>
        </is>
      </c>
      <c r="J1727" s="4" t="n">
        <v>45782.8553125</v>
      </c>
      <c r="K1727" s="5" t="n">
        <v>45783.0</v>
      </c>
      <c r="L1727" s="5" t="n">
        <v>45546.0</v>
      </c>
      <c r="M1727" s="3" t="inlineStr">
        <is>
          <t>Approved</t>
        </is>
      </c>
      <c r="N1727" s="3" t="inlineStr">
        <is>
          <t/>
        </is>
      </c>
      <c r="O1727" s="3" t="inlineStr">
        <is>
          <t>42847922MDD3003</t>
        </is>
      </c>
    </row>
    <row r="1728">
      <c r="A1728" s="2" t="str">
        <f>HYPERLINK("https://vtmf.veevavault.com/ui/#doc_info/27868779/1/0", "42847922MDD3003---UAT Documentation (Non-EDC) (v1.0)")</f>
        <v>42847922MDD3003---UAT Documentation (Non-EDC) (v1.0)</v>
      </c>
      <c r="B1728" s="3" t="inlineStr">
        <is>
          <t>Data Management</t>
        </is>
      </c>
      <c r="C1728" s="3" t="inlineStr">
        <is>
          <t>Database</t>
        </is>
      </c>
      <c r="D1728" s="3" t="inlineStr">
        <is>
          <t>UAT Documentation (non-EDC)</t>
        </is>
      </c>
      <c r="E1728" s="3" t="inlineStr">
        <is>
          <t>Janssen_42847922MDD3003_Sample approval Form _10Dec2024JS</t>
        </is>
      </c>
      <c r="F1728" s="2" t="str">
        <f>HYPERLINK("https://vtmf.veevavault.com/ui/#doc_info/27868779/1/0", "VTMF-22348626")</f>
        <v>VTMF-22348626</v>
      </c>
      <c r="G1728" s="3" t="inlineStr">
        <is>
          <t/>
        </is>
      </c>
      <c r="H1728" s="3" t="inlineStr">
        <is>
          <t>Anthony Suarez (veeva.com)</t>
        </is>
      </c>
      <c r="I1728" s="3" t="inlineStr">
        <is>
          <t>JAMES SHARP</t>
        </is>
      </c>
      <c r="J1728" s="4" t="n">
        <v>45638.88653935185</v>
      </c>
      <c r="K1728" s="5" t="n">
        <v>45638.0</v>
      </c>
      <c r="L1728" s="5" t="n">
        <v>45636.0</v>
      </c>
      <c r="M1728" s="3" t="inlineStr">
        <is>
          <t>Approved</t>
        </is>
      </c>
      <c r="N1728" s="3" t="inlineStr">
        <is>
          <t/>
        </is>
      </c>
      <c r="O1728" s="3" t="inlineStr">
        <is>
          <t>42847922MDD3003</t>
        </is>
      </c>
    </row>
    <row r="1729">
      <c r="A1729" s="2" t="str">
        <f>HYPERLINK("https://vtmf.veevavault.com/ui/#doc_info/30525515/2/0", "42847922MDD3003---UAT Documentation (Non-EDC) (v2.0)")</f>
        <v>42847922MDD3003---UAT Documentation (Non-EDC) (v2.0)</v>
      </c>
      <c r="B1729" s="3" t="inlineStr">
        <is>
          <t>Data Management</t>
        </is>
      </c>
      <c r="C1729" s="3" t="inlineStr">
        <is>
          <t>Database</t>
        </is>
      </c>
      <c r="D1729" s="3" t="inlineStr">
        <is>
          <t>UAT Documentation (non-EDC)</t>
        </is>
      </c>
      <c r="E1729" s="3" t="inlineStr">
        <is>
          <t>Beacon_NV_External Data Transfer Validation Findings Log_1.0</t>
        </is>
      </c>
      <c r="F1729" s="2" t="str">
        <f>HYPERLINK("https://vtmf.veevavault.com/ui/#doc_info/30525515/2/0", "VTMF-24592289")</f>
        <v>VTMF-24592289</v>
      </c>
      <c r="G1729" s="3" t="inlineStr">
        <is>
          <t/>
        </is>
      </c>
      <c r="H1729" s="3" t="inlineStr">
        <is>
          <t>System</t>
        </is>
      </c>
      <c r="I1729" s="3" t="inlineStr">
        <is>
          <t>Arun Kumar Angu Sukumar</t>
        </is>
      </c>
      <c r="J1729" s="4" t="n">
        <v>46178.45612268519</v>
      </c>
      <c r="K1729" s="5" t="n">
        <v>46178.0</v>
      </c>
      <c r="L1729" s="5" t="n">
        <v>45971.0</v>
      </c>
      <c r="M1729" s="3" t="inlineStr">
        <is>
          <t>Approved</t>
        </is>
      </c>
      <c r="N1729" s="3" t="inlineStr">
        <is>
          <t/>
        </is>
      </c>
      <c r="O1729" s="3" t="inlineStr">
        <is>
          <t>42847922MDD3003</t>
        </is>
      </c>
    </row>
    <row r="1730">
      <c r="A1730" s="2" t="str">
        <f>HYPERLINK("https://vtmf.veevavault.com/ui/#doc_info/26189712/5/0", "42847922MDD3003---UAT Plan-19 Aug 2025 (v5.0)")</f>
        <v>42847922MDD3003---UAT Plan-19 Aug 2025 (v5.0)</v>
      </c>
      <c r="B1730" s="3" t="inlineStr">
        <is>
          <t>Data Management</t>
        </is>
      </c>
      <c r="C1730" s="3" t="inlineStr">
        <is>
          <t>EDC Management</t>
        </is>
      </c>
      <c r="D1730" s="3" t="inlineStr">
        <is>
          <t>UAT Plan</t>
        </is>
      </c>
      <c r="E1730" s="3" t="inlineStr">
        <is>
          <t>42847922MDD3003 eCOA UAT Plan v5.0</t>
        </is>
      </c>
      <c r="F1730" s="2" t="str">
        <f>HYPERLINK("https://vtmf.veevavault.com/ui/#doc_info/26189712/5/0", "VTMF-20945984")</f>
        <v>VTMF-20945984</v>
      </c>
      <c r="G1730" s="3" t="inlineStr">
        <is>
          <t/>
        </is>
      </c>
      <c r="H1730" s="3" t="inlineStr">
        <is>
          <t>System</t>
        </is>
      </c>
      <c r="I1730" s="3" t="inlineStr">
        <is>
          <t>Charles Hayes</t>
        </is>
      </c>
      <c r="J1730" s="4" t="n">
        <v>45888.96952546296</v>
      </c>
      <c r="K1730" s="5" t="n">
        <v>45889.0</v>
      </c>
      <c r="L1730" s="5" t="n">
        <v>45888.0</v>
      </c>
      <c r="M1730" s="3" t="inlineStr">
        <is>
          <t>Approved</t>
        </is>
      </c>
      <c r="N1730" s="3" t="inlineStr">
        <is>
          <t>Study Start</t>
        </is>
      </c>
      <c r="O1730" s="3" t="inlineStr">
        <is>
          <t>42847922MDD3003</t>
        </is>
      </c>
    </row>
    <row r="1731">
      <c r="A1731" s="2" t="str">
        <f>HYPERLINK("https://vtmf.veevavault.com/ui/#doc_info/26682947/3/0", "42847922MDD3003---UAT Report-15 Sep 2025 (v3.0)")</f>
        <v>42847922MDD3003---UAT Report-15 Sep 2025 (v3.0)</v>
      </c>
      <c r="B1731" s="3" t="inlineStr">
        <is>
          <t>Data Management</t>
        </is>
      </c>
      <c r="C1731" s="3" t="inlineStr">
        <is>
          <t>EDC Management</t>
        </is>
      </c>
      <c r="D1731" s="3" t="inlineStr">
        <is>
          <t>UAT Report</t>
        </is>
      </c>
      <c r="E1731" s="3" t="inlineStr">
        <is>
          <t>eCOA UAT Report_V3.0</t>
        </is>
      </c>
      <c r="F1731" s="2" t="str">
        <f>HYPERLINK("https://vtmf.veevavault.com/ui/#doc_info/26682947/3/0", "VTMF-21377665")</f>
        <v>VTMF-21377665</v>
      </c>
      <c r="G1731" s="3" t="inlineStr">
        <is>
          <t/>
        </is>
      </c>
      <c r="H1731" s="3" t="inlineStr">
        <is>
          <t>System</t>
        </is>
      </c>
      <c r="I1731" s="3" t="inlineStr">
        <is>
          <t>Charles Hayes</t>
        </is>
      </c>
      <c r="J1731" s="4" t="n">
        <v>45915.584074074075</v>
      </c>
      <c r="K1731" s="5" t="n">
        <v>45915.0</v>
      </c>
      <c r="L1731" s="5" t="n">
        <v>45915.0</v>
      </c>
      <c r="M1731" s="3" t="inlineStr">
        <is>
          <t>Approved</t>
        </is>
      </c>
      <c r="N1731" s="3" t="inlineStr">
        <is>
          <t>Study Start</t>
        </is>
      </c>
      <c r="O1731" s="3" t="inlineStr">
        <is>
          <t>42847922MDD3003</t>
        </is>
      </c>
    </row>
    <row r="1732">
      <c r="A1732" s="2" t="str">
        <f>HYPERLINK("https://vtmf.veevavault.com/ui/#doc_info/28605979/1/0", "42847922MDD3003---UAT Report-21 Feb 2025 (v1.0)")</f>
        <v>42847922MDD3003---UAT Report-21 Feb 2025 (v1.0)</v>
      </c>
      <c r="B1732" s="3" t="inlineStr">
        <is>
          <t>Data Management</t>
        </is>
      </c>
      <c r="C1732" s="3" t="inlineStr">
        <is>
          <t>EDC Management</t>
        </is>
      </c>
      <c r="D1732" s="3" t="inlineStr">
        <is>
          <t>UAT Report</t>
        </is>
      </c>
      <c r="E1732" s="3" t="inlineStr">
        <is>
          <t>UAT Acceptance Memo</t>
        </is>
      </c>
      <c r="F1732" s="2" t="str">
        <f>HYPERLINK("https://vtmf.veevavault.com/ui/#doc_info/28605979/1/0", "VTMF-22975333")</f>
        <v>VTMF-22975333</v>
      </c>
      <c r="G1732" s="3" t="inlineStr">
        <is>
          <t/>
        </is>
      </c>
      <c r="H1732" s="3" t="inlineStr">
        <is>
          <t>Anthony Suarez (veeva.com)</t>
        </is>
      </c>
      <c r="I1732" s="3" t="inlineStr">
        <is>
          <t>Stephanie Bachman</t>
        </is>
      </c>
      <c r="J1732" s="4" t="n">
        <v>45721.92320601852</v>
      </c>
      <c r="K1732" s="5" t="n">
        <v>45722.0</v>
      </c>
      <c r="L1732" s="5" t="n">
        <v>45709.0</v>
      </c>
      <c r="M1732" s="3" t="inlineStr">
        <is>
          <t>Approved</t>
        </is>
      </c>
      <c r="N1732" s="3" t="inlineStr">
        <is>
          <t>Study Start</t>
        </is>
      </c>
      <c r="O1732" s="3" t="inlineStr">
        <is>
          <t>42847922MDD3003</t>
        </is>
      </c>
    </row>
    <row r="1733">
      <c r="A1733" s="2" t="str">
        <f>HYPERLINK("https://vtmf.veevavault.com/ui/#doc_info/26733387/1/0", "42847922MDD3003---UAT Report-24 Jun 2024 (v1.0)")</f>
        <v>42847922MDD3003---UAT Report-24 Jun 2024 (v1.0)</v>
      </c>
      <c r="B1733" s="3" t="inlineStr">
        <is>
          <t>Data Management</t>
        </is>
      </c>
      <c r="C1733" s="3" t="inlineStr">
        <is>
          <t>EDC Management</t>
        </is>
      </c>
      <c r="D1733" s="3" t="inlineStr">
        <is>
          <t>UAT Report</t>
        </is>
      </c>
      <c r="E1733" s="3" t="inlineStr">
        <is>
          <t>Initial UAT Acceptance Memo</t>
        </is>
      </c>
      <c r="F1733" s="2" t="str">
        <f>HYPERLINK("https://vtmf.veevavault.com/ui/#doc_info/26733387/1/0", "VTMF-21421823")</f>
        <v>VTMF-21421823</v>
      </c>
      <c r="G1733" s="3" t="inlineStr">
        <is>
          <t/>
        </is>
      </c>
      <c r="H1733" s="3" t="inlineStr">
        <is>
          <t>Anthony Suarez (veeva.com)</t>
        </is>
      </c>
      <c r="I1733" s="3" t="inlineStr">
        <is>
          <t>Stephanie Bachman</t>
        </is>
      </c>
      <c r="J1733" s="4" t="n">
        <v>45491.845972222225</v>
      </c>
      <c r="K1733" s="5" t="n">
        <v>45491.0</v>
      </c>
      <c r="L1733" s="5" t="n">
        <v>45467.0</v>
      </c>
      <c r="M1733" s="3" t="inlineStr">
        <is>
          <t>Approved</t>
        </is>
      </c>
      <c r="N1733" s="3" t="inlineStr">
        <is>
          <t>Study Start</t>
        </is>
      </c>
      <c r="O1733" s="3" t="inlineStr">
        <is>
          <t>42847922MDD3003</t>
        </is>
      </c>
    </row>
    <row r="1734">
      <c r="A1734" s="2" t="str">
        <f>HYPERLINK("https://vtmf.veevavault.com/ui/#doc_info/31850336/1/0", "42847922MDD3003---Unblind Notification Related Form-09 Jun 2026 (v1.0)")</f>
        <v>42847922MDD3003---Unblind Notification Related Form-09 Jun 2026 (v1.0)</v>
      </c>
      <c r="B1734" s="3" t="inlineStr">
        <is>
          <t>Data Management</t>
        </is>
      </c>
      <c r="C1734" s="3" t="inlineStr">
        <is>
          <t>Database</t>
        </is>
      </c>
      <c r="D1734" s="3" t="inlineStr">
        <is>
          <t>Unblind Notification Related Form</t>
        </is>
      </c>
      <c r="E1734" s="3" t="inlineStr">
        <is>
          <t>Unblind Notification Form Part 1 DBL</t>
        </is>
      </c>
      <c r="F1734" s="2" t="str">
        <f>HYPERLINK("https://vtmf.veevavault.com/ui/#doc_info/31850336/1/0", "VTMF-25711693")</f>
        <v>VTMF-25711693</v>
      </c>
      <c r="G1734" s="3" t="inlineStr">
        <is>
          <t/>
        </is>
      </c>
      <c r="H1734" s="3" t="inlineStr">
        <is>
          <t>System</t>
        </is>
      </c>
      <c r="I1734" s="3" t="inlineStr">
        <is>
          <t>Ilona Panis</t>
        </is>
      </c>
      <c r="J1734" s="4" t="n">
        <v>46183.45574074074</v>
      </c>
      <c r="K1734" s="5" t="n">
        <v>46183.0</v>
      </c>
      <c r="L1734" s="5" t="n">
        <v>46182.0</v>
      </c>
      <c r="M1734" s="3" t="inlineStr">
        <is>
          <t>Approved</t>
        </is>
      </c>
      <c r="N1734" s="3" t="inlineStr">
        <is>
          <t>Study Close</t>
        </is>
      </c>
      <c r="O1734" s="3" t="inlineStr">
        <is>
          <t>42847922MDD3003</t>
        </is>
      </c>
    </row>
    <row r="1735">
      <c r="A1735" s="2" t="str">
        <f>HYPERLINK("https://vtmf.veevavault.com/ui/#doc_info/31777545/1/0", "42847922MDD3003---Unblind Notification Related Form-18 May 2026 (v1.0)")</f>
        <v>42847922MDD3003---Unblind Notification Related Form-18 May 2026 (v1.0)</v>
      </c>
      <c r="B1735" s="3" t="inlineStr">
        <is>
          <t>Data Management</t>
        </is>
      </c>
      <c r="C1735" s="3" t="inlineStr">
        <is>
          <t>Database</t>
        </is>
      </c>
      <c r="D1735" s="3" t="inlineStr">
        <is>
          <t>Unblind Notification Related Form</t>
        </is>
      </c>
      <c r="E1735" s="3" t="inlineStr">
        <is>
          <t>42847922MDD3003_Intent to Unblind Notification Form_GMS_18MAY2026_Part 1</t>
        </is>
      </c>
      <c r="F1735" s="2" t="str">
        <f>HYPERLINK("https://vtmf.veevavault.com/ui/#doc_info/31777545/1/0", "VTMF-25649832")</f>
        <v>VTMF-25649832</v>
      </c>
      <c r="G1735" s="3" t="inlineStr">
        <is>
          <t/>
        </is>
      </c>
      <c r="H1735" s="3" t="inlineStr">
        <is>
          <t>System</t>
        </is>
      </c>
      <c r="I1735" s="3" t="inlineStr">
        <is>
          <t>Mahija Manchakal</t>
        </is>
      </c>
      <c r="J1735" s="4" t="n">
        <v>46171.58383101852</v>
      </c>
      <c r="K1735" s="5" t="n">
        <v>46171.0</v>
      </c>
      <c r="L1735" s="5" t="n">
        <v>46160.0</v>
      </c>
      <c r="M1735" s="3" t="inlineStr">
        <is>
          <t>Approved</t>
        </is>
      </c>
      <c r="N1735" s="3" t="inlineStr">
        <is>
          <t>Study Close</t>
        </is>
      </c>
      <c r="O1735" s="3" t="inlineStr">
        <is>
          <t>42847922MDD3003</t>
        </is>
      </c>
    </row>
    <row r="1736">
      <c r="A1736" s="2" t="str">
        <f>HYPERLINK("https://vtmf.veevavault.com/ui/#doc_info/26757190/12/0", "42847922MDD3003---Validation Documents-22 May 2026 (v12.0)")</f>
        <v>42847922MDD3003---Validation Documents-22 May 2026 (v12.0)</v>
      </c>
      <c r="B1736" s="3" t="inlineStr">
        <is>
          <t>Data Management</t>
        </is>
      </c>
      <c r="C1736" s="3" t="inlineStr">
        <is>
          <t>EDC Management</t>
        </is>
      </c>
      <c r="D1736" s="3" t="inlineStr">
        <is>
          <t>Validation Documents</t>
        </is>
      </c>
      <c r="E1736" s="3" t="inlineStr">
        <is>
          <t>Data Validation Rule Specification_v12.0_22-MAY-2026</t>
        </is>
      </c>
      <c r="F1736" s="2" t="str">
        <f>HYPERLINK("https://vtmf.veevavault.com/ui/#doc_info/26757190/12/0", "VTMF-21442122")</f>
        <v>VTMF-21442122</v>
      </c>
      <c r="G1736" s="3" t="inlineStr">
        <is>
          <t/>
        </is>
      </c>
      <c r="H1736" s="3" t="inlineStr">
        <is>
          <t>System</t>
        </is>
      </c>
      <c r="I1736" s="3" t="inlineStr">
        <is>
          <t>Mahija Manchakal</t>
        </is>
      </c>
      <c r="J1736" s="4" t="n">
        <v>46171.0112037037</v>
      </c>
      <c r="K1736" s="5" t="n">
        <v>46171.0</v>
      </c>
      <c r="L1736" s="5" t="n">
        <v>46164.0</v>
      </c>
      <c r="M1736" s="3" t="inlineStr">
        <is>
          <t>Approved</t>
        </is>
      </c>
      <c r="N1736" s="3" t="inlineStr">
        <is>
          <t>Study Start</t>
        </is>
      </c>
      <c r="O1736" s="3" t="inlineStr">
        <is>
          <t>42847922MDD3003</t>
        </is>
      </c>
    </row>
    <row r="1737">
      <c r="A1737" s="2" t="str">
        <f>HYPERLINK("https://vtmf.veevavault.com/ui/#doc_info/26761237/5/0", "42847922MDD3003---Vendor Management Plan-23 Mar 2026 (v5.0)")</f>
        <v>42847922MDD3003---Vendor Management Plan-23 Mar 2026 (v5.0)</v>
      </c>
      <c r="B1737" s="3" t="inlineStr">
        <is>
          <t>Trial Management</t>
        </is>
      </c>
      <c r="C1737" s="3" t="inlineStr">
        <is>
          <t>Trial Oversight</t>
        </is>
      </c>
      <c r="D1737" s="3" t="inlineStr">
        <is>
          <t>Vendor Management Plan</t>
        </is>
      </c>
      <c r="E1737" s="3" t="inlineStr">
        <is>
          <t>ESP Oversight Summary v 5.0</t>
        </is>
      </c>
      <c r="F1737" s="2" t="str">
        <f>HYPERLINK("https://vtmf.veevavault.com/ui/#doc_info/26761237/5/0", "VTMF-21445628")</f>
        <v>VTMF-21445628</v>
      </c>
      <c r="G1737" s="3" t="inlineStr">
        <is>
          <t/>
        </is>
      </c>
      <c r="H1737" s="3" t="inlineStr">
        <is>
          <t>System</t>
        </is>
      </c>
      <c r="I1737" s="3" t="inlineStr">
        <is>
          <t>Gina Stefanelli</t>
        </is>
      </c>
      <c r="J1737" s="4" t="n">
        <v>46104.59258101852</v>
      </c>
      <c r="K1737" s="5" t="n">
        <v>46104.0</v>
      </c>
      <c r="L1737" s="5" t="n">
        <v>46104.0</v>
      </c>
      <c r="M1737" s="3" t="inlineStr">
        <is>
          <t>Approved</t>
        </is>
      </c>
      <c r="N1737" s="3" t="inlineStr">
        <is>
          <t>Study Start</t>
        </is>
      </c>
      <c r="O1737" s="3" t="inlineStr">
        <is>
          <t>42847922MDD3003</t>
        </is>
      </c>
    </row>
    <row r="1738">
      <c r="A1738" s="2" t="str">
        <f>HYPERLINK("https://vtmf.veevavault.com/ui/#doc_info/31544610/1/0", "61186372EDI1001---Quality Review Documentation-27 Apr 2026 (v1.0)")</f>
        <v>61186372EDI1001---Quality Review Documentation-27 Apr 2026 (v1.0)</v>
      </c>
      <c r="B1738" s="3" t="inlineStr">
        <is>
          <t>Trial Management</t>
        </is>
      </c>
      <c r="C1738" s="3" t="inlineStr">
        <is>
          <t>Trial Oversight</t>
        </is>
      </c>
      <c r="D1738" s="3" t="inlineStr">
        <is>
          <t>Quality Review Documentation</t>
        </is>
      </c>
      <c r="E1738" s="3" t="inlineStr">
        <is>
          <t>CSC Timely Filing Metrics Review_1Q2026_V#1</t>
        </is>
      </c>
      <c r="F1738" s="2" t="str">
        <f>HYPERLINK("https://vtmf.veevavault.com/ui/#doc_info/31544610/1/0", "VTMF-25456135")</f>
        <v>VTMF-25456135</v>
      </c>
      <c r="G1738" s="3" t="inlineStr">
        <is>
          <t/>
        </is>
      </c>
      <c r="H1738" s="3" t="inlineStr">
        <is>
          <t>System</t>
        </is>
      </c>
      <c r="I1738" s="3" t="inlineStr">
        <is>
          <t>Jessica Houseman</t>
        </is>
      </c>
      <c r="J1738" s="4" t="n">
        <v>46140.69256944444</v>
      </c>
      <c r="K1738" s="5" t="n">
        <v>46140.0</v>
      </c>
      <c r="L1738" s="5" t="n">
        <v>46139.0</v>
      </c>
      <c r="M1738" s="3" t="inlineStr">
        <is>
          <t>Approved</t>
        </is>
      </c>
      <c r="N1738" s="3" t="inlineStr">
        <is>
          <t>Country Close, Site Close, Study Close</t>
        </is>
      </c>
      <c r="O1738" s="3" t="inlineStr">
        <is>
          <t>101556143PCR1001, 17000139BLC3002, 17000139BLC3004, 17000139BLC4003, 1761981STM1001, 39039039THR3001, 42756493BLC1003, 42756493BLC2002, 42756493BLC3001, 42756493BLC3004, 42756493BLC3005, 42847922MDD3003, 42847922MDD3011, 42847922MDD4002, 54135419SUI3003, 54135419TRD3015, 54135419TRD4011, 54179060CLL2032, 54179060CLL3011, 54767414AMY2009, 54767414MMY2093, 54767414MMY3030, 56021927PCR3020, 56021927PCR4043, 56021927SGT2001, 61186372CAN4001, 61186372COR3001, 61186372COR3002, 61186372EDI1001, 61186372GIC2002</t>
        </is>
      </c>
    </row>
    <row r="1739">
      <c r="A1739" s="2" t="str">
        <f>HYPERLINK("https://vtmf.veevavault.com/ui/#doc_info/14952815/1/0", "63709178AML1001---Relevant Communications-09 Oct 2020 (v1.0)")</f>
        <v>63709178AML1001---Relevant Communications-09 Oct 2020 (v1.0)</v>
      </c>
      <c r="B1739" s="3" t="inlineStr">
        <is>
          <t>Third Parties</t>
        </is>
      </c>
      <c r="C1739" s="3" t="inlineStr">
        <is>
          <t>General</t>
        </is>
      </c>
      <c r="D1739" s="3" t="inlineStr">
        <is>
          <t>Relevant Communications</t>
        </is>
      </c>
      <c r="E1739" s="3" t="inlineStr">
        <is>
          <t>ERT Downtime Updates_Site Memo_09Oct2020</t>
        </is>
      </c>
      <c r="F1739" s="2" t="str">
        <f>HYPERLINK("https://vtmf.veevavault.com/ui/#doc_info/14952815/1/0", "VTMF-10692684")</f>
        <v>VTMF-10692684</v>
      </c>
      <c r="G1739" s="3" t="inlineStr">
        <is>
          <t/>
        </is>
      </c>
      <c r="H1739" s="3" t="inlineStr">
        <is>
          <t>Anthony Suarez (veeva.com)</t>
        </is>
      </c>
      <c r="I1739" s="3" t="inlineStr">
        <is>
          <t>Lee Walesyn</t>
        </is>
      </c>
      <c r="J1739" s="4" t="n">
        <v>44120.893842592595</v>
      </c>
      <c r="K1739" s="5" t="n">
        <v>44120.0</v>
      </c>
      <c r="L1739" s="5" t="n">
        <v>44113.0</v>
      </c>
      <c r="M1739" s="3" t="inlineStr">
        <is>
          <t>Approved</t>
        </is>
      </c>
      <c r="N1739" s="3" t="inlineStr">
        <is>
          <t>Country Close, Site Close, Study Close</t>
        </is>
      </c>
      <c r="O1739" s="3" t="inlineStr">
        <is>
          <t>42847922MDD3001, 42847922MDD3003, 53718678RSV2005, 53718678RSV2006, 56136379HPB2001, 61186372NSC3001, 61393215MDD2001, 63709178AML1001, 63733657ALZ2002, 63898081EDI1001, 64007957MMY1001, 64091742PCR3001, 64407564MMY1001, 64417184RSV2001, 64619178EDI1001, 66525433IBD1001, 67571244AML1001, 70033093THR1004, 70218902EDI1001, 73763989HPB2004, 73841937NSC3003, 74699157STM1001, 74856665AML1001, AC-055-315, AC-065A203, AC-065A310, ESKETINTRD3006, JNJ-184-1401</t>
        </is>
      </c>
    </row>
    <row r="1740">
      <c r="A1740" s="2" t="str">
        <f>HYPERLINK("https://vtmf.veevavault.com/ui/#doc_info/25983600/1/0", "64007957MMY1001---Relevant Communications-05 Mar 2024 (v1.0)")</f>
        <v>64007957MMY1001---Relevant Communications-05 Mar 2024 (v1.0)</v>
      </c>
      <c r="B1740" s="3" t="inlineStr">
        <is>
          <t>Third Parties</t>
        </is>
      </c>
      <c r="C1740" s="3" t="inlineStr">
        <is>
          <t>General</t>
        </is>
      </c>
      <c r="D1740" s="3" t="inlineStr">
        <is>
          <t>Relevant Communications</t>
        </is>
      </c>
      <c r="E1740" s="3" t="inlineStr">
        <is>
          <t>ECG_Clario Genesys - 2nd Customer Memorandum_05Mar2024</t>
        </is>
      </c>
      <c r="F1740" s="2" t="str">
        <f>HYPERLINK("https://vtmf.veevavault.com/ui/#doc_info/25983600/1/0", "VTMF-20765338")</f>
        <v>VTMF-20765338</v>
      </c>
      <c r="G1740" s="3" t="inlineStr">
        <is>
          <t/>
        </is>
      </c>
      <c r="H1740" s="3" t="inlineStr">
        <is>
          <t>System</t>
        </is>
      </c>
      <c r="I1740" s="3" t="inlineStr">
        <is>
          <t>Lee Walesyn</t>
        </is>
      </c>
      <c r="J1740" s="4" t="n">
        <v>45373.63796296297</v>
      </c>
      <c r="K1740" s="5" t="n">
        <v>45373.0</v>
      </c>
      <c r="L1740" s="5" t="n">
        <v>45356.0</v>
      </c>
      <c r="M1740" s="3" t="inlineStr">
        <is>
          <t>Approved</t>
        </is>
      </c>
      <c r="N1740" s="3" t="inlineStr">
        <is>
          <t>Country Close, Site Close, Study Close</t>
        </is>
      </c>
      <c r="O1740" s="3" t="inlineStr">
        <is>
          <t>42847922MDD3001, 42847922MDD3003, 54767414AMY2009, 61186372NSC3001, 63733657ALZ2002, 64007957MMY1001, 64042056ALZ2001, 64281802DNG2003, 64407564MMY1001, 64619178EDI1001, 67953964MDD3002, 67953964MDD3003, 67953964MDD3005, 67953964MDD3007, 73763989HPB2004, 73763989PAHPB2008, 73841937NSC3003, 74856665AML1001, 75276617ALE1001, 75276617ALE1002, 77242113PSA3001, 77242113PSO3001, 77242113PSO3002, 77242113PSO3003, 77242113PSO3004, 77242113UCO2001, 78278343PCR1001, 80202135CDP3001, 80202135MYG2001, 86974680NSC1001, 87189401PCR1001, 87890387STM1001, 88545223EDI1001, 89495120MDD2001, AC-055-315, AC-065A203, AC-065A310, MOM-M281-006, MOM-M281-011, TMC207LEP3001</t>
        </is>
      </c>
    </row>
    <row r="1741">
      <c r="A1741" s="2" t="str">
        <f>HYPERLINK("https://vtmf.veevavault.com/ui/#doc_info/26452987/1/0", "64007957MMY1001---Relevant Communications-15 May 2024 (v1.0)")</f>
        <v>64007957MMY1001---Relevant Communications-15 May 2024 (v1.0)</v>
      </c>
      <c r="B1741" s="3" t="inlineStr">
        <is>
          <t>Third Parties</t>
        </is>
      </c>
      <c r="C1741" s="3" t="inlineStr">
        <is>
          <t>General</t>
        </is>
      </c>
      <c r="D1741" s="3" t="inlineStr">
        <is>
          <t>Relevant Communications</t>
        </is>
      </c>
      <c r="E1741" s="3" t="inlineStr">
        <is>
          <t>ECG_Clario MSP Continued Unscheduled Maintenance memo 15May2024</t>
        </is>
      </c>
      <c r="F1741" s="2" t="str">
        <f>HYPERLINK("https://vtmf.veevavault.com/ui/#doc_info/26452987/1/0", "VTMF-21175906")</f>
        <v>VTMF-21175906</v>
      </c>
      <c r="G1741" s="3" t="inlineStr">
        <is>
          <t/>
        </is>
      </c>
      <c r="H1741" s="3" t="inlineStr">
        <is>
          <t>System</t>
        </is>
      </c>
      <c r="I1741" s="3" t="inlineStr">
        <is>
          <t>Lee Walesyn</t>
        </is>
      </c>
      <c r="J1741" s="4" t="n">
        <v>45447.65357638889</v>
      </c>
      <c r="K1741" s="5" t="n">
        <v>45447.0</v>
      </c>
      <c r="L1741" s="5" t="n">
        <v>45427.0</v>
      </c>
      <c r="M1741" s="3" t="inlineStr">
        <is>
          <t>Approved</t>
        </is>
      </c>
      <c r="N1741" s="3" t="inlineStr">
        <is>
          <t>Country Close, Site Close, Study Close</t>
        </is>
      </c>
      <c r="O1741" s="3" t="inlineStr">
        <is>
          <t>42847922MDD3001, 42847922MDD3003, 54767414AMY2009, 61186372NSC3001, 63733657ALZ2002, 64007957MMY1001, 64407564MMY1001, 64619178EDI1001, 67953964MDD3002, 67953964MDD3003, 67953964MDD3007,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1742">
      <c r="A1742" s="2" t="str">
        <f>HYPERLINK("https://vtmf.veevavault.com/ui/#doc_info/27801807/1/0", "64007957MMY1001---Relevant Communications-25 Nov 2024 (v1.0)")</f>
        <v>64007957MMY1001---Relevant Communications-25 Nov 2024 (v1.0)</v>
      </c>
      <c r="B1742" s="3" t="inlineStr">
        <is>
          <t>Third Parties</t>
        </is>
      </c>
      <c r="C1742" s="3" t="inlineStr">
        <is>
          <t>General</t>
        </is>
      </c>
      <c r="D1742" s="3" t="inlineStr">
        <is>
          <t>Relevant Communications</t>
        </is>
      </c>
      <c r="E1742" s="3" t="inlineStr">
        <is>
          <t>Clario Memo - Logistics Operations Closure Dates - 2024/2025 Holiday Season</t>
        </is>
      </c>
      <c r="F1742" s="2" t="str">
        <f>HYPERLINK("https://vtmf.veevavault.com/ui/#doc_info/27801807/1/0", "VTMF-22290978")</f>
        <v>VTMF-22290978</v>
      </c>
      <c r="G1742" s="3" t="inlineStr">
        <is>
          <t/>
        </is>
      </c>
      <c r="H1742" s="3" t="inlineStr">
        <is>
          <t>System</t>
        </is>
      </c>
      <c r="I1742" s="3" t="inlineStr">
        <is>
          <t>Lee Walesyn</t>
        </is>
      </c>
      <c r="J1742" s="4" t="n">
        <v>45630.665243055555</v>
      </c>
      <c r="K1742" s="5" t="n">
        <v>45630.0</v>
      </c>
      <c r="L1742" s="5" t="n">
        <v>45621.0</v>
      </c>
      <c r="M1742" s="3" t="inlineStr">
        <is>
          <t>Approved</t>
        </is>
      </c>
      <c r="N1742" s="3" t="inlineStr">
        <is>
          <t>Country Close, Site Close, Study Close</t>
        </is>
      </c>
      <c r="O1742" s="3" t="inlineStr">
        <is>
          <t>42847922MDD3003, 54767414AMY2009, 61186372NSC3001, 63733657ALZ2002, 64007957MMY1001, 64042056ALZ2001, 64407564MMY1001, 64619178EDI1001,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80202135MYG3001, 86974680NSC1001, 87189401PCR1001, 87562761MMY1001, 87890387STM1001, 88545223EDI1001, 89495120MDD2001, 95475939ADM2001, AC-055-315, AC-065A203, AC-065A310, MOM-M281-006, MOM-M281-011, TMC207LEP3001</t>
        </is>
      </c>
    </row>
    <row r="1743">
      <c r="A1743" s="2" t="str">
        <f>HYPERLINK("https://vtmf.veevavault.com/ui/#doc_info/29318349/1/0", "64407564MMY1001---Relevant Communications-12 May 2025 (v1.0)")</f>
        <v>64407564MMY1001---Relevant Communications-12 May 2025 (v1.0)</v>
      </c>
      <c r="B1743" s="3" t="inlineStr">
        <is>
          <t>Third Parties</t>
        </is>
      </c>
      <c r="C1743" s="3" t="inlineStr">
        <is>
          <t>General</t>
        </is>
      </c>
      <c r="D1743" s="3" t="inlineStr">
        <is>
          <t>Relevant Communications</t>
        </is>
      </c>
      <c r="E1743" s="3" t="inlineStr">
        <is>
          <t>ECG_Clario_Device Returns - US Tariffs - Site Memo_ 12May2025</t>
        </is>
      </c>
      <c r="F1743" s="2" t="str">
        <f>HYPERLINK("https://vtmf.veevavault.com/ui/#doc_info/29318349/1/0", "VTMF-23567392")</f>
        <v>VTMF-23567392</v>
      </c>
      <c r="G1743" s="3" t="inlineStr">
        <is>
          <t/>
        </is>
      </c>
      <c r="H1743" s="3" t="inlineStr">
        <is>
          <t>Anthony Suarez (veeva.com)</t>
        </is>
      </c>
      <c r="I1743" s="3" t="inlineStr">
        <is>
          <t>Lee Walesyn</t>
        </is>
      </c>
      <c r="J1743" s="4" t="n">
        <v>45817.846875</v>
      </c>
      <c r="K1743" s="5" t="n">
        <v>45817.0</v>
      </c>
      <c r="L1743" s="5" t="n">
        <v>45789.0</v>
      </c>
      <c r="M1743" s="3" t="inlineStr">
        <is>
          <t>Approved</t>
        </is>
      </c>
      <c r="N1743" s="3" t="inlineStr">
        <is>
          <t>Country Close, Site Close, Study Close</t>
        </is>
      </c>
      <c r="O1743" s="3" t="inlineStr">
        <is>
          <t>42847922MDD3003, 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744">
      <c r="A1744" s="2" t="str">
        <f>HYPERLINK("https://vtmf.veevavault.com/ui/#doc_info/31679287/1/0", "64407564MMY1001---Relevant Communications-17 Apr 2026 (v1.0)")</f>
        <v>64407564MMY1001---Relevant Communications-17 Apr 2026 (v1.0)</v>
      </c>
      <c r="B1744" s="3" t="inlineStr">
        <is>
          <t>Third Parties</t>
        </is>
      </c>
      <c r="C1744" s="3" t="inlineStr">
        <is>
          <t>General</t>
        </is>
      </c>
      <c r="D1744" s="3" t="inlineStr">
        <is>
          <t>Relevant Communications</t>
        </is>
      </c>
      <c r="E1744" s="3" t="inlineStr">
        <is>
          <t>ECG_Clario Portal Maintenance GSSO Downtime Memo 17Apr2026</t>
        </is>
      </c>
      <c r="F1744" s="2" t="str">
        <f>HYPERLINK("https://vtmf.veevavault.com/ui/#doc_info/31679287/1/0", "VTMF-25564013")</f>
        <v>VTMF-25564013</v>
      </c>
      <c r="G1744" s="3" t="inlineStr">
        <is>
          <t/>
        </is>
      </c>
      <c r="H1744" s="3" t="inlineStr">
        <is>
          <t>System</t>
        </is>
      </c>
      <c r="I1744" s="3" t="inlineStr">
        <is>
          <t>Lee Walesyn</t>
        </is>
      </c>
      <c r="J1744" s="4" t="n">
        <v>46157.80289351852</v>
      </c>
      <c r="K1744" s="5" t="n">
        <v>46157.0</v>
      </c>
      <c r="L1744" s="5" t="n">
        <v>46129.0</v>
      </c>
      <c r="M1744" s="3" t="inlineStr">
        <is>
          <t>Approved</t>
        </is>
      </c>
      <c r="N1744" s="3" t="inlineStr">
        <is>
          <t>Country Close, Site Close, Study Close</t>
        </is>
      </c>
      <c r="O1744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745">
      <c r="A1745" s="2" t="str">
        <f>HYPERLINK("https://vtmf.veevavault.com/ui/#doc_info/29859946/1/0", "64407564MMY1001---Relevant Communications-17 Aug 2025 (v1.0)")</f>
        <v>64407564MMY1001---Relevant Communications-17 Aug 2025 (v1.0)</v>
      </c>
      <c r="B1745" s="3" t="inlineStr">
        <is>
          <t>Third Parties</t>
        </is>
      </c>
      <c r="C1745" s="3" t="inlineStr">
        <is>
          <t>General</t>
        </is>
      </c>
      <c r="D1745" s="3" t="inlineStr">
        <is>
          <t>Relevant Communications</t>
        </is>
      </c>
      <c r="E1745" s="3" t="inlineStr">
        <is>
          <t>ECG_Clario System Maintenance Memo_17Aug2025</t>
        </is>
      </c>
      <c r="F1745" s="2" t="str">
        <f>HYPERLINK("https://vtmf.veevavault.com/ui/#doc_info/29859946/1/0", "VTMF-24032665")</f>
        <v>VTMF-24032665</v>
      </c>
      <c r="G1745" s="3" t="inlineStr">
        <is>
          <t/>
        </is>
      </c>
      <c r="H1745" s="3" t="inlineStr">
        <is>
          <t>Anthony Suarez (veeva.com)</t>
        </is>
      </c>
      <c r="I1745" s="3" t="inlineStr">
        <is>
          <t>Lee Walesyn</t>
        </is>
      </c>
      <c r="J1745" s="4" t="n">
        <v>45898.86099537037</v>
      </c>
      <c r="K1745" s="5" t="n">
        <v>45898.0</v>
      </c>
      <c r="L1745" s="5" t="n">
        <v>45886.0</v>
      </c>
      <c r="M1745" s="3" t="inlineStr">
        <is>
          <t>Approved</t>
        </is>
      </c>
      <c r="N1745" s="3" t="inlineStr">
        <is>
          <t>Country Close, Site Close, Study Close</t>
        </is>
      </c>
      <c r="O1745" s="3" t="inlineStr">
        <is>
          <t>42847922MDD3003, 54767414AMY2009, 61186372NSC3001, 63733657ALZ2002, 64042056ALZ2001, 64407564MMY1001,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746">
      <c r="A1746" s="2" t="str">
        <f>HYPERLINK("https://vtmf.veevavault.com/ui/#doc_info/30585520/1/0", "64407564MMY1001---Relevant Communications-19 Nov 2025 (v1.0)")</f>
        <v>64407564MMY1001---Relevant Communications-19 Nov 2025 (v1.0)</v>
      </c>
      <c r="B1746" s="3" t="inlineStr">
        <is>
          <t>Third Parties</t>
        </is>
      </c>
      <c r="C1746" s="3" t="inlineStr">
        <is>
          <t>General</t>
        </is>
      </c>
      <c r="D1746" s="3" t="inlineStr">
        <is>
          <t>Relevant Communications</t>
        </is>
      </c>
      <c r="E1746" s="3" t="inlineStr">
        <is>
          <t>ECG_2025 Clario Winter Break Site Memo 1.0_19Nov2025</t>
        </is>
      </c>
      <c r="F1746" s="2" t="str">
        <f>HYPERLINK("https://vtmf.veevavault.com/ui/#doc_info/30585520/1/0", "VTMF-24643264")</f>
        <v>VTMF-24643264</v>
      </c>
      <c r="G1746" s="3" t="inlineStr">
        <is>
          <t/>
        </is>
      </c>
      <c r="H1746" s="3" t="inlineStr">
        <is>
          <t>Anthony Suarez (veeva.com)</t>
        </is>
      </c>
      <c r="I1746" s="3" t="inlineStr">
        <is>
          <t>Lee Walesyn</t>
        </is>
      </c>
      <c r="J1746" s="4" t="n">
        <v>46002.63962962963</v>
      </c>
      <c r="K1746" s="5" t="n">
        <v>46002.0</v>
      </c>
      <c r="L1746" s="5" t="n">
        <v>45980.0</v>
      </c>
      <c r="M1746" s="3" t="inlineStr">
        <is>
          <t>Approved</t>
        </is>
      </c>
      <c r="N1746" s="3" t="inlineStr">
        <is>
          <t>Country Close, Site Close, Study Close</t>
        </is>
      </c>
      <c r="O1746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747">
      <c r="A1747" s="2" t="str">
        <f>HYPERLINK("https://vtmf.veevavault.com/ui/#doc_info/30585828/1/0", "64407564MMY1001---Relevant Communications-19 Nov 2025 (v1.0)")</f>
        <v>64407564MMY1001---Relevant Communications-19 Nov 2025 (v1.0)</v>
      </c>
      <c r="B1747" s="3" t="inlineStr">
        <is>
          <t>Third Parties</t>
        </is>
      </c>
      <c r="C1747" s="3" t="inlineStr">
        <is>
          <t>General</t>
        </is>
      </c>
      <c r="D1747" s="3" t="inlineStr">
        <is>
          <t>Relevant Communications</t>
        </is>
      </c>
      <c r="E1747" s="3" t="inlineStr">
        <is>
          <t>ECG_2025 Clario Winter Break Customer Memo v1.0_19Nov2025</t>
        </is>
      </c>
      <c r="F1747" s="2" t="str">
        <f>HYPERLINK("https://vtmf.veevavault.com/ui/#doc_info/30585828/1/0", "VTMF-24643633")</f>
        <v>VTMF-24643633</v>
      </c>
      <c r="G1747" s="3" t="inlineStr">
        <is>
          <t/>
        </is>
      </c>
      <c r="H1747" s="3" t="inlineStr">
        <is>
          <t>Anthony Suarez (veeva.com)</t>
        </is>
      </c>
      <c r="I1747" s="3" t="inlineStr">
        <is>
          <t>Lee Walesyn</t>
        </is>
      </c>
      <c r="J1747" s="4" t="n">
        <v>46002.666400462964</v>
      </c>
      <c r="K1747" s="5" t="n">
        <v>46002.0</v>
      </c>
      <c r="L1747" s="5" t="n">
        <v>45980.0</v>
      </c>
      <c r="M1747" s="3" t="inlineStr">
        <is>
          <t>Approved</t>
        </is>
      </c>
      <c r="N1747" s="3" t="inlineStr">
        <is>
          <t>Country Close, Site Close, Study Close</t>
        </is>
      </c>
      <c r="O1747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748">
      <c r="A1748" s="2" t="str">
        <f>HYPERLINK("https://vtmf.veevavault.com/ui/#doc_info/30446697/1/0", "AC-065A310---Relevant Communications-18 Nov 2025 (v1.0)")</f>
        <v>AC-065A310---Relevant Communications-18 Nov 2025 (v1.0)</v>
      </c>
      <c r="B1748" s="3" t="inlineStr">
        <is>
          <t>Centralized Testing</t>
        </is>
      </c>
      <c r="C1748" s="3" t="inlineStr">
        <is>
          <t>General</t>
        </is>
      </c>
      <c r="D1748" s="3" t="inlineStr">
        <is>
          <t>Relevant Communications</t>
        </is>
      </c>
      <c r="E1748" s="3" t="inlineStr">
        <is>
          <t>Bicarbonate_Calibrator.Client_Letter_18Nov25</t>
        </is>
      </c>
      <c r="F1748" s="2" t="str">
        <f>HYPERLINK("https://vtmf.veevavault.com/ui/#doc_info/30446697/1/0", "VTMF-24527448")</f>
        <v>VTMF-24527448</v>
      </c>
      <c r="G1748" s="3" t="inlineStr">
        <is>
          <t/>
        </is>
      </c>
      <c r="H1748" s="3" t="inlineStr">
        <is>
          <t>System</t>
        </is>
      </c>
      <c r="I1748" s="3" t="inlineStr">
        <is>
          <t>Angelika Jodlowska</t>
        </is>
      </c>
      <c r="J1748" s="4" t="n">
        <v>45982.39355324074</v>
      </c>
      <c r="K1748" s="5" t="n">
        <v>45982.0</v>
      </c>
      <c r="L1748" s="5" t="n">
        <v>45979.0</v>
      </c>
      <c r="M1748" s="3" t="inlineStr">
        <is>
          <t>Approved</t>
        </is>
      </c>
      <c r="N1748" s="3" t="inlineStr">
        <is>
          <t>Country Close, Site Close, Study Close</t>
        </is>
      </c>
      <c r="O1748" s="3" t="inlineStr">
        <is>
          <t>42847922MDD3003, 63733657ALZ2002, 77242113PSO3006, AC-055-315, AC-065A310, CNTO1959CRD3005, CNTO1959PUC3001</t>
        </is>
      </c>
    </row>
    <row r="1749">
      <c r="A1749" s="2" t="str">
        <f>HYPERLINK("https://vtmf.veevavault.com/ui/#doc_info/31064316/1/0", "CNTO1959PSO3011---Quality Review Documentation-23 Feb 2026 (v1.0)")</f>
        <v>CNTO1959PSO3011---Quality Review Documentation-23 Feb 2026 (v1.0)</v>
      </c>
      <c r="B1749" s="3" t="inlineStr">
        <is>
          <t>Trial Management</t>
        </is>
      </c>
      <c r="C1749" s="3" t="inlineStr">
        <is>
          <t>Trial Oversight</t>
        </is>
      </c>
      <c r="D1749" s="3" t="inlineStr">
        <is>
          <t>Quality Review Documentation</t>
        </is>
      </c>
      <c r="E1749" s="3" t="inlineStr">
        <is>
          <t>CSC Timely Filing Metrics Review_4Q2025_V#1</t>
        </is>
      </c>
      <c r="F1749" s="2" t="str">
        <f>HYPERLINK("https://vtmf.veevavault.com/ui/#doc_info/31064316/1/0", "VTMF-25043382")</f>
        <v>VTMF-25043382</v>
      </c>
      <c r="G1749" s="3" t="inlineStr">
        <is>
          <t/>
        </is>
      </c>
      <c r="H1749" s="3" t="inlineStr">
        <is>
          <t>System</t>
        </is>
      </c>
      <c r="I1749" s="3" t="inlineStr">
        <is>
          <t>Jessica Houseman</t>
        </is>
      </c>
      <c r="J1749" s="4" t="n">
        <v>46078.90052083333</v>
      </c>
      <c r="K1749" s="5" t="n">
        <v>46078.0</v>
      </c>
      <c r="L1749" s="5" t="n">
        <v>46076.0</v>
      </c>
      <c r="M1749" s="3" t="inlineStr">
        <is>
          <t>Approved</t>
        </is>
      </c>
      <c r="N1749" s="3" t="inlineStr">
        <is>
          <t>Country Close, Site Close, Study Close</t>
        </is>
      </c>
      <c r="O1749" s="3" t="inlineStr">
        <is>
          <t>42847922MDD3003, 56021927PCR4007, 68284528MMY3002, 79635322MMY2002, CNTO1959CRD4005, CNTO1959CRD4007, CNTO1959ISD3001, CNTO1959PBCRD3007, CNTO1959PSA3004, CNTO1959PSA3005, CNTO1959PSA4002, CNTO1959PSO3011, CNTO1959PSO3018, CNTO1959PUC3001, CNTO1959UCO3001, CNTO1959UCO3004, MGT-RPGR-022, MOM-M281-006, MOM-M281-011, NANORAY-312, NOPRODPAPUH3001, PLATFORMPACAN1001, R092670SCH4072, TALMMY1001-PT3, TMC207LEP3001, TMC207NTM3002, TMC278LAHTX4002, VAC52416BAC3001</t>
        </is>
      </c>
    </row>
    <row r="1750">
      <c r="A1750" s="2" t="str">
        <f>HYPERLINK("https://vtmf.veevavault.com/ui/#doc_info/27370012/1/0", "Compound_Seltorexant Compound Overview Training _V2.0 (v1.0)")</f>
        <v>Compound_Seltorexant Compound Overview Training _V2.0 (v1.0)</v>
      </c>
      <c r="B1750" s="3" t="inlineStr">
        <is>
          <t>Trial Management</t>
        </is>
      </c>
      <c r="C1750" s="3" t="inlineStr">
        <is>
          <t>Trial Oversight</t>
        </is>
      </c>
      <c r="D1750" s="3" t="inlineStr">
        <is>
          <t>Study Specific Training Material</t>
        </is>
      </c>
      <c r="E1750" s="3" t="inlineStr">
        <is>
          <t>Seltorexant Compound Overview Training _V2.0</t>
        </is>
      </c>
      <c r="F1750" s="2" t="str">
        <f>HYPERLINK("https://vtmf.veevavault.com/ui/#doc_info/27370012/1/0", "VTMF-21955538")</f>
        <v>VTMF-21955538</v>
      </c>
      <c r="G1750" s="3" t="inlineStr">
        <is>
          <t/>
        </is>
      </c>
      <c r="H1750" s="3" t="inlineStr">
        <is>
          <t>veeva migration.clinical</t>
        </is>
      </c>
      <c r="I1750" s="3" t="inlineStr">
        <is>
          <t>Jen Goodridge</t>
        </is>
      </c>
      <c r="J1750" s="4" t="n">
        <v>45595.87385416667</v>
      </c>
      <c r="K1750" s="5" t="n">
        <v>45595.0</v>
      </c>
      <c r="L1750" s="5" t="n">
        <v>45589.0</v>
      </c>
      <c r="M1750" s="3" t="inlineStr">
        <is>
          <t>Approved</t>
        </is>
      </c>
      <c r="N1750" s="3" t="inlineStr">
        <is>
          <t/>
        </is>
      </c>
      <c r="O1750" s="3" t="inlineStr">
        <is>
          <t>42847922MDD3003</t>
        </is>
      </c>
    </row>
    <row r="1751">
      <c r="A1751" s="2" t="str">
        <f>HYPERLINK("https://vtmf.veevavault.com/ui/#doc_info/24317460/1/0", "NE - 42756493BLC3005---Site Templates and Guidelines - Other (v1.0)")</f>
        <v>NE - 42756493BLC3005---Site Templates and Guidelines - Other (v1.0)</v>
      </c>
      <c r="B1751" s="3" t="inlineStr">
        <is>
          <t>Non Essential</t>
        </is>
      </c>
      <c r="C1751" s="3" t="inlineStr">
        <is>
          <t>Site Templates and Guidelines</t>
        </is>
      </c>
      <c r="D1751" s="3" t="inlineStr">
        <is>
          <t>Site Templates and Guidelines</t>
        </is>
      </c>
      <c r="E1751" s="3" t="inlineStr">
        <is>
          <t>LTM/SM Stipend and Travel Assistance FAQ V5.0 6Apr2022</t>
        </is>
      </c>
      <c r="F1751" s="2" t="str">
        <f>HYPERLINK("https://vtmf.veevavault.com/ui/#doc_info/24317460/1/0", "VTMF-19307471")</f>
        <v>VTMF-19307471</v>
      </c>
      <c r="G1751" s="3" t="inlineStr">
        <is>
          <t/>
        </is>
      </c>
      <c r="H1751" s="3" t="inlineStr">
        <is>
          <t>Emmarie Galvis</t>
        </is>
      </c>
      <c r="I1751" s="3" t="inlineStr">
        <is>
          <t>Lori Cherrin</t>
        </is>
      </c>
      <c r="J1751" s="4" t="n">
        <v>45099.964733796296</v>
      </c>
      <c r="K1751" s="5" t="n">
        <v>45735.0</v>
      </c>
      <c r="L1751" s="5" t="inlineStr">
        <is>
          <t/>
        </is>
      </c>
      <c r="M1751" s="3" t="inlineStr">
        <is>
          <t>Approved</t>
        </is>
      </c>
      <c r="N1751" s="3" t="inlineStr">
        <is>
          <t>Available for Distribution</t>
        </is>
      </c>
      <c r="O1751" s="3" t="inlineStr">
        <is>
          <t>42756493BLC3005, 42847922MDD3003, 64007957MMY1003, 64407564MMY3009</t>
        </is>
      </c>
    </row>
    <row r="1752">
      <c r="A1752" s="2" t="str">
        <f>HYPERLINK("https://vtmf.veevavault.com/ui/#doc_info/31135104/1/0", "NE - 42847922MDD3003---External Partner Documents (v1.0)")</f>
        <v>NE - 42847922MDD3003---External Partner Documents (v1.0)</v>
      </c>
      <c r="B1752" s="3" t="inlineStr">
        <is>
          <t>Non Essential</t>
        </is>
      </c>
      <c r="C1752" s="3" t="inlineStr">
        <is>
          <t>External Partner Documents</t>
        </is>
      </c>
      <c r="D1752" s="3" t="inlineStr">
        <is>
          <t/>
        </is>
      </c>
      <c r="E1752" s="3" t="inlineStr">
        <is>
          <t>Beacon Biosignals CAPA - 1</t>
        </is>
      </c>
      <c r="F1752" s="2" t="str">
        <f>HYPERLINK("https://vtmf.veevavault.com/ui/#doc_info/31135104/1/0", "VTMF-25102943")</f>
        <v>VTMF-25102943</v>
      </c>
      <c r="G1752" s="3" t="inlineStr">
        <is>
          <t/>
        </is>
      </c>
      <c r="H1752" s="3" t="inlineStr">
        <is>
          <t>System</t>
        </is>
      </c>
      <c r="I1752" s="3" t="inlineStr">
        <is>
          <t>Charles Hayes</t>
        </is>
      </c>
      <c r="J1752" s="4" t="n">
        <v>46088.655856481484</v>
      </c>
      <c r="K1752" s="5" t="n">
        <v>46088.0</v>
      </c>
      <c r="L1752" s="5" t="inlineStr">
        <is>
          <t/>
        </is>
      </c>
      <c r="M1752" s="3" t="inlineStr">
        <is>
          <t>Approved</t>
        </is>
      </c>
      <c r="N1752" s="3" t="inlineStr">
        <is>
          <t/>
        </is>
      </c>
      <c r="O1752" s="3" t="inlineStr">
        <is>
          <t>42847922MDD3003</t>
        </is>
      </c>
    </row>
    <row r="1753">
      <c r="A1753" s="2" t="str">
        <f>HYPERLINK("https://vtmf.veevavault.com/ui/#doc_info/31332172/1/0", "NE - 42847922MDD3003---External Partner Documents (v1.0)")</f>
        <v>NE - 42847922MDD3003---External Partner Documents (v1.0)</v>
      </c>
      <c r="B1753" s="3" t="inlineStr">
        <is>
          <t>Non Essential</t>
        </is>
      </c>
      <c r="C1753" s="3" t="inlineStr">
        <is>
          <t>External Partner Documents</t>
        </is>
      </c>
      <c r="D1753" s="3" t="inlineStr">
        <is>
          <t/>
        </is>
      </c>
      <c r="E1753" s="3" t="inlineStr">
        <is>
          <t>Beacon Biosignals CAPA - 2 01APR2026</t>
        </is>
      </c>
      <c r="F1753" s="2" t="str">
        <f>HYPERLINK("https://vtmf.veevavault.com/ui/#doc_info/31332172/1/0", "VTMF-25268355")</f>
        <v>VTMF-25268355</v>
      </c>
      <c r="G1753" s="3" t="inlineStr">
        <is>
          <t/>
        </is>
      </c>
      <c r="H1753" s="3" t="inlineStr">
        <is>
          <t>System</t>
        </is>
      </c>
      <c r="I1753" s="3" t="inlineStr">
        <is>
          <t>Charles Hayes</t>
        </is>
      </c>
      <c r="J1753" s="4" t="n">
        <v>46114.837164351855</v>
      </c>
      <c r="K1753" s="5" t="n">
        <v>46114.0</v>
      </c>
      <c r="L1753" s="5" t="inlineStr">
        <is>
          <t/>
        </is>
      </c>
      <c r="M1753" s="3" t="inlineStr">
        <is>
          <t>Approved</t>
        </is>
      </c>
      <c r="N1753" s="3" t="inlineStr">
        <is>
          <t/>
        </is>
      </c>
      <c r="O1753" s="3" t="inlineStr">
        <is>
          <t>42847922MDD3003</t>
        </is>
      </c>
    </row>
    <row r="1754">
      <c r="A1754" s="2" t="str">
        <f>HYPERLINK("https://vtmf.veevavault.com/ui/#doc_info/26134773/1/0", "NE - 42847922MDD3003---Investigator Meetings (v1.0)")</f>
        <v>NE - 42847922MDD3003---Investigator Meetings (v1.0)</v>
      </c>
      <c r="B1754" s="3" t="inlineStr">
        <is>
          <t>Non Essential</t>
        </is>
      </c>
      <c r="C1754" s="3" t="inlineStr">
        <is>
          <t>Meeting Activities and Related Documents</t>
        </is>
      </c>
      <c r="D1754" s="3" t="inlineStr">
        <is>
          <t>Investigator Meetings</t>
        </is>
      </c>
      <c r="E1754" s="3" t="inlineStr">
        <is>
          <t>42847922MDD3003_Start-Up_bi-weekly RSU Study Team Meeting_15Apr2024</t>
        </is>
      </c>
      <c r="F1754" s="2" t="str">
        <f>HYPERLINK("https://vtmf.veevavault.com/ui/#doc_info/26134773/1/0", "VTMF-20898950")</f>
        <v>VTMF-20898950</v>
      </c>
      <c r="G1754" s="3" t="inlineStr">
        <is>
          <t/>
        </is>
      </c>
      <c r="H1754" s="3" t="inlineStr">
        <is>
          <t>System</t>
        </is>
      </c>
      <c r="I1754" s="3" t="inlineStr">
        <is>
          <t>Arturo Munguia</t>
        </is>
      </c>
      <c r="J1754" s="4" t="n">
        <v>45397.845046296294</v>
      </c>
      <c r="K1754" s="5" t="n">
        <v>45397.0</v>
      </c>
      <c r="L1754" s="5" t="inlineStr">
        <is>
          <t/>
        </is>
      </c>
      <c r="M1754" s="3" t="inlineStr">
        <is>
          <t>Approved</t>
        </is>
      </c>
      <c r="N1754" s="3" t="inlineStr">
        <is>
          <t/>
        </is>
      </c>
      <c r="O1754" s="3" t="inlineStr">
        <is>
          <t>42847922MDD3003</t>
        </is>
      </c>
    </row>
    <row r="1755">
      <c r="A1755" s="2" t="str">
        <f>HYPERLINK("https://vtmf.veevavault.com/ui/#doc_info/27170823/1/0", "NE - 42847922MDD3003---Investigator Meetings (v1.0)")</f>
        <v>NE - 42847922MDD3003---Investigator Meetings (v1.0)</v>
      </c>
      <c r="B1755" s="3" t="inlineStr">
        <is>
          <t>Non Essential</t>
        </is>
      </c>
      <c r="C1755" s="3" t="inlineStr">
        <is>
          <t>Meeting Activities and Related Documents</t>
        </is>
      </c>
      <c r="D1755" s="3" t="inlineStr">
        <is>
          <t>Investigator Meetings</t>
        </is>
      </c>
      <c r="E1755" s="3" t="inlineStr">
        <is>
          <t>42847922MDD3003_NCC_Start-Up_bi-weekly RSU Study Team Meeting_30Sep2024</t>
        </is>
      </c>
      <c r="F1755" s="2" t="str">
        <f>HYPERLINK("https://vtmf.veevavault.com/ui/#doc_info/27170823/1/0", "VTMF-21785132")</f>
        <v>VTMF-21785132</v>
      </c>
      <c r="G1755" s="3" t="inlineStr">
        <is>
          <t/>
        </is>
      </c>
      <c r="H1755" s="3" t="inlineStr">
        <is>
          <t>System</t>
        </is>
      </c>
      <c r="I1755" s="3" t="inlineStr">
        <is>
          <t>Debhora Garcia</t>
        </is>
      </c>
      <c r="J1755" s="4" t="n">
        <v>45566.063680555555</v>
      </c>
      <c r="K1755" s="5" t="n">
        <v>45636.0</v>
      </c>
      <c r="L1755" s="5" t="inlineStr">
        <is>
          <t/>
        </is>
      </c>
      <c r="M1755" s="3" t="inlineStr">
        <is>
          <t>Approved</t>
        </is>
      </c>
      <c r="N1755" s="3" t="inlineStr">
        <is>
          <t/>
        </is>
      </c>
      <c r="O1755" s="3" t="inlineStr">
        <is>
          <t>42847922MDD3003</t>
        </is>
      </c>
    </row>
    <row r="1756">
      <c r="A1756" s="2" t="str">
        <f>HYPERLINK("https://vtmf.veevavault.com/ui/#doc_info/26057284/1/0", "NE - 42847922MDD3003---Non Essential (v1.0)")</f>
        <v>NE - 42847922MDD3003---Non Essential (v1.0)</v>
      </c>
      <c r="B1756" s="3" t="inlineStr">
        <is>
          <t>Non Essential</t>
        </is>
      </c>
      <c r="C1756" s="3" t="inlineStr">
        <is>
          <t>J&amp;J Confidential</t>
        </is>
      </c>
      <c r="D1756" s="3" t="inlineStr">
        <is>
          <t>J&amp;J Confidential</t>
        </is>
      </c>
      <c r="E1756" s="3" t="inlineStr">
        <is>
          <t>D4_PF ASEX_EN_BG_CZ_IT_PT_RO_SK_ES_SE_12Jan2023_NA_for EU-CTR submission_1</t>
        </is>
      </c>
      <c r="F1756" s="2" t="str">
        <f>HYPERLINK("https://vtmf.veevavault.com/ui/#doc_info/26057284/1/0", "VTMF-20830382")</f>
        <v>VTMF-20830382</v>
      </c>
      <c r="G1756" s="3" t="inlineStr">
        <is>
          <t/>
        </is>
      </c>
      <c r="H1756" s="3" t="inlineStr">
        <is>
          <t>System</t>
        </is>
      </c>
      <c r="I1756" s="3" t="inlineStr">
        <is>
          <t>Kristina Ruzinska</t>
        </is>
      </c>
      <c r="J1756" s="4" t="n">
        <v>45385.69393518518</v>
      </c>
      <c r="K1756" s="5" t="n">
        <v>45385.0</v>
      </c>
      <c r="L1756" s="5" t="inlineStr">
        <is>
          <t/>
        </is>
      </c>
      <c r="M1756" s="3" t="inlineStr">
        <is>
          <t>Approved</t>
        </is>
      </c>
      <c r="N1756" s="3" t="inlineStr">
        <is>
          <t/>
        </is>
      </c>
      <c r="O1756" s="3" t="inlineStr">
        <is>
          <t>42847922MDD3003</t>
        </is>
      </c>
    </row>
    <row r="1757">
      <c r="A1757" s="2" t="str">
        <f>HYPERLINK("https://vtmf.veevavault.com/ui/#doc_info/26057385/1/0", "NE - 42847922MDD3003---Non Essential (v1.0)")</f>
        <v>NE - 42847922MDD3003---Non Essential (v1.0)</v>
      </c>
      <c r="B1757" s="3" t="inlineStr">
        <is>
          <t>Non Essential</t>
        </is>
      </c>
      <c r="C1757" s="3" t="inlineStr">
        <is>
          <t>J&amp;J Confidential</t>
        </is>
      </c>
      <c r="D1757" s="3" t="inlineStr">
        <is>
          <t>J&amp;J Confidential</t>
        </is>
      </c>
      <c r="E1757" s="3" t="inlineStr">
        <is>
          <t>D4_PF_EQ-5D-5L _EN_BG_CZ_IT_PT_RO_SK_ES_SE_2009_NA_1 for EU-CTR submission</t>
        </is>
      </c>
      <c r="F1757" s="2" t="str">
        <f>HYPERLINK("https://vtmf.veevavault.com/ui/#doc_info/26057385/1/0", "VTMF-20830475")</f>
        <v>VTMF-20830475</v>
      </c>
      <c r="G1757" s="3" t="inlineStr">
        <is>
          <t/>
        </is>
      </c>
      <c r="H1757" s="3" t="inlineStr">
        <is>
          <t>System</t>
        </is>
      </c>
      <c r="I1757" s="3" t="inlineStr">
        <is>
          <t>Kristina Ruzinska</t>
        </is>
      </c>
      <c r="J1757" s="4" t="n">
        <v>45385.699212962965</v>
      </c>
      <c r="K1757" s="5" t="n">
        <v>45385.0</v>
      </c>
      <c r="L1757" s="5" t="inlineStr">
        <is>
          <t/>
        </is>
      </c>
      <c r="M1757" s="3" t="inlineStr">
        <is>
          <t>Approved</t>
        </is>
      </c>
      <c r="N1757" s="3" t="inlineStr">
        <is>
          <t/>
        </is>
      </c>
      <c r="O1757" s="3" t="inlineStr">
        <is>
          <t>42847922MDD3003</t>
        </is>
      </c>
    </row>
    <row r="1758">
      <c r="A1758" s="2" t="str">
        <f>HYPERLINK("https://vtmf.veevavault.com/ui/#doc_info/26057489/1/0", "NE - 42847922MDD3003---Non Essential (v1.0)")</f>
        <v>NE - 42847922MDD3003---Non Essential (v1.0)</v>
      </c>
      <c r="B1758" s="3" t="inlineStr">
        <is>
          <t>Non Essential</t>
        </is>
      </c>
      <c r="C1758" s="3" t="inlineStr">
        <is>
          <t>J&amp;J Confidential</t>
        </is>
      </c>
      <c r="D1758" s="3" t="inlineStr">
        <is>
          <t>J&amp;J Confidential</t>
        </is>
      </c>
      <c r="E1758" s="3" t="inlineStr">
        <is>
          <t>D4_PF PGIS_EN_BG_CZ_IT_PT_RO_SK_ES_SE_04Mar2020_3_1 -EU-CTR</t>
        </is>
      </c>
      <c r="F1758" s="2" t="str">
        <f>HYPERLINK("https://vtmf.veevavault.com/ui/#doc_info/26057489/1/0", "VTMF-20830561")</f>
        <v>VTMF-20830561</v>
      </c>
      <c r="G1758" s="3" t="inlineStr">
        <is>
          <t/>
        </is>
      </c>
      <c r="H1758" s="3" t="inlineStr">
        <is>
          <t>System</t>
        </is>
      </c>
      <c r="I1758" s="3" t="inlineStr">
        <is>
          <t>Kristina Ruzinska</t>
        </is>
      </c>
      <c r="J1758" s="4" t="n">
        <v>45385.708391203705</v>
      </c>
      <c r="K1758" s="5" t="n">
        <v>45385.0</v>
      </c>
      <c r="L1758" s="5" t="inlineStr">
        <is>
          <t/>
        </is>
      </c>
      <c r="M1758" s="3" t="inlineStr">
        <is>
          <t>Approved</t>
        </is>
      </c>
      <c r="N1758" s="3" t="inlineStr">
        <is>
          <t/>
        </is>
      </c>
      <c r="O1758" s="3" t="inlineStr">
        <is>
          <t>42847922MDD3003</t>
        </is>
      </c>
    </row>
    <row r="1759">
      <c r="A1759" s="2" t="str">
        <f>HYPERLINK("https://vtmf.veevavault.com/ui/#doc_info/26057525/1/0", "NE - 42847922MDD3003---Non Essential (v1.0)")</f>
        <v>NE - 42847922MDD3003---Non Essential (v1.0)</v>
      </c>
      <c r="B1759" s="3" t="inlineStr">
        <is>
          <t>Non Essential</t>
        </is>
      </c>
      <c r="C1759" s="3" t="inlineStr">
        <is>
          <t>J&amp;J Confidential</t>
        </is>
      </c>
      <c r="D1759" s="3" t="inlineStr">
        <is>
          <t>J&amp;J Confidential</t>
        </is>
      </c>
      <c r="E1759" s="3" t="inlineStr">
        <is>
          <t>D4_PF PHQ9_EN_BG_CZ_IT_PT_RO_SK_ES_SE_03Apr2024_NA_1 - EU-CTR</t>
        </is>
      </c>
      <c r="F1759" s="2" t="str">
        <f>HYPERLINK("https://vtmf.veevavault.com/ui/#doc_info/26057525/1/0", "VTMF-20830589")</f>
        <v>VTMF-20830589</v>
      </c>
      <c r="G1759" s="3" t="inlineStr">
        <is>
          <t/>
        </is>
      </c>
      <c r="H1759" s="3" t="inlineStr">
        <is>
          <t>System</t>
        </is>
      </c>
      <c r="I1759" s="3" t="inlineStr">
        <is>
          <t>Kristina Ruzinska</t>
        </is>
      </c>
      <c r="J1759" s="4" t="n">
        <v>45385.71233796296</v>
      </c>
      <c r="K1759" s="5" t="n">
        <v>45385.0</v>
      </c>
      <c r="L1759" s="5" t="inlineStr">
        <is>
          <t/>
        </is>
      </c>
      <c r="M1759" s="3" t="inlineStr">
        <is>
          <t>Approved</t>
        </is>
      </c>
      <c r="N1759" s="3" t="inlineStr">
        <is>
          <t/>
        </is>
      </c>
      <c r="O1759" s="3" t="inlineStr">
        <is>
          <t>42847922MDD3003</t>
        </is>
      </c>
    </row>
    <row r="1760">
      <c r="A1760" s="2" t="str">
        <f>HYPERLINK("https://vtmf.veevavault.com/ui/#doc_info/26057573/1/0", "NE - 42847922MDD3003---Non Essential (v1.0)")</f>
        <v>NE - 42847922MDD3003---Non Essential (v1.0)</v>
      </c>
      <c r="B1760" s="3" t="inlineStr">
        <is>
          <t>Non Essential</t>
        </is>
      </c>
      <c r="C1760" s="3" t="inlineStr">
        <is>
          <t>J&amp;J Confidential</t>
        </is>
      </c>
      <c r="D1760" s="3" t="inlineStr">
        <is>
          <t>J&amp;J Confidential</t>
        </is>
      </c>
      <c r="E1760" s="3" t="inlineStr">
        <is>
          <t>D4_PF PROMIS SD 8a_EN_BG_CZ_IT_PT_RO_SK_ES_SE_22OCT2020_NA_1</t>
        </is>
      </c>
      <c r="F1760" s="2" t="str">
        <f>HYPERLINK("https://vtmf.veevavault.com/ui/#doc_info/26057573/1/0", "VTMF-20830630")</f>
        <v>VTMF-20830630</v>
      </c>
      <c r="G1760" s="3" t="inlineStr">
        <is>
          <t/>
        </is>
      </c>
      <c r="H1760" s="3" t="inlineStr">
        <is>
          <t>System</t>
        </is>
      </c>
      <c r="I1760" s="3" t="inlineStr">
        <is>
          <t>Kristina Ruzinska</t>
        </is>
      </c>
      <c r="J1760" s="4" t="n">
        <v>45385.71702546296</v>
      </c>
      <c r="K1760" s="5" t="n">
        <v>45385.0</v>
      </c>
      <c r="L1760" s="5" t="inlineStr">
        <is>
          <t/>
        </is>
      </c>
      <c r="M1760" s="3" t="inlineStr">
        <is>
          <t>Approved</t>
        </is>
      </c>
      <c r="N1760" s="3" t="inlineStr">
        <is>
          <t/>
        </is>
      </c>
      <c r="O1760" s="3" t="inlineStr">
        <is>
          <t>42847922MDD3003</t>
        </is>
      </c>
    </row>
    <row r="1761">
      <c r="A1761" s="2" t="str">
        <f>HYPERLINK("https://vtmf.veevavault.com/ui/#doc_info/26057627/1/0", "NE - 42847922MDD3003---Non Essential (v1.0)")</f>
        <v>NE - 42847922MDD3003---Non Essential (v1.0)</v>
      </c>
      <c r="B1761" s="3" t="inlineStr">
        <is>
          <t>Non Essential</t>
        </is>
      </c>
      <c r="C1761" s="3" t="inlineStr">
        <is>
          <t>J&amp;J Confidential</t>
        </is>
      </c>
      <c r="D1761" s="3" t="inlineStr">
        <is>
          <t>J&amp;J Confidential</t>
        </is>
      </c>
      <c r="E1761" s="3" t="inlineStr">
        <is>
          <t>D4_PF SDS_EN_BG_CZ_IT_PT_RO_SK_ES_SE_11JAN2018_NA_1 - EU-CTR</t>
        </is>
      </c>
      <c r="F1761" s="2" t="str">
        <f>HYPERLINK("https://vtmf.veevavault.com/ui/#doc_info/26057627/1/0", "VTMF-20830671")</f>
        <v>VTMF-20830671</v>
      </c>
      <c r="G1761" s="3" t="inlineStr">
        <is>
          <t/>
        </is>
      </c>
      <c r="H1761" s="3" t="inlineStr">
        <is>
          <t>System</t>
        </is>
      </c>
      <c r="I1761" s="3" t="inlineStr">
        <is>
          <t>Kristina Ruzinska</t>
        </is>
      </c>
      <c r="J1761" s="4" t="n">
        <v>45385.72047453704</v>
      </c>
      <c r="K1761" s="5" t="n">
        <v>45385.0</v>
      </c>
      <c r="L1761" s="5" t="inlineStr">
        <is>
          <t/>
        </is>
      </c>
      <c r="M1761" s="3" t="inlineStr">
        <is>
          <t>Approved</t>
        </is>
      </c>
      <c r="N1761" s="3" t="inlineStr">
        <is>
          <t/>
        </is>
      </c>
      <c r="O1761" s="3" t="inlineStr">
        <is>
          <t>42847922MDD3003</t>
        </is>
      </c>
    </row>
    <row r="1762">
      <c r="A1762" s="2" t="str">
        <f>HYPERLINK("https://vtmf.veevavault.com/ui/#doc_info/26179736/1/0", "NE - 42847922MDD3003---Non Essential (v1.0)")</f>
        <v>NE - 42847922MDD3003---Non Essential (v1.0)</v>
      </c>
      <c r="B1762" s="3" t="inlineStr">
        <is>
          <t>Non Essential</t>
        </is>
      </c>
      <c r="C1762" s="3" t="inlineStr">
        <is>
          <t>J&amp;J Confidential</t>
        </is>
      </c>
      <c r="D1762" s="3" t="inlineStr">
        <is>
          <t>J&amp;J Confidential</t>
        </is>
      </c>
      <c r="E1762" s="3" t="inlineStr">
        <is>
          <t>Patient Diaries  for EU-CTR redaction_Initial submission</t>
        </is>
      </c>
      <c r="F1762" s="2" t="str">
        <f>HYPERLINK("https://vtmf.veevavault.com/ui/#doc_info/26179736/1/0", "VTMF-20938450")</f>
        <v>VTMF-20938450</v>
      </c>
      <c r="G1762" s="3" t="inlineStr">
        <is>
          <t/>
        </is>
      </c>
      <c r="H1762" s="3" t="inlineStr">
        <is>
          <t>System</t>
        </is>
      </c>
      <c r="I1762" s="3" t="inlineStr">
        <is>
          <t>Kristina Ruzinska</t>
        </is>
      </c>
      <c r="J1762" s="4" t="n">
        <v>45404.55128472222</v>
      </c>
      <c r="K1762" s="5" t="n">
        <v>45404.0</v>
      </c>
      <c r="L1762" s="5" t="inlineStr">
        <is>
          <t/>
        </is>
      </c>
      <c r="M1762" s="3" t="inlineStr">
        <is>
          <t>Approved</t>
        </is>
      </c>
      <c r="N1762" s="3" t="inlineStr">
        <is>
          <t/>
        </is>
      </c>
      <c r="O1762" s="3" t="inlineStr">
        <is>
          <t>42847922MDD3003</t>
        </is>
      </c>
    </row>
    <row r="1763">
      <c r="A1763" s="2" t="str">
        <f>HYPERLINK("https://vtmf.veevavault.com/ui/#doc_info/26245172/1/0", "NE - 42847922MDD3003---Non Essential (v1.0)")</f>
        <v>NE - 42847922MDD3003---Non Essential (v1.0)</v>
      </c>
      <c r="B1763" s="3" t="inlineStr">
        <is>
          <t>Non Essential</t>
        </is>
      </c>
      <c r="C1763" s="3" t="inlineStr">
        <is>
          <t>J&amp;J Confidential</t>
        </is>
      </c>
      <c r="D1763" s="3" t="inlineStr">
        <is>
          <t>J&amp;J Confidential</t>
        </is>
      </c>
      <c r="E1763" s="3" t="inlineStr">
        <is>
          <t>Study Password Memo</t>
        </is>
      </c>
      <c r="F1763" s="2" t="str">
        <f>HYPERLINK("https://vtmf.veevavault.com/ui/#doc_info/26245172/1/0", "VTMF-20993826")</f>
        <v>VTMF-20993826</v>
      </c>
      <c r="G1763" s="3" t="inlineStr">
        <is>
          <t/>
        </is>
      </c>
      <c r="H1763" s="3" t="inlineStr">
        <is>
          <t>System</t>
        </is>
      </c>
      <c r="I1763" s="3" t="inlineStr">
        <is>
          <t>Stephanie Bachman</t>
        </is>
      </c>
      <c r="J1763" s="4" t="n">
        <v>45414.011608796296</v>
      </c>
      <c r="K1763" s="5" t="n">
        <v>45775.0</v>
      </c>
      <c r="L1763" s="5" t="inlineStr">
        <is>
          <t/>
        </is>
      </c>
      <c r="M1763" s="3" t="inlineStr">
        <is>
          <t>Approved</t>
        </is>
      </c>
      <c r="N1763" s="3" t="inlineStr">
        <is>
          <t/>
        </is>
      </c>
      <c r="O1763" s="3" t="inlineStr">
        <is>
          <t>42847922MDD3003</t>
        </is>
      </c>
    </row>
    <row r="1764">
      <c r="A1764" s="2" t="str">
        <f>HYPERLINK("https://vtmf.veevavault.com/ui/#doc_info/26470791/1/0", "NE - 42847922MDD3003---Non Essential (v1.0)")</f>
        <v>NE - 42847922MDD3003---Non Essential (v1.0)</v>
      </c>
      <c r="B1764" s="3" t="inlineStr">
        <is>
          <t>Non Essential</t>
        </is>
      </c>
      <c r="C1764" s="3" t="inlineStr">
        <is>
          <t>J&amp;J Confidential</t>
        </is>
      </c>
      <c r="D1764" s="3" t="inlineStr">
        <is>
          <t>J&amp;J Confidential</t>
        </is>
      </c>
      <c r="E1764" s="3" t="inlineStr">
        <is>
          <t>PGI-S_PGI-C_ updated as per PA1_for EU-CTR redaction</t>
        </is>
      </c>
      <c r="F1764" s="2" t="str">
        <f>HYPERLINK("https://vtmf.veevavault.com/ui/#doc_info/26470791/1/0", "VTMF-21191619")</f>
        <v>VTMF-21191619</v>
      </c>
      <c r="G1764" s="3" t="inlineStr">
        <is>
          <t/>
        </is>
      </c>
      <c r="H1764" s="3" t="inlineStr">
        <is>
          <t>System</t>
        </is>
      </c>
      <c r="I1764" s="3" t="inlineStr">
        <is>
          <t>Kristina Ruzinska</t>
        </is>
      </c>
      <c r="J1764" s="4" t="n">
        <v>45449.71905092592</v>
      </c>
      <c r="K1764" s="5" t="n">
        <v>45449.0</v>
      </c>
      <c r="L1764" s="5" t="inlineStr">
        <is>
          <t/>
        </is>
      </c>
      <c r="M1764" s="3" t="inlineStr">
        <is>
          <t>Approved</t>
        </is>
      </c>
      <c r="N1764" s="3" t="inlineStr">
        <is>
          <t/>
        </is>
      </c>
      <c r="O1764" s="3" t="inlineStr">
        <is>
          <t>42847922MDD3003</t>
        </is>
      </c>
    </row>
    <row r="1765">
      <c r="A1765" s="2" t="str">
        <f>HYPERLINK("https://vtmf.veevavault.com/ui/#doc_info/26545726/1/0", "NE - 42847922MDD3003---Non Essential (v1.0)")</f>
        <v>NE - 42847922MDD3003---Non Essential (v1.0)</v>
      </c>
      <c r="B1765" s="3" t="inlineStr">
        <is>
          <t>Non Essential</t>
        </is>
      </c>
      <c r="C1765" s="3" t="inlineStr">
        <is>
          <t>J&amp;J Confidential</t>
        </is>
      </c>
      <c r="D1765" s="3" t="inlineStr">
        <is>
          <t>J&amp;J Confidential</t>
        </is>
      </c>
      <c r="E1765" s="3" t="inlineStr">
        <is>
          <t>Blank Annotated CRF</t>
        </is>
      </c>
      <c r="F1765" s="2" t="str">
        <f>HYPERLINK("https://vtmf.veevavault.com/ui/#doc_info/26545726/1/0", "VTMF-21258297")</f>
        <v>VTMF-21258297</v>
      </c>
      <c r="G1765" s="3" t="inlineStr">
        <is>
          <t/>
        </is>
      </c>
      <c r="H1765" s="3" t="inlineStr">
        <is>
          <t>System</t>
        </is>
      </c>
      <c r="I1765" s="3" t="inlineStr">
        <is>
          <t>Kristina Ruzinska</t>
        </is>
      </c>
      <c r="J1765" s="4" t="n">
        <v>45461.56800925926</v>
      </c>
      <c r="K1765" s="5" t="n">
        <v>45461.0</v>
      </c>
      <c r="L1765" s="5" t="inlineStr">
        <is>
          <t/>
        </is>
      </c>
      <c r="M1765" s="3" t="inlineStr">
        <is>
          <t>Approved</t>
        </is>
      </c>
      <c r="N1765" s="3" t="inlineStr">
        <is>
          <t/>
        </is>
      </c>
      <c r="O1765" s="3" t="inlineStr">
        <is>
          <t>42847922MDD3003</t>
        </is>
      </c>
    </row>
    <row r="1766">
      <c r="A1766" s="2" t="str">
        <f>HYPERLINK("https://vtmf.veevavault.com/ui/#doc_info/26606943/1/0", "NE - 42847922MDD3003---Non Essential (v1.0)")</f>
        <v>NE - 42847922MDD3003---Non Essential (v1.0)</v>
      </c>
      <c r="B1766" s="3" t="inlineStr">
        <is>
          <t>Non Essential</t>
        </is>
      </c>
      <c r="C1766" s="3" t="inlineStr">
        <is>
          <t>J&amp;J Confidential</t>
        </is>
      </c>
      <c r="D1766" s="3" t="inlineStr">
        <is>
          <t>J&amp;J Confidential</t>
        </is>
      </c>
      <c r="E1766" s="3" t="inlineStr">
        <is>
          <t>Seltorexant Investigator Brochure Ed 12 to Ed 13 Track Change</t>
        </is>
      </c>
      <c r="F1766" s="2" t="str">
        <f>HYPERLINK("https://vtmf.veevavault.com/ui/#doc_info/26606943/1/0", "VTMF-21311147")</f>
        <v>VTMF-21311147</v>
      </c>
      <c r="G1766" s="3" t="inlineStr">
        <is>
          <t/>
        </is>
      </c>
      <c r="H1766" s="3" t="inlineStr">
        <is>
          <t>System</t>
        </is>
      </c>
      <c r="I1766" s="3" t="inlineStr">
        <is>
          <t>Kristina Ruzinska</t>
        </is>
      </c>
      <c r="J1766" s="4" t="n">
        <v>45470.63940972222</v>
      </c>
      <c r="K1766" s="5" t="n">
        <v>45470.0</v>
      </c>
      <c r="L1766" s="5" t="inlineStr">
        <is>
          <t/>
        </is>
      </c>
      <c r="M1766" s="3" t="inlineStr">
        <is>
          <t>Approved</t>
        </is>
      </c>
      <c r="N1766" s="3" t="inlineStr">
        <is>
          <t/>
        </is>
      </c>
      <c r="O1766" s="3" t="inlineStr">
        <is>
          <t>42847922MDD3003</t>
        </is>
      </c>
    </row>
    <row r="1767">
      <c r="A1767" s="2" t="str">
        <f>HYPERLINK("https://vtmf.veevavault.com/ui/#doc_info/26668201/1/0", "NE - 42847922MDD3003---Non Essential (v1.0)")</f>
        <v>NE - 42847922MDD3003---Non Essential (v1.0)</v>
      </c>
      <c r="B1767" s="3" t="inlineStr">
        <is>
          <t>Non Essential</t>
        </is>
      </c>
      <c r="C1767" s="3" t="inlineStr">
        <is>
          <t>J&amp;J Confidential</t>
        </is>
      </c>
      <c r="D1767" s="3" t="inlineStr">
        <is>
          <t>J&amp;J Confidential</t>
        </is>
      </c>
      <c r="E1767" s="3" t="inlineStr">
        <is>
          <t>EU-CTR Protocol AM1 submission_track change cover letter</t>
        </is>
      </c>
      <c r="F1767" s="2" t="str">
        <f>HYPERLINK("https://vtmf.veevavault.com/ui/#doc_info/26668201/1/0", "VTMF-21364701")</f>
        <v>VTMF-21364701</v>
      </c>
      <c r="G1767" s="3" t="inlineStr">
        <is>
          <t/>
        </is>
      </c>
      <c r="H1767" s="3" t="inlineStr">
        <is>
          <t>Kristina Ruzinska</t>
        </is>
      </c>
      <c r="I1767" s="3" t="inlineStr">
        <is>
          <t>Kristina Ruzinska</t>
        </is>
      </c>
      <c r="J1767" s="4" t="n">
        <v>45481.65793981482</v>
      </c>
      <c r="K1767" s="5" t="n">
        <v>45481.0</v>
      </c>
      <c r="L1767" s="5" t="inlineStr">
        <is>
          <t/>
        </is>
      </c>
      <c r="M1767" s="3" t="inlineStr">
        <is>
          <t>Approved</t>
        </is>
      </c>
      <c r="N1767" s="3" t="inlineStr">
        <is>
          <t/>
        </is>
      </c>
      <c r="O1767" s="3" t="inlineStr">
        <is>
          <t>42847922MDD3003</t>
        </is>
      </c>
    </row>
    <row r="1768">
      <c r="A1768" s="2" t="str">
        <f>HYPERLINK("https://vtmf.veevavault.com/ui/#doc_info/26690962/1/0", "NE - 42847922MDD3003---Non Essential (v1.0)")</f>
        <v>NE - 42847922MDD3003---Non Essential (v1.0)</v>
      </c>
      <c r="B1768" s="3" t="inlineStr">
        <is>
          <t>Non Essential</t>
        </is>
      </c>
      <c r="C1768" s="3" t="inlineStr">
        <is>
          <t>J&amp;J Confidential</t>
        </is>
      </c>
      <c r="D1768" s="3" t="inlineStr">
        <is>
          <t>J&amp;J Confidential</t>
        </is>
      </c>
      <c r="E1768" s="3" t="inlineStr">
        <is>
          <t>IB_en_JNJ-42847922_2023_ed13_EDMS-ERI-17059909_16.0_word version</t>
        </is>
      </c>
      <c r="F1768" s="2" t="str">
        <f>HYPERLINK("https://vtmf.veevavault.com/ui/#doc_info/26690962/1/0", "VTMF-21384602")</f>
        <v>VTMF-21384602</v>
      </c>
      <c r="G1768" s="3" t="inlineStr">
        <is>
          <t/>
        </is>
      </c>
      <c r="H1768" s="3" t="inlineStr">
        <is>
          <t>Kristina Ruzinska</t>
        </is>
      </c>
      <c r="I1768" s="3" t="inlineStr">
        <is>
          <t>Kristina Ruzinska</t>
        </is>
      </c>
      <c r="J1768" s="4" t="n">
        <v>45484.660266203704</v>
      </c>
      <c r="K1768" s="5" t="n">
        <v>45484.0</v>
      </c>
      <c r="L1768" s="5" t="inlineStr">
        <is>
          <t/>
        </is>
      </c>
      <c r="M1768" s="3" t="inlineStr">
        <is>
          <t>Approved</t>
        </is>
      </c>
      <c r="N1768" s="3" t="inlineStr">
        <is>
          <t/>
        </is>
      </c>
      <c r="O1768" s="3" t="inlineStr">
        <is>
          <t>42847922MDD3003</t>
        </is>
      </c>
    </row>
    <row r="1769">
      <c r="A1769" s="2" t="str">
        <f>HYPERLINK("https://vtmf.veevavault.com/ui/#doc_info/26760888/1/0", "NE - 42847922MDD3003---Non Essential (v1.0)")</f>
        <v>NE - 42847922MDD3003---Non Essential (v1.0)</v>
      </c>
      <c r="B1769" s="3" t="inlineStr">
        <is>
          <t>Non Essential</t>
        </is>
      </c>
      <c r="C1769" s="3" t="inlineStr">
        <is>
          <t>J&amp;J Confidential</t>
        </is>
      </c>
      <c r="D1769" s="3" t="inlineStr">
        <is>
          <t>J&amp;J Confidential</t>
        </is>
      </c>
      <c r="E1769" s="3" t="inlineStr">
        <is>
          <t>D4_PF PGIS_EN_BG_CZ_IT_PT_RO_SK_ES_SE_31May2024_v5_1</t>
        </is>
      </c>
      <c r="F1769" s="2" t="str">
        <f>HYPERLINK("https://vtmf.veevavault.com/ui/#doc_info/26760888/1/0", "VTMF-21445391")</f>
        <v>VTMF-21445391</v>
      </c>
      <c r="G1769" s="3" t="inlineStr">
        <is>
          <t/>
        </is>
      </c>
      <c r="H1769" s="3" t="inlineStr">
        <is>
          <t>System</t>
        </is>
      </c>
      <c r="I1769" s="3" t="inlineStr">
        <is>
          <t>Kristina Ruzinska</t>
        </is>
      </c>
      <c r="J1769" s="4" t="n">
        <v>45497.45494212963</v>
      </c>
      <c r="K1769" s="5" t="n">
        <v>45497.0</v>
      </c>
      <c r="L1769" s="5" t="inlineStr">
        <is>
          <t/>
        </is>
      </c>
      <c r="M1769" s="3" t="inlineStr">
        <is>
          <t>Approved</t>
        </is>
      </c>
      <c r="N1769" s="3" t="inlineStr">
        <is>
          <t/>
        </is>
      </c>
      <c r="O1769" s="3" t="inlineStr">
        <is>
          <t>42847922MDD3003</t>
        </is>
      </c>
    </row>
    <row r="1770">
      <c r="A1770" s="2" t="str">
        <f>HYPERLINK("https://vtmf.veevavault.com/ui/#doc_info/26760896/1/0", "NE - 42847922MDD3003---Non Essential (v1.0)")</f>
        <v>NE - 42847922MDD3003---Non Essential (v1.0)</v>
      </c>
      <c r="B1770" s="3" t="inlineStr">
        <is>
          <t>Non Essential</t>
        </is>
      </c>
      <c r="C1770" s="3" t="inlineStr">
        <is>
          <t>J&amp;J Confidential</t>
        </is>
      </c>
      <c r="D1770" s="3" t="inlineStr">
        <is>
          <t>J&amp;J Confidential</t>
        </is>
      </c>
      <c r="E1770" s="3" t="inlineStr">
        <is>
          <t>D4_PF PGIC_EN_BG_CZ_IT_PT_RO_SK_ES_SE_31May2024_v3_1</t>
        </is>
      </c>
      <c r="F1770" s="2" t="str">
        <f>HYPERLINK("https://vtmf.veevavault.com/ui/#doc_info/26760896/1/0", "VTMF-21445406")</f>
        <v>VTMF-21445406</v>
      </c>
      <c r="G1770" s="3" t="inlineStr">
        <is>
          <t/>
        </is>
      </c>
      <c r="H1770" s="3" t="inlineStr">
        <is>
          <t>System</t>
        </is>
      </c>
      <c r="I1770" s="3" t="inlineStr">
        <is>
          <t>Kristina Ruzinska</t>
        </is>
      </c>
      <c r="J1770" s="4" t="n">
        <v>45497.457766203705</v>
      </c>
      <c r="K1770" s="5" t="n">
        <v>45497.0</v>
      </c>
      <c r="L1770" s="5" t="inlineStr">
        <is>
          <t/>
        </is>
      </c>
      <c r="M1770" s="3" t="inlineStr">
        <is>
          <t>Approved</t>
        </is>
      </c>
      <c r="N1770" s="3" t="inlineStr">
        <is>
          <t/>
        </is>
      </c>
      <c r="O1770" s="3" t="inlineStr">
        <is>
          <t>42847922MDD3003</t>
        </is>
      </c>
    </row>
    <row r="1771">
      <c r="A1771" s="2" t="str">
        <f>HYPERLINK("https://vtmf.veevavault.com/ui/#doc_info/27072211/1/0", "NE - 42847922MDD3003---Non Essential (v1.0)")</f>
        <v>NE - 42847922MDD3003---Non Essential (v1.0)</v>
      </c>
      <c r="B1771" s="3" t="inlineStr">
        <is>
          <t>Non Essential</t>
        </is>
      </c>
      <c r="C1771" s="3" t="inlineStr">
        <is>
          <t>J&amp;J Confidential</t>
        </is>
      </c>
      <c r="D1771" s="3" t="inlineStr">
        <is>
          <t>J&amp;J Confidential</t>
        </is>
      </c>
      <c r="E1771" s="3" t="inlineStr">
        <is>
          <t>Protocol-Amend 1 versus Amend 2_Track Changes_EDMS-RIM-140722, version 1.0_12Sep2024</t>
        </is>
      </c>
      <c r="F1771" s="2" t="str">
        <f>HYPERLINK("https://vtmf.veevavault.com/ui/#doc_info/27072211/1/0", "VTMF-21701076")</f>
        <v>VTMF-21701076</v>
      </c>
      <c r="G1771" s="3" t="inlineStr">
        <is>
          <t/>
        </is>
      </c>
      <c r="H1771" s="3" t="inlineStr">
        <is>
          <t>Kristina Ruzinska</t>
        </is>
      </c>
      <c r="I1771" s="3" t="inlineStr">
        <is>
          <t>Kristina Ruzinska</t>
        </is>
      </c>
      <c r="J1771" s="4" t="n">
        <v>45548.43634259259</v>
      </c>
      <c r="K1771" s="5" t="n">
        <v>45548.0</v>
      </c>
      <c r="L1771" s="5" t="inlineStr">
        <is>
          <t/>
        </is>
      </c>
      <c r="M1771" s="3" t="inlineStr">
        <is>
          <t>Approved</t>
        </is>
      </c>
      <c r="N1771" s="3" t="inlineStr">
        <is>
          <t/>
        </is>
      </c>
      <c r="O1771" s="3" t="inlineStr">
        <is>
          <t>42847922MDD3003</t>
        </is>
      </c>
    </row>
    <row r="1772">
      <c r="A1772" s="2" t="str">
        <f>HYPERLINK("https://vtmf.veevavault.com/ui/#doc_info/27130449/1/0", "NE - 42847922MDD3003---Non Essential (v1.0)")</f>
        <v>NE - 42847922MDD3003---Non Essential (v1.0)</v>
      </c>
      <c r="B1772" s="3" t="inlineStr">
        <is>
          <t>Non Essential</t>
        </is>
      </c>
      <c r="C1772" s="3" t="inlineStr">
        <is>
          <t>J&amp;J Confidential</t>
        </is>
      </c>
      <c r="D1772" s="3" t="inlineStr">
        <is>
          <t>J&amp;J Confidential</t>
        </is>
      </c>
      <c r="E1772" s="3" t="inlineStr">
        <is>
          <t>Master Clinical ICF_Part 1 and 2_TC_v3.0 to v4.0_final_23sep24</t>
        </is>
      </c>
      <c r="F1772" s="2" t="str">
        <f>HYPERLINK("https://vtmf.veevavault.com/ui/#doc_info/27130449/1/0", "VTMF-21750116")</f>
        <v>VTMF-21750116</v>
      </c>
      <c r="G1772" s="3" t="inlineStr">
        <is>
          <t/>
        </is>
      </c>
      <c r="H1772" s="3" t="inlineStr">
        <is>
          <t>Kristina Ruzinska</t>
        </is>
      </c>
      <c r="I1772" s="3" t="inlineStr">
        <is>
          <t>Kristina Ruzinska</t>
        </is>
      </c>
      <c r="J1772" s="4" t="n">
        <v>45559.466828703706</v>
      </c>
      <c r="K1772" s="5" t="n">
        <v>45559.0</v>
      </c>
      <c r="L1772" s="5" t="inlineStr">
        <is>
          <t/>
        </is>
      </c>
      <c r="M1772" s="3" t="inlineStr">
        <is>
          <t>Approved</t>
        </is>
      </c>
      <c r="N1772" s="3" t="inlineStr">
        <is>
          <t/>
        </is>
      </c>
      <c r="O1772" s="3" t="inlineStr">
        <is>
          <t>42847922MDD3003</t>
        </is>
      </c>
    </row>
    <row r="1773">
      <c r="A1773" s="2" t="str">
        <f>HYPERLINK("https://vtmf.veevavault.com/ui/#doc_info/27130455/1/0", "NE - 42847922MDD3003---Non Essential (v1.0)")</f>
        <v>NE - 42847922MDD3003---Non Essential (v1.0)</v>
      </c>
      <c r="B1773" s="3" t="inlineStr">
        <is>
          <t>Non Essential</t>
        </is>
      </c>
      <c r="C1773" s="3" t="inlineStr">
        <is>
          <t>J&amp;J Confidential</t>
        </is>
      </c>
      <c r="D1773" s="3" t="inlineStr">
        <is>
          <t>J&amp;J Confidential</t>
        </is>
      </c>
      <c r="E1773" s="3" t="inlineStr">
        <is>
          <t>Master Clinical ICF_Part 2_TC_v 3.0 to v4.0_23Sep24</t>
        </is>
      </c>
      <c r="F1773" s="2" t="str">
        <f>HYPERLINK("https://vtmf.veevavault.com/ui/#doc_info/27130455/1/0", "VTMF-21750128")</f>
        <v>VTMF-21750128</v>
      </c>
      <c r="G1773" s="3" t="inlineStr">
        <is>
          <t/>
        </is>
      </c>
      <c r="H1773" s="3" t="inlineStr">
        <is>
          <t>System</t>
        </is>
      </c>
      <c r="I1773" s="3" t="inlineStr">
        <is>
          <t>Kristina Ruzinska</t>
        </is>
      </c>
      <c r="J1773" s="4" t="n">
        <v>45559.46849537037</v>
      </c>
      <c r="K1773" s="5" t="n">
        <v>45559.0</v>
      </c>
      <c r="L1773" s="5" t="inlineStr">
        <is>
          <t/>
        </is>
      </c>
      <c r="M1773" s="3" t="inlineStr">
        <is>
          <t>Approved</t>
        </is>
      </c>
      <c r="N1773" s="3" t="inlineStr">
        <is>
          <t/>
        </is>
      </c>
      <c r="O1773" s="3" t="inlineStr">
        <is>
          <t>42847922MDD3003</t>
        </is>
      </c>
    </row>
    <row r="1774">
      <c r="A1774" s="2" t="str">
        <f>HYPERLINK("https://vtmf.veevavault.com/ui/#doc_info/28200762/1/0", "NE - 42847922MDD3003---Non Essential (v1.0)")</f>
        <v>NE - 42847922MDD3003---Non Essential (v1.0)</v>
      </c>
      <c r="B1774" s="3" t="inlineStr">
        <is>
          <t>Non Essential</t>
        </is>
      </c>
      <c r="C1774" s="3" t="inlineStr">
        <is>
          <t>J&amp;J Confidential</t>
        </is>
      </c>
      <c r="D1774" s="3" t="inlineStr">
        <is>
          <t>J&amp;J Confidential</t>
        </is>
      </c>
      <c r="E1774" s="3" t="inlineStr">
        <is>
          <t>Master Clinical ICF_Part 2_TC_v4.0 to v5.0_final_29Jan25</t>
        </is>
      </c>
      <c r="F1774" s="2" t="str">
        <f>HYPERLINK("https://vtmf.veevavault.com/ui/#doc_info/28200762/1/0", "VTMF-22616860")</f>
        <v>VTMF-22616860</v>
      </c>
      <c r="G1774" s="3" t="inlineStr">
        <is>
          <t/>
        </is>
      </c>
      <c r="H1774" s="3" t="inlineStr">
        <is>
          <t>Kristina Ruzinska</t>
        </is>
      </c>
      <c r="I1774" s="3" t="inlineStr">
        <is>
          <t>Kristina Ruzinska</t>
        </is>
      </c>
      <c r="J1774" s="4" t="n">
        <v>45688.53939814815</v>
      </c>
      <c r="K1774" s="5" t="n">
        <v>45688.0</v>
      </c>
      <c r="L1774" s="5" t="inlineStr">
        <is>
          <t/>
        </is>
      </c>
      <c r="M1774" s="3" t="inlineStr">
        <is>
          <t>Approved</t>
        </is>
      </c>
      <c r="N1774" s="3" t="inlineStr">
        <is>
          <t/>
        </is>
      </c>
      <c r="O1774" s="3" t="inlineStr">
        <is>
          <t>42847922MDD3003</t>
        </is>
      </c>
    </row>
    <row r="1775">
      <c r="A1775" s="2" t="str">
        <f>HYPERLINK("https://vtmf.veevavault.com/ui/#doc_info/28200835/1/0", "NE - 42847922MDD3003---Non Essential (v1.0)")</f>
        <v>NE - 42847922MDD3003---Non Essential (v1.0)</v>
      </c>
      <c r="B1775" s="3" t="inlineStr">
        <is>
          <t>Non Essential</t>
        </is>
      </c>
      <c r="C1775" s="3" t="inlineStr">
        <is>
          <t>J&amp;J Confidential</t>
        </is>
      </c>
      <c r="D1775" s="3" t="inlineStr">
        <is>
          <t>J&amp;J Confidential</t>
        </is>
      </c>
      <c r="E1775" s="3" t="inlineStr">
        <is>
          <t>Master Clinical ICF_Part 1 and 2_TC_v4.0 to v5.0_final_29Jan25</t>
        </is>
      </c>
      <c r="F1775" s="2" t="str">
        <f>HYPERLINK("https://vtmf.veevavault.com/ui/#doc_info/28200835/1/0", "VTMF-22616842")</f>
        <v>VTMF-22616842</v>
      </c>
      <c r="G1775" s="3" t="inlineStr">
        <is>
          <t/>
        </is>
      </c>
      <c r="H1775" s="3" t="inlineStr">
        <is>
          <t>System</t>
        </is>
      </c>
      <c r="I1775" s="3" t="inlineStr">
        <is>
          <t>Kristina Ruzinska</t>
        </is>
      </c>
      <c r="J1775" s="4" t="n">
        <v>45688.53759259259</v>
      </c>
      <c r="K1775" s="5" t="n">
        <v>45688.0</v>
      </c>
      <c r="L1775" s="5" t="inlineStr">
        <is>
          <t/>
        </is>
      </c>
      <c r="M1775" s="3" t="inlineStr">
        <is>
          <t>Approved</t>
        </is>
      </c>
      <c r="N1775" s="3" t="inlineStr">
        <is>
          <t/>
        </is>
      </c>
      <c r="O1775" s="3" t="inlineStr">
        <is>
          <t>42847922MDD3003</t>
        </is>
      </c>
    </row>
    <row r="1776">
      <c r="A1776" s="2" t="str">
        <f>HYPERLINK("https://vtmf.veevavault.com/ui/#doc_info/29490774/1/0", "NE - 42847922MDD3003---Non Essential (v1.0)")</f>
        <v>NE - 42847922MDD3003---Non Essential (v1.0)</v>
      </c>
      <c r="B1776" s="3" t="inlineStr">
        <is>
          <t>Non Essential</t>
        </is>
      </c>
      <c r="C1776" s="3" t="inlineStr">
        <is>
          <t>J&amp;J Confidential</t>
        </is>
      </c>
      <c r="D1776" s="3" t="inlineStr">
        <is>
          <t>J&amp;J Confidential</t>
        </is>
      </c>
      <c r="E1776" s="3" t="inlineStr">
        <is>
          <t>IB_Ed 14_June 2025-Track Changes-JNJ-42847922-AAA-1657809</t>
        </is>
      </c>
      <c r="F1776" s="2" t="str">
        <f>HYPERLINK("https://vtmf.veevavault.com/ui/#doc_info/29490774/1/0", "VTMF-23717946")</f>
        <v>VTMF-23717946</v>
      </c>
      <c r="G1776" s="3" t="inlineStr">
        <is>
          <t/>
        </is>
      </c>
      <c r="H1776" s="3" t="inlineStr">
        <is>
          <t>System</t>
        </is>
      </c>
      <c r="I1776" s="3" t="inlineStr">
        <is>
          <t>Kristina Ruzinska</t>
        </is>
      </c>
      <c r="J1776" s="4" t="n">
        <v>45841.48842592593</v>
      </c>
      <c r="K1776" s="5" t="n">
        <v>45841.0</v>
      </c>
      <c r="L1776" s="5" t="inlineStr">
        <is>
          <t/>
        </is>
      </c>
      <c r="M1776" s="3" t="inlineStr">
        <is>
          <t>Approved</t>
        </is>
      </c>
      <c r="N1776" s="3" t="inlineStr">
        <is>
          <t/>
        </is>
      </c>
      <c r="O1776" s="3" t="inlineStr">
        <is>
          <t>42847922MDD3003</t>
        </is>
      </c>
    </row>
    <row r="1777">
      <c r="A1777" s="2" t="str">
        <f>HYPERLINK("https://vtmf.veevavault.com/ui/#doc_info/29560354/1/0", "NE - 42847922MDD3003---Non Essential (v1.0)")</f>
        <v>NE - 42847922MDD3003---Non Essential (v1.0)</v>
      </c>
      <c r="B1777" s="3" t="inlineStr">
        <is>
          <t>Non Essential</t>
        </is>
      </c>
      <c r="C1777" s="3" t="inlineStr">
        <is>
          <t>J&amp;J Confidential</t>
        </is>
      </c>
      <c r="D1777" s="3" t="inlineStr">
        <is>
          <t>J&amp;J Confidential</t>
        </is>
      </c>
      <c r="E1777" s="3" t="inlineStr">
        <is>
          <t>Master Clinical ICF_Part 1and Part 2_TC_v5.0 to v6.0_final_15Jul25</t>
        </is>
      </c>
      <c r="F1777" s="2" t="str">
        <f>HYPERLINK("https://vtmf.veevavault.com/ui/#doc_info/29560354/1/0", "VTMF-23776130")</f>
        <v>VTMF-23776130</v>
      </c>
      <c r="G1777" s="3" t="inlineStr">
        <is>
          <t/>
        </is>
      </c>
      <c r="H1777" s="3" t="inlineStr">
        <is>
          <t>Kristina Ruzinska</t>
        </is>
      </c>
      <c r="I1777" s="3" t="inlineStr">
        <is>
          <t>Kristina Ruzinska</t>
        </is>
      </c>
      <c r="J1777" s="4" t="n">
        <v>45853.67894675926</v>
      </c>
      <c r="K1777" s="5" t="n">
        <v>45853.0</v>
      </c>
      <c r="L1777" s="5" t="inlineStr">
        <is>
          <t/>
        </is>
      </c>
      <c r="M1777" s="3" t="inlineStr">
        <is>
          <t>Approved</t>
        </is>
      </c>
      <c r="N1777" s="3" t="inlineStr">
        <is>
          <t/>
        </is>
      </c>
      <c r="O1777" s="3" t="inlineStr">
        <is>
          <t>42847922MDD3003</t>
        </is>
      </c>
    </row>
    <row r="1778">
      <c r="A1778" s="2" t="str">
        <f>HYPERLINK("https://vtmf.veevavault.com/ui/#doc_info/29560358/1/0", "NE - 42847922MDD3003---Non Essential (v1.0)")</f>
        <v>NE - 42847922MDD3003---Non Essential (v1.0)</v>
      </c>
      <c r="B1778" s="3" t="inlineStr">
        <is>
          <t>Non Essential</t>
        </is>
      </c>
      <c r="C1778" s="3" t="inlineStr">
        <is>
          <t>J&amp;J Confidential</t>
        </is>
      </c>
      <c r="D1778" s="3" t="inlineStr">
        <is>
          <t>J&amp;J Confidential</t>
        </is>
      </c>
      <c r="E1778" s="3" t="inlineStr">
        <is>
          <t>Master Clinical ICF_Part 2_TC_v5.0 to v6.0_final_15Jul25</t>
        </is>
      </c>
      <c r="F1778" s="2" t="str">
        <f>HYPERLINK("https://vtmf.veevavault.com/ui/#doc_info/29560358/1/0", "VTMF-23776138")</f>
        <v>VTMF-23776138</v>
      </c>
      <c r="G1778" s="3" t="inlineStr">
        <is>
          <t/>
        </is>
      </c>
      <c r="H1778" s="3" t="inlineStr">
        <is>
          <t>Kristina Ruzinska</t>
        </is>
      </c>
      <c r="I1778" s="3" t="inlineStr">
        <is>
          <t>Kristina Ruzinska</t>
        </is>
      </c>
      <c r="J1778" s="4" t="n">
        <v>45853.67983796296</v>
      </c>
      <c r="K1778" s="5" t="n">
        <v>45853.0</v>
      </c>
      <c r="L1778" s="5" t="inlineStr">
        <is>
          <t/>
        </is>
      </c>
      <c r="M1778" s="3" t="inlineStr">
        <is>
          <t>Approved</t>
        </is>
      </c>
      <c r="N1778" s="3" t="inlineStr">
        <is>
          <t/>
        </is>
      </c>
      <c r="O1778" s="3" t="inlineStr">
        <is>
          <t>42847922MDD3003</t>
        </is>
      </c>
    </row>
    <row r="1779">
      <c r="A1779" s="2" t="str">
        <f>HYPERLINK("https://vtmf.veevavault.com/ui/#doc_info/31168528/1/0", "NE - 42847922MDD3003---Non Essential (v1.0)")</f>
        <v>NE - 42847922MDD3003---Non Essential (v1.0)</v>
      </c>
      <c r="B1779" s="3" t="inlineStr">
        <is>
          <t>Non Essential</t>
        </is>
      </c>
      <c r="C1779" s="3" t="inlineStr">
        <is>
          <t>J&amp;J Confidential</t>
        </is>
      </c>
      <c r="D1779" s="3" t="inlineStr">
        <is>
          <t>J&amp;J Confidential</t>
        </is>
      </c>
      <c r="E1779" s="3" t="inlineStr">
        <is>
          <t>Action Items report</t>
        </is>
      </c>
      <c r="F1779" s="2" t="str">
        <f>HYPERLINK("https://vtmf.veevavault.com/ui/#doc_info/31168528/1/0", "VTMF-25131539")</f>
        <v>VTMF-25131539</v>
      </c>
      <c r="G1779" s="3" t="inlineStr">
        <is>
          <t/>
        </is>
      </c>
      <c r="H1779" s="3" t="inlineStr">
        <is>
          <t>Leticia Villalba Alonso</t>
        </is>
      </c>
      <c r="I1779" s="3" t="inlineStr">
        <is>
          <t>Leticia Villalba Alonso</t>
        </is>
      </c>
      <c r="J1779" s="4" t="n">
        <v>46093.394641203704</v>
      </c>
      <c r="K1779" s="5" t="n">
        <v>46093.0</v>
      </c>
      <c r="L1779" s="5" t="inlineStr">
        <is>
          <t/>
        </is>
      </c>
      <c r="M1779" s="3" t="inlineStr">
        <is>
          <t>Approved</t>
        </is>
      </c>
      <c r="N1779" s="3" t="inlineStr">
        <is>
          <t/>
        </is>
      </c>
      <c r="O1779" s="3" t="inlineStr">
        <is>
          <t>42847922MDD3003</t>
        </is>
      </c>
    </row>
    <row r="1780">
      <c r="A1780" s="2" t="str">
        <f>HYPERLINK("https://vtmf.veevavault.com/ui/#doc_info/27091540/1/0", "NE - 42847922MDD3003---Other Meetings (v1.0)")</f>
        <v>NE - 42847922MDD3003---Other Meetings (v1.0)</v>
      </c>
      <c r="B1780" s="3" t="inlineStr">
        <is>
          <t>Non Essential</t>
        </is>
      </c>
      <c r="C1780" s="3" t="inlineStr">
        <is>
          <t>Meeting Activities and Related Documents</t>
        </is>
      </c>
      <c r="D1780" s="3" t="inlineStr">
        <is>
          <t>Other Meetings</t>
        </is>
      </c>
      <c r="E1780" s="3" t="inlineStr">
        <is>
          <t>NCC_Start-Up_bi-weekly RSU Study Team Meeting</t>
        </is>
      </c>
      <c r="F1780" s="2" t="str">
        <f>HYPERLINK("https://vtmf.veevavault.com/ui/#doc_info/27091540/1/0", "VTMF-21717748")</f>
        <v>VTMF-21717748</v>
      </c>
      <c r="G1780" s="3" t="inlineStr">
        <is>
          <t/>
        </is>
      </c>
      <c r="H1780" s="3" t="inlineStr">
        <is>
          <t>Gina Stefanelli</t>
        </is>
      </c>
      <c r="I1780" s="3" t="inlineStr">
        <is>
          <t>Gina Stefanelli</t>
        </is>
      </c>
      <c r="J1780" s="4" t="n">
        <v>45552.699849537035</v>
      </c>
      <c r="K1780" s="5" t="n">
        <v>45552.0</v>
      </c>
      <c r="L1780" s="5" t="inlineStr">
        <is>
          <t/>
        </is>
      </c>
      <c r="M1780" s="3" t="inlineStr">
        <is>
          <t>Approved</t>
        </is>
      </c>
      <c r="N1780" s="3" t="inlineStr">
        <is>
          <t/>
        </is>
      </c>
      <c r="O1780" s="3" t="inlineStr">
        <is>
          <t>42847922MDD3003</t>
        </is>
      </c>
    </row>
    <row r="1781">
      <c r="A1781" s="2" t="str">
        <f>HYPERLINK("https://vtmf.veevavault.com/ui/#doc_info/27463018/1/0", "NE - 42847922MDD3003---Other Meetings (v1.0)")</f>
        <v>NE - 42847922MDD3003---Other Meetings (v1.0)</v>
      </c>
      <c r="B1781" s="3" t="inlineStr">
        <is>
          <t>Non Essential</t>
        </is>
      </c>
      <c r="C1781" s="3" t="inlineStr">
        <is>
          <t>Meeting Activities and Related Documents</t>
        </is>
      </c>
      <c r="D1781" s="3" t="inlineStr">
        <is>
          <t>Other Meetings</t>
        </is>
      </c>
      <c r="E1781" s="3" t="inlineStr">
        <is>
          <t>42847922MDD3003_NCC_Start-Up_update_AI Log and RSU OT 29Oct2024</t>
        </is>
      </c>
      <c r="F1781" s="2" t="str">
        <f>HYPERLINK("https://vtmf.veevavault.com/ui/#doc_info/27463018/1/0", "VTMF-22025457")</f>
        <v>VTMF-22025457</v>
      </c>
      <c r="G1781" s="3" t="inlineStr">
        <is>
          <t/>
        </is>
      </c>
      <c r="H1781" s="3" t="inlineStr">
        <is>
          <t>System</t>
        </is>
      </c>
      <c r="I1781" s="3" t="inlineStr">
        <is>
          <t>Gina Stefanelli</t>
        </is>
      </c>
      <c r="J1781" s="4" t="n">
        <v>45607.84332175926</v>
      </c>
      <c r="K1781" s="5" t="n">
        <v>45607.0</v>
      </c>
      <c r="L1781" s="5" t="inlineStr">
        <is>
          <t/>
        </is>
      </c>
      <c r="M1781" s="3" t="inlineStr">
        <is>
          <t>Approved</t>
        </is>
      </c>
      <c r="N1781" s="3" t="inlineStr">
        <is>
          <t/>
        </is>
      </c>
      <c r="O1781" s="3" t="inlineStr">
        <is>
          <t>42847922MDD3003</t>
        </is>
      </c>
    </row>
    <row r="1782">
      <c r="A1782" s="2" t="str">
        <f>HYPERLINK("https://vtmf.veevavault.com/ui/#doc_info/27463027/1/0", "NE - 42847922MDD3003---Other Meetings (v1.0)")</f>
        <v>NE - 42847922MDD3003---Other Meetings (v1.0)</v>
      </c>
      <c r="B1782" s="3" t="inlineStr">
        <is>
          <t>Non Essential</t>
        </is>
      </c>
      <c r="C1782" s="3" t="inlineStr">
        <is>
          <t>Meeting Activities and Related Documents</t>
        </is>
      </c>
      <c r="D1782" s="3" t="inlineStr">
        <is>
          <t>Other Meetings</t>
        </is>
      </c>
      <c r="E1782" s="3" t="inlineStr">
        <is>
          <t>42847922MDD3003_NCC_Start-Up_update_AI Log and RSU OT 04Nov2024</t>
        </is>
      </c>
      <c r="F1782" s="2" t="str">
        <f>HYPERLINK("https://vtmf.veevavault.com/ui/#doc_info/27463027/1/0", "VTMF-22025470")</f>
        <v>VTMF-22025470</v>
      </c>
      <c r="G1782" s="3" t="inlineStr">
        <is>
          <t/>
        </is>
      </c>
      <c r="H1782" s="3" t="inlineStr">
        <is>
          <t>System</t>
        </is>
      </c>
      <c r="I1782" s="3" t="inlineStr">
        <is>
          <t>Gina Stefanelli</t>
        </is>
      </c>
      <c r="J1782" s="4" t="n">
        <v>45607.84590277778</v>
      </c>
      <c r="K1782" s="5" t="n">
        <v>45607.0</v>
      </c>
      <c r="L1782" s="5" t="inlineStr">
        <is>
          <t/>
        </is>
      </c>
      <c r="M1782" s="3" t="inlineStr">
        <is>
          <t>Approved</t>
        </is>
      </c>
      <c r="N1782" s="3" t="inlineStr">
        <is>
          <t/>
        </is>
      </c>
      <c r="O1782" s="3" t="inlineStr">
        <is>
          <t>42847922MDD3003</t>
        </is>
      </c>
    </row>
    <row r="1783">
      <c r="A1783" s="2" t="str">
        <f>HYPERLINK("https://vtmf.veevavault.com/ui/#doc_info/27463033/1/0", "NE - 42847922MDD3003---Other Meetings (v1.0)")</f>
        <v>NE - 42847922MDD3003---Other Meetings (v1.0)</v>
      </c>
      <c r="B1783" s="3" t="inlineStr">
        <is>
          <t>Non Essential</t>
        </is>
      </c>
      <c r="C1783" s="3" t="inlineStr">
        <is>
          <t>Meeting Activities and Related Documents</t>
        </is>
      </c>
      <c r="D1783" s="3" t="inlineStr">
        <is>
          <t>Other Meetings</t>
        </is>
      </c>
      <c r="E1783" s="3" t="inlineStr">
        <is>
          <t>42847922MDD3003_NCC_Start-Up_bi-weekly RSU Study Team Meeting_11Nov2024.</t>
        </is>
      </c>
      <c r="F1783" s="2" t="str">
        <f>HYPERLINK("https://vtmf.veevavault.com/ui/#doc_info/27463033/1/0", "VTMF-22025484")</f>
        <v>VTMF-22025484</v>
      </c>
      <c r="G1783" s="3" t="inlineStr">
        <is>
          <t/>
        </is>
      </c>
      <c r="H1783" s="3" t="inlineStr">
        <is>
          <t>System</t>
        </is>
      </c>
      <c r="I1783" s="3" t="inlineStr">
        <is>
          <t>Gina Stefanelli</t>
        </is>
      </c>
      <c r="J1783" s="4" t="n">
        <v>45607.848807870374</v>
      </c>
      <c r="K1783" s="5" t="n">
        <v>45607.0</v>
      </c>
      <c r="L1783" s="5" t="inlineStr">
        <is>
          <t/>
        </is>
      </c>
      <c r="M1783" s="3" t="inlineStr">
        <is>
          <t>Approved</t>
        </is>
      </c>
      <c r="N1783" s="3" t="inlineStr">
        <is>
          <t/>
        </is>
      </c>
      <c r="O1783" s="3" t="inlineStr">
        <is>
          <t>42847922MDD3003</t>
        </is>
      </c>
    </row>
    <row r="1784">
      <c r="A1784" s="2" t="str">
        <f>HYPERLINK("https://vtmf.veevavault.com/ui/#doc_info/27507023/1/0", "NE - 42847922MDD3003---Other Meetings (v1.0)")</f>
        <v>NE - 42847922MDD3003---Other Meetings (v1.0)</v>
      </c>
      <c r="B1784" s="3" t="inlineStr">
        <is>
          <t>Non Essential</t>
        </is>
      </c>
      <c r="C1784" s="3" t="inlineStr">
        <is>
          <t>Meeting Activities and Related Documents</t>
        </is>
      </c>
      <c r="D1784" s="3" t="inlineStr">
        <is>
          <t>Other Meetings</t>
        </is>
      </c>
      <c r="E1784" s="3" t="inlineStr">
        <is>
          <t>NCC Start Up AI log</t>
        </is>
      </c>
      <c r="F1784" s="2" t="str">
        <f>HYPERLINK("https://vtmf.veevavault.com/ui/#doc_info/27507023/1/0", "VTMF-22062950")</f>
        <v>VTMF-22062950</v>
      </c>
      <c r="G1784" s="3" t="inlineStr">
        <is>
          <t/>
        </is>
      </c>
      <c r="H1784" s="3" t="inlineStr">
        <is>
          <t>System</t>
        </is>
      </c>
      <c r="I1784" s="3" t="inlineStr">
        <is>
          <t>Gina Stefanelli</t>
        </is>
      </c>
      <c r="J1784" s="4" t="n">
        <v>45614.695439814815</v>
      </c>
      <c r="K1784" s="5" t="n">
        <v>45614.0</v>
      </c>
      <c r="L1784" s="5" t="inlineStr">
        <is>
          <t/>
        </is>
      </c>
      <c r="M1784" s="3" t="inlineStr">
        <is>
          <t>Approved</t>
        </is>
      </c>
      <c r="N1784" s="3" t="inlineStr">
        <is>
          <t/>
        </is>
      </c>
      <c r="O1784" s="3" t="inlineStr">
        <is>
          <t>42847922MDD3003</t>
        </is>
      </c>
    </row>
    <row r="1785">
      <c r="A1785" s="2" t="str">
        <f>HYPERLINK("https://vtmf.veevavault.com/ui/#doc_info/27507288/1/0", "NE - 42847922MDD3003---Other Meetings (v1.0)")</f>
        <v>NE - 42847922MDD3003---Other Meetings (v1.0)</v>
      </c>
      <c r="B1785" s="3" t="inlineStr">
        <is>
          <t>Non Essential</t>
        </is>
      </c>
      <c r="C1785" s="3" t="inlineStr">
        <is>
          <t>Meeting Activities and Related Documents</t>
        </is>
      </c>
      <c r="D1785" s="3" t="inlineStr">
        <is>
          <t>Other Meetings</t>
        </is>
      </c>
      <c r="E1785" s="3" t="inlineStr">
        <is>
          <t>42847922MDD3003_NCC_Start-Up_update and RSU OT_18Nov2024.</t>
        </is>
      </c>
      <c r="F1785" s="2" t="str">
        <f>HYPERLINK("https://vtmf.veevavault.com/ui/#doc_info/27507288/1/0", "VTMF-22063225")</f>
        <v>VTMF-22063225</v>
      </c>
      <c r="G1785" s="3" t="inlineStr">
        <is>
          <t/>
        </is>
      </c>
      <c r="H1785" s="3" t="inlineStr">
        <is>
          <t>System</t>
        </is>
      </c>
      <c r="I1785" s="3" t="inlineStr">
        <is>
          <t>Gina Stefanelli</t>
        </is>
      </c>
      <c r="J1785" s="4" t="n">
        <v>45614.72025462963</v>
      </c>
      <c r="K1785" s="5" t="n">
        <v>45614.0</v>
      </c>
      <c r="L1785" s="5" t="inlineStr">
        <is>
          <t/>
        </is>
      </c>
      <c r="M1785" s="3" t="inlineStr">
        <is>
          <t>Approved</t>
        </is>
      </c>
      <c r="N1785" s="3" t="inlineStr">
        <is>
          <t/>
        </is>
      </c>
      <c r="O1785" s="3" t="inlineStr">
        <is>
          <t>42847922MDD3003</t>
        </is>
      </c>
    </row>
    <row r="1786">
      <c r="A1786" s="2" t="str">
        <f>HYPERLINK("https://vtmf.veevavault.com/ui/#doc_info/27741244/1/0", "NE - 42847922MDD3003---Other Meetings (v1.0)")</f>
        <v>NE - 42847922MDD3003---Other Meetings (v1.0)</v>
      </c>
      <c r="B1786" s="3" t="inlineStr">
        <is>
          <t>Non Essential</t>
        </is>
      </c>
      <c r="C1786" s="3" t="inlineStr">
        <is>
          <t>Meeting Activities and Related Documents</t>
        </is>
      </c>
      <c r="D1786" s="3" t="inlineStr">
        <is>
          <t>Other Meetings</t>
        </is>
      </c>
      <c r="E1786" s="3" t="inlineStr">
        <is>
          <t>42847922MDD3003_NCC_Start-Up_bi-weekly RSU Study Team Meeting_25Nov2024</t>
        </is>
      </c>
      <c r="F1786" s="2" t="str">
        <f>HYPERLINK("https://vtmf.veevavault.com/ui/#doc_info/27741244/1/0", "VTMF-22244344")</f>
        <v>VTMF-22244344</v>
      </c>
      <c r="G1786" s="3" t="inlineStr">
        <is>
          <t/>
        </is>
      </c>
      <c r="H1786" s="3" t="inlineStr">
        <is>
          <t>System</t>
        </is>
      </c>
      <c r="I1786" s="3" t="inlineStr">
        <is>
          <t>Debhora Garcia</t>
        </is>
      </c>
      <c r="J1786" s="4" t="n">
        <v>45622.128900462965</v>
      </c>
      <c r="K1786" s="5" t="n">
        <v>45636.0</v>
      </c>
      <c r="L1786" s="5" t="inlineStr">
        <is>
          <t/>
        </is>
      </c>
      <c r="M1786" s="3" t="inlineStr">
        <is>
          <t>Approved</t>
        </is>
      </c>
      <c r="N1786" s="3" t="inlineStr">
        <is>
          <t/>
        </is>
      </c>
      <c r="O1786" s="3" t="inlineStr">
        <is>
          <t>42847922MDD3003</t>
        </is>
      </c>
    </row>
    <row r="1787">
      <c r="A1787" s="2" t="str">
        <f>HYPERLINK("https://vtmf.veevavault.com/ui/#doc_info/27838214/1/0", "NE - 42847922MDD3003---Other Meetings (v1.0)")</f>
        <v>NE - 42847922MDD3003---Other Meetings (v1.0)</v>
      </c>
      <c r="B1787" s="3" t="inlineStr">
        <is>
          <t>Non Essential</t>
        </is>
      </c>
      <c r="C1787" s="3" t="inlineStr">
        <is>
          <t>Meeting Activities and Related Documents</t>
        </is>
      </c>
      <c r="D1787" s="3" t="inlineStr">
        <is>
          <t>Other Meetings</t>
        </is>
      </c>
      <c r="E1787" s="3" t="inlineStr">
        <is>
          <t>42847922MDD3003_NCC_Start-Up_bi-weekly RSU Study Team Meeting_09Dec2024</t>
        </is>
      </c>
      <c r="F1787" s="2" t="str">
        <f>HYPERLINK("https://vtmf.veevavault.com/ui/#doc_info/27838214/1/0", "VTMF-22321763")</f>
        <v>VTMF-22321763</v>
      </c>
      <c r="G1787" s="3" t="inlineStr">
        <is>
          <t/>
        </is>
      </c>
      <c r="H1787" s="3" t="inlineStr">
        <is>
          <t>System</t>
        </is>
      </c>
      <c r="I1787" s="3" t="inlineStr">
        <is>
          <t>Debhora Garcia</t>
        </is>
      </c>
      <c r="J1787" s="4" t="n">
        <v>45636.65545138889</v>
      </c>
      <c r="K1787" s="5" t="n">
        <v>45636.0</v>
      </c>
      <c r="L1787" s="5" t="inlineStr">
        <is>
          <t/>
        </is>
      </c>
      <c r="M1787" s="3" t="inlineStr">
        <is>
          <t>Approved</t>
        </is>
      </c>
      <c r="N1787" s="3" t="inlineStr">
        <is>
          <t/>
        </is>
      </c>
      <c r="O1787" s="3" t="inlineStr">
        <is>
          <t>42847922MDD3003</t>
        </is>
      </c>
    </row>
    <row r="1788">
      <c r="A1788" s="2" t="str">
        <f>HYPERLINK("https://vtmf.veevavault.com/ui/#doc_info/27840802/1/0", "NE - 42847922MDD3003---Other Meetings (v1.0)")</f>
        <v>NE - 42847922MDD3003---Other Meetings (v1.0)</v>
      </c>
      <c r="B1788" s="3" t="inlineStr">
        <is>
          <t>Non Essential</t>
        </is>
      </c>
      <c r="C1788" s="3" t="inlineStr">
        <is>
          <t>Meeting Activities and Related Documents</t>
        </is>
      </c>
      <c r="D1788" s="3" t="inlineStr">
        <is>
          <t>Other Meetings</t>
        </is>
      </c>
      <c r="E1788" s="3" t="inlineStr">
        <is>
          <t>42847922MDD3003_NCC_Start-Up_update_02Dec2024.</t>
        </is>
      </c>
      <c r="F1788" s="2" t="str">
        <f>HYPERLINK("https://vtmf.veevavault.com/ui/#doc_info/27840802/1/0", "VTMF-22324000")</f>
        <v>VTMF-22324000</v>
      </c>
      <c r="G1788" s="3" t="inlineStr">
        <is>
          <t/>
        </is>
      </c>
      <c r="H1788" s="3" t="inlineStr">
        <is>
          <t>System</t>
        </is>
      </c>
      <c r="I1788" s="3" t="inlineStr">
        <is>
          <t>Gina Stefanelli</t>
        </is>
      </c>
      <c r="J1788" s="4" t="n">
        <v>45636.910266203704</v>
      </c>
      <c r="K1788" s="5" t="n">
        <v>45636.0</v>
      </c>
      <c r="L1788" s="5" t="inlineStr">
        <is>
          <t/>
        </is>
      </c>
      <c r="M1788" s="3" t="inlineStr">
        <is>
          <t>Approved</t>
        </is>
      </c>
      <c r="N1788" s="3" t="inlineStr">
        <is>
          <t/>
        </is>
      </c>
      <c r="O1788" s="3" t="inlineStr">
        <is>
          <t>42847922MDD3003</t>
        </is>
      </c>
    </row>
    <row r="1789">
      <c r="A1789" s="2" t="str">
        <f>HYPERLINK("https://vtmf.veevavault.com/ui/#doc_info/27876835/1/0", "NE - 42847922MDD3003---Other Meetings (v1.0)")</f>
        <v>NE - 42847922MDD3003---Other Meetings (v1.0)</v>
      </c>
      <c r="B1789" s="3" t="inlineStr">
        <is>
          <t>Non Essential</t>
        </is>
      </c>
      <c r="C1789" s="3" t="inlineStr">
        <is>
          <t>Meeting Activities and Related Documents</t>
        </is>
      </c>
      <c r="D1789" s="3" t="inlineStr">
        <is>
          <t>Other Meetings</t>
        </is>
      </c>
      <c r="E1789" s="3" t="inlineStr">
        <is>
          <t>42847922MDD3003_NCC_Start-Up_bi-weekly RSU Study Team Meeting_25Nov2024</t>
        </is>
      </c>
      <c r="F1789" s="2" t="str">
        <f>HYPERLINK("https://vtmf.veevavault.com/ui/#doc_info/27876835/1/0", "VTMF-22353913")</f>
        <v>VTMF-22353913</v>
      </c>
      <c r="G1789" s="3" t="inlineStr">
        <is>
          <t/>
        </is>
      </c>
      <c r="H1789" s="3" t="inlineStr">
        <is>
          <t>System</t>
        </is>
      </c>
      <c r="I1789" s="3" t="inlineStr">
        <is>
          <t>Gina Stefanelli</t>
        </is>
      </c>
      <c r="J1789" s="4" t="n">
        <v>45639.69200231481</v>
      </c>
      <c r="K1789" s="5" t="n">
        <v>45639.0</v>
      </c>
      <c r="L1789" s="5" t="inlineStr">
        <is>
          <t/>
        </is>
      </c>
      <c r="M1789" s="3" t="inlineStr">
        <is>
          <t>Approved</t>
        </is>
      </c>
      <c r="N1789" s="3" t="inlineStr">
        <is>
          <t/>
        </is>
      </c>
      <c r="O1789" s="3" t="inlineStr">
        <is>
          <t>42847922MDD3003</t>
        </is>
      </c>
    </row>
    <row r="1790">
      <c r="A1790" s="2" t="str">
        <f>HYPERLINK("https://vtmf.veevavault.com/ui/#doc_info/27877315/1/0", "NE - 42847922MDD3003---Other Meetings (v1.0)")</f>
        <v>NE - 42847922MDD3003---Other Meetings (v1.0)</v>
      </c>
      <c r="B1790" s="3" t="inlineStr">
        <is>
          <t>Non Essential</t>
        </is>
      </c>
      <c r="C1790" s="3" t="inlineStr">
        <is>
          <t>Meeting Activities and Related Documents</t>
        </is>
      </c>
      <c r="D1790" s="3" t="inlineStr">
        <is>
          <t>Other Meetings</t>
        </is>
      </c>
      <c r="E1790" s="3" t="inlineStr">
        <is>
          <t>42847922MDD3003_NCC_Start-Up_bi-weekly RSU Study Team Meeting_09Dec2024.</t>
        </is>
      </c>
      <c r="F1790" s="2" t="str">
        <f>HYPERLINK("https://vtmf.veevavault.com/ui/#doc_info/27877315/1/0", "VTMF-22354184")</f>
        <v>VTMF-22354184</v>
      </c>
      <c r="G1790" s="3" t="inlineStr">
        <is>
          <t/>
        </is>
      </c>
      <c r="H1790" s="3" t="inlineStr">
        <is>
          <t>System</t>
        </is>
      </c>
      <c r="I1790" s="3" t="inlineStr">
        <is>
          <t>Gina Stefanelli</t>
        </is>
      </c>
      <c r="J1790" s="4" t="n">
        <v>45639.69782407407</v>
      </c>
      <c r="K1790" s="5" t="n">
        <v>45639.0</v>
      </c>
      <c r="L1790" s="5" t="inlineStr">
        <is>
          <t/>
        </is>
      </c>
      <c r="M1790" s="3" t="inlineStr">
        <is>
          <t>Approved</t>
        </is>
      </c>
      <c r="N1790" s="3" t="inlineStr">
        <is>
          <t/>
        </is>
      </c>
      <c r="O1790" s="3" t="inlineStr">
        <is>
          <t>42847922MDD3003</t>
        </is>
      </c>
    </row>
    <row r="1791">
      <c r="A1791" s="2" t="str">
        <f>HYPERLINK("https://vtmf.veevavault.com/ui/#doc_info/27928219/1/0", "NE - 42847922MDD3003---Other Meetings (v1.0)")</f>
        <v>NE - 42847922MDD3003---Other Meetings (v1.0)</v>
      </c>
      <c r="B1791" s="3" t="inlineStr">
        <is>
          <t>Non Essential</t>
        </is>
      </c>
      <c r="C1791" s="3" t="inlineStr">
        <is>
          <t>Meeting Activities and Related Documents</t>
        </is>
      </c>
      <c r="D1791" s="3" t="inlineStr">
        <is>
          <t>Other Meetings</t>
        </is>
      </c>
      <c r="E1791" s="3" t="inlineStr">
        <is>
          <t>42847922MDD3003_NCC_Start-Up_update_17Dec2024</t>
        </is>
      </c>
      <c r="F1791" s="2" t="str">
        <f>HYPERLINK("https://vtmf.veevavault.com/ui/#doc_info/27928219/1/0", "VTMF-22391397")</f>
        <v>VTMF-22391397</v>
      </c>
      <c r="G1791" s="3" t="inlineStr">
        <is>
          <t/>
        </is>
      </c>
      <c r="H1791" s="3" t="inlineStr">
        <is>
          <t>System</t>
        </is>
      </c>
      <c r="I1791" s="3" t="inlineStr">
        <is>
          <t>Debhora Garcia</t>
        </is>
      </c>
      <c r="J1791" s="4" t="n">
        <v>45643.92119212963</v>
      </c>
      <c r="K1791" s="5" t="n">
        <v>45726.0</v>
      </c>
      <c r="L1791" s="5" t="inlineStr">
        <is>
          <t/>
        </is>
      </c>
      <c r="M1791" s="3" t="inlineStr">
        <is>
          <t>Approved</t>
        </is>
      </c>
      <c r="N1791" s="3" t="inlineStr">
        <is>
          <t/>
        </is>
      </c>
      <c r="O1791" s="3" t="inlineStr">
        <is>
          <t>42847922MDD3003</t>
        </is>
      </c>
    </row>
    <row r="1792">
      <c r="A1792" s="2" t="str">
        <f>HYPERLINK("https://vtmf.veevavault.com/ui/#doc_info/27985286/1/0", "NE - 42847922MDD3003---Other Meetings (v1.0)")</f>
        <v>NE - 42847922MDD3003---Other Meetings (v1.0)</v>
      </c>
      <c r="B1792" s="3" t="inlineStr">
        <is>
          <t>Non Essential</t>
        </is>
      </c>
      <c r="C1792" s="3" t="inlineStr">
        <is>
          <t>Meeting Activities and Related Documents</t>
        </is>
      </c>
      <c r="D1792" s="3" t="inlineStr">
        <is>
          <t>Other Meetings</t>
        </is>
      </c>
      <c r="E1792" s="3" t="inlineStr">
        <is>
          <t>42847922MDD3003_NCC_Start-Up_ADI Log update_24Dec2024</t>
        </is>
      </c>
      <c r="F1792" s="2" t="str">
        <f>HYPERLINK("https://vtmf.veevavault.com/ui/#doc_info/27985286/1/0", "VTMF-22439902")</f>
        <v>VTMF-22439902</v>
      </c>
      <c r="G1792" s="3" t="inlineStr">
        <is>
          <t/>
        </is>
      </c>
      <c r="H1792" s="3" t="inlineStr">
        <is>
          <t>System</t>
        </is>
      </c>
      <c r="I1792" s="3" t="inlineStr">
        <is>
          <t>Gina Stefanelli</t>
        </is>
      </c>
      <c r="J1792" s="4" t="n">
        <v>45653.5896875</v>
      </c>
      <c r="K1792" s="5" t="n">
        <v>45653.0</v>
      </c>
      <c r="L1792" s="5" t="inlineStr">
        <is>
          <t/>
        </is>
      </c>
      <c r="M1792" s="3" t="inlineStr">
        <is>
          <t>Approved</t>
        </is>
      </c>
      <c r="N1792" s="3" t="inlineStr">
        <is>
          <t/>
        </is>
      </c>
      <c r="O1792" s="3" t="inlineStr">
        <is>
          <t>42847922MDD3003</t>
        </is>
      </c>
    </row>
    <row r="1793">
      <c r="A1793" s="2" t="str">
        <f>HYPERLINK("https://vtmf.veevavault.com/ui/#doc_info/28171543/1/0", "NE - 42847922MDD3003---Other Meetings (v1.0)")</f>
        <v>NE - 42847922MDD3003---Other Meetings (v1.0)</v>
      </c>
      <c r="B1793" s="3" t="inlineStr">
        <is>
          <t>Non Essential</t>
        </is>
      </c>
      <c r="C1793" s="3" t="inlineStr">
        <is>
          <t>Meeting Activities and Related Documents</t>
        </is>
      </c>
      <c r="D1793" s="3" t="inlineStr">
        <is>
          <t>Other Meetings</t>
        </is>
      </c>
      <c r="E1793" s="3" t="inlineStr">
        <is>
          <t>42847922MDD3003_NCC_Start-Up_update_28Jan2025</t>
        </is>
      </c>
      <c r="F1793" s="2" t="str">
        <f>HYPERLINK("https://vtmf.veevavault.com/ui/#doc_info/28171543/1/0", "VTMF-22592044")</f>
        <v>VTMF-22592044</v>
      </c>
      <c r="G1793" s="3" t="inlineStr">
        <is>
          <t/>
        </is>
      </c>
      <c r="H1793" s="3" t="inlineStr">
        <is>
          <t>System</t>
        </is>
      </c>
      <c r="I1793" s="3" t="inlineStr">
        <is>
          <t>Gina Stefanelli</t>
        </is>
      </c>
      <c r="J1793" s="4" t="n">
        <v>45685.63123842593</v>
      </c>
      <c r="K1793" s="5" t="n">
        <v>45685.0</v>
      </c>
      <c r="L1793" s="5" t="inlineStr">
        <is>
          <t/>
        </is>
      </c>
      <c r="M1793" s="3" t="inlineStr">
        <is>
          <t>Approved</t>
        </is>
      </c>
      <c r="N1793" s="3" t="inlineStr">
        <is>
          <t/>
        </is>
      </c>
      <c r="O1793" s="3" t="inlineStr">
        <is>
          <t>42847922MDD3003</t>
        </is>
      </c>
    </row>
    <row r="1794">
      <c r="A1794" s="2" t="str">
        <f>HYPERLINK("https://vtmf.veevavault.com/ui/#doc_info/28276714/1/0", "NE - 42847922MDD3003---Other Meetings (v1.0)")</f>
        <v>NE - 42847922MDD3003---Other Meetings (v1.0)</v>
      </c>
      <c r="B1794" s="3" t="inlineStr">
        <is>
          <t>Non Essential</t>
        </is>
      </c>
      <c r="C1794" s="3" t="inlineStr">
        <is>
          <t>Meeting Activities and Related Documents</t>
        </is>
      </c>
      <c r="D1794" s="3" t="inlineStr">
        <is>
          <t>Other Meetings</t>
        </is>
      </c>
      <c r="E1794" s="3" t="inlineStr">
        <is>
          <t>42847922MDD3003_NCC_Start-Up_update_11Feb2025</t>
        </is>
      </c>
      <c r="F1794" s="2" t="str">
        <f>HYPERLINK("https://vtmf.veevavault.com/ui/#doc_info/28276714/1/0", "VTMF-22682295")</f>
        <v>VTMF-22682295</v>
      </c>
      <c r="G1794" s="3" t="inlineStr">
        <is>
          <t/>
        </is>
      </c>
      <c r="H1794" s="3" t="inlineStr">
        <is>
          <t>System</t>
        </is>
      </c>
      <c r="I1794" s="3" t="inlineStr">
        <is>
          <t>Debhora Garcia</t>
        </is>
      </c>
      <c r="J1794" s="4" t="n">
        <v>45700.01125</v>
      </c>
      <c r="K1794" s="5" t="n">
        <v>45699.0</v>
      </c>
      <c r="L1794" s="5" t="inlineStr">
        <is>
          <t/>
        </is>
      </c>
      <c r="M1794" s="3" t="inlineStr">
        <is>
          <t>Approved</t>
        </is>
      </c>
      <c r="N1794" s="3" t="inlineStr">
        <is>
          <t/>
        </is>
      </c>
      <c r="O1794" s="3" t="inlineStr">
        <is>
          <t>42847922MDD3003</t>
        </is>
      </c>
    </row>
    <row r="1795">
      <c r="A1795" s="2" t="str">
        <f>HYPERLINK("https://vtmf.veevavault.com/ui/#doc_info/28556196/1/0", "NE - 42847922MDD3003---Other Meetings (v1.0)")</f>
        <v>NE - 42847922MDD3003---Other Meetings (v1.0)</v>
      </c>
      <c r="B1795" s="3" t="inlineStr">
        <is>
          <t>Non Essential</t>
        </is>
      </c>
      <c r="C1795" s="3" t="inlineStr">
        <is>
          <t>Meeting Activities and Related Documents</t>
        </is>
      </c>
      <c r="D1795" s="3" t="inlineStr">
        <is>
          <t>Other Meetings</t>
        </is>
      </c>
      <c r="E1795" s="3" t="inlineStr">
        <is>
          <t>42847922MDD3003_NCC_Start-Up_update_26Feb2025</t>
        </is>
      </c>
      <c r="F1795" s="2" t="str">
        <f>HYPERLINK("https://vtmf.veevavault.com/ui/#doc_info/28556196/1/0", "VTMF-22931719")</f>
        <v>VTMF-22931719</v>
      </c>
      <c r="G1795" s="3" t="inlineStr">
        <is>
          <t/>
        </is>
      </c>
      <c r="H1795" s="3" t="inlineStr">
        <is>
          <t>System</t>
        </is>
      </c>
      <c r="I1795" s="3" t="inlineStr">
        <is>
          <t>Debhora Garcia</t>
        </is>
      </c>
      <c r="J1795" s="4" t="n">
        <v>45714.84186342593</v>
      </c>
      <c r="K1795" s="5" t="n">
        <v>45714.0</v>
      </c>
      <c r="L1795" s="5" t="inlineStr">
        <is>
          <t/>
        </is>
      </c>
      <c r="M1795" s="3" t="inlineStr">
        <is>
          <t>Approved</t>
        </is>
      </c>
      <c r="N1795" s="3" t="inlineStr">
        <is>
          <t/>
        </is>
      </c>
      <c r="O1795" s="3" t="inlineStr">
        <is>
          <t>42847922MDD3003</t>
        </is>
      </c>
    </row>
    <row r="1796">
      <c r="A1796" s="2" t="str">
        <f>HYPERLINK("https://vtmf.veevavault.com/ui/#doc_info/28604698/1/0", "NE - 42847922MDD3003---Other Meetings (v1.0)")</f>
        <v>NE - 42847922MDD3003---Other Meetings (v1.0)</v>
      </c>
      <c r="B1796" s="3" t="inlineStr">
        <is>
          <t>Non Essential</t>
        </is>
      </c>
      <c r="C1796" s="3" t="inlineStr">
        <is>
          <t>Meeting Activities and Related Documents</t>
        </is>
      </c>
      <c r="D1796" s="3" t="inlineStr">
        <is>
          <t>Other Meetings</t>
        </is>
      </c>
      <c r="E1796" s="3" t="inlineStr">
        <is>
          <t>42847922MDD3003_NCC_Start-Up_bi-weekly RSU Study Team Meeting_04March2025</t>
        </is>
      </c>
      <c r="F1796" s="2" t="str">
        <f>HYPERLINK("https://vtmf.veevavault.com/ui/#doc_info/28604698/1/0", "VTMF-22974487")</f>
        <v>VTMF-22974487</v>
      </c>
      <c r="G1796" s="3" t="inlineStr">
        <is>
          <t/>
        </is>
      </c>
      <c r="H1796" s="3" t="inlineStr">
        <is>
          <t>System</t>
        </is>
      </c>
      <c r="I1796" s="3" t="inlineStr">
        <is>
          <t>Debhora Garcia</t>
        </is>
      </c>
      <c r="J1796" s="4" t="n">
        <v>45721.825324074074</v>
      </c>
      <c r="K1796" s="5" t="n">
        <v>45721.0</v>
      </c>
      <c r="L1796" s="5" t="inlineStr">
        <is>
          <t/>
        </is>
      </c>
      <c r="M1796" s="3" t="inlineStr">
        <is>
          <t>Approved</t>
        </is>
      </c>
      <c r="N1796" s="3" t="inlineStr">
        <is>
          <t/>
        </is>
      </c>
      <c r="O1796" s="3" t="inlineStr">
        <is>
          <t>42847922MDD3003</t>
        </is>
      </c>
    </row>
    <row r="1797">
      <c r="A1797" s="2" t="str">
        <f>HYPERLINK("https://vtmf.veevavault.com/ui/#doc_info/28638480/1/0", "NE - 42847922MDD3003---Other Meetings (v1.0)")</f>
        <v>NE - 42847922MDD3003---Other Meetings (v1.0)</v>
      </c>
      <c r="B1797" s="3" t="inlineStr">
        <is>
          <t>Non Essential</t>
        </is>
      </c>
      <c r="C1797" s="3" t="inlineStr">
        <is>
          <t>Meeting Activities and Related Documents</t>
        </is>
      </c>
      <c r="D1797" s="3" t="inlineStr">
        <is>
          <t>Other Meetings</t>
        </is>
      </c>
      <c r="E1797" s="3" t="inlineStr">
        <is>
          <t>42847922MDD3003_NCC_Start-Up_update_10March2025</t>
        </is>
      </c>
      <c r="F1797" s="2" t="str">
        <f>HYPERLINK("https://vtmf.veevavault.com/ui/#doc_info/28638480/1/0", "VTMF-23003934")</f>
        <v>VTMF-23003934</v>
      </c>
      <c r="G1797" s="3" t="inlineStr">
        <is>
          <t/>
        </is>
      </c>
      <c r="H1797" s="3" t="inlineStr">
        <is>
          <t>System</t>
        </is>
      </c>
      <c r="I1797" s="3" t="inlineStr">
        <is>
          <t>Gina Stefanelli</t>
        </is>
      </c>
      <c r="J1797" s="4" t="n">
        <v>45726.97986111111</v>
      </c>
      <c r="K1797" s="5" t="n">
        <v>45726.0</v>
      </c>
      <c r="L1797" s="5" t="inlineStr">
        <is>
          <t/>
        </is>
      </c>
      <c r="M1797" s="3" t="inlineStr">
        <is>
          <t>Approved</t>
        </is>
      </c>
      <c r="N1797" s="3" t="inlineStr">
        <is>
          <t/>
        </is>
      </c>
      <c r="O1797" s="3" t="inlineStr">
        <is>
          <t>42847922MDD3003</t>
        </is>
      </c>
    </row>
    <row r="1798">
      <c r="A1798" s="2" t="str">
        <f>HYPERLINK("https://vtmf.veevavault.com/ui/#doc_info/28761222/1/0", "NE - 42847922MDD3003---Other Meetings (v1.0)")</f>
        <v>NE - 42847922MDD3003---Other Meetings (v1.0)</v>
      </c>
      <c r="B1798" s="3" t="inlineStr">
        <is>
          <t>Non Essential</t>
        </is>
      </c>
      <c r="C1798" s="3" t="inlineStr">
        <is>
          <t>Meeting Activities and Related Documents</t>
        </is>
      </c>
      <c r="D1798" s="3" t="inlineStr">
        <is>
          <t>Other Meetings</t>
        </is>
      </c>
      <c r="E1798" s="3" t="inlineStr">
        <is>
          <t>42847922MDD3003_NCC_Start-Up_update_27March2025</t>
        </is>
      </c>
      <c r="F1798" s="2" t="str">
        <f>HYPERLINK("https://vtmf.veevavault.com/ui/#doc_info/28761222/1/0", "VTMF-23106827")</f>
        <v>VTMF-23106827</v>
      </c>
      <c r="G1798" s="3" t="inlineStr">
        <is>
          <t/>
        </is>
      </c>
      <c r="H1798" s="3" t="inlineStr">
        <is>
          <t>System</t>
        </is>
      </c>
      <c r="I1798" s="3" t="inlineStr">
        <is>
          <t>Debhora Garcia</t>
        </is>
      </c>
      <c r="J1798" s="4" t="n">
        <v>45744.11077546296</v>
      </c>
      <c r="K1798" s="5" t="n">
        <v>45743.0</v>
      </c>
      <c r="L1798" s="5" t="inlineStr">
        <is>
          <t/>
        </is>
      </c>
      <c r="M1798" s="3" t="inlineStr">
        <is>
          <t>Approved</t>
        </is>
      </c>
      <c r="N1798" s="3" t="inlineStr">
        <is>
          <t/>
        </is>
      </c>
      <c r="O1798" s="3" t="inlineStr">
        <is>
          <t>42847922MDD3003</t>
        </is>
      </c>
    </row>
    <row r="1799">
      <c r="A1799" s="2" t="str">
        <f>HYPERLINK("https://vtmf.veevavault.com/ui/#doc_info/28796733/1/0", "NE - 42847922MDD3003---Other Meetings (v1.0)")</f>
        <v>NE - 42847922MDD3003---Other Meetings (v1.0)</v>
      </c>
      <c r="B1799" s="3" t="inlineStr">
        <is>
          <t>Non Essential</t>
        </is>
      </c>
      <c r="C1799" s="3" t="inlineStr">
        <is>
          <t>Meeting Activities and Related Documents</t>
        </is>
      </c>
      <c r="D1799" s="3" t="inlineStr">
        <is>
          <t>Other Meetings</t>
        </is>
      </c>
      <c r="E1799" s="3" t="inlineStr">
        <is>
          <t>42847922MDD3003_NCC_Start-Up_bi-weekly RSU Study Team Meeting_31March2025</t>
        </is>
      </c>
      <c r="F1799" s="2" t="str">
        <f>HYPERLINK("https://vtmf.veevavault.com/ui/#doc_info/28796733/1/0", "VTMF-23136695")</f>
        <v>VTMF-23136695</v>
      </c>
      <c r="G1799" s="3" t="inlineStr">
        <is>
          <t/>
        </is>
      </c>
      <c r="H1799" s="3" t="inlineStr">
        <is>
          <t>System</t>
        </is>
      </c>
      <c r="I1799" s="3" t="inlineStr">
        <is>
          <t>Debhora Garcia</t>
        </is>
      </c>
      <c r="J1799" s="4" t="n">
        <v>45750.08346064815</v>
      </c>
      <c r="K1799" s="5" t="n">
        <v>45749.0</v>
      </c>
      <c r="L1799" s="5" t="inlineStr">
        <is>
          <t/>
        </is>
      </c>
      <c r="M1799" s="3" t="inlineStr">
        <is>
          <t>Approved</t>
        </is>
      </c>
      <c r="N1799" s="3" t="inlineStr">
        <is>
          <t/>
        </is>
      </c>
      <c r="O1799" s="3" t="inlineStr">
        <is>
          <t>42847922MDD3003</t>
        </is>
      </c>
    </row>
    <row r="1800">
      <c r="A1800" s="2" t="str">
        <f>HYPERLINK("https://vtmf.veevavault.com/ui/#doc_info/28828879/1/0", "NE - 42847922MDD3003---Other Meetings (v1.0)")</f>
        <v>NE - 42847922MDD3003---Other Meetings (v1.0)</v>
      </c>
      <c r="B1800" s="3" t="inlineStr">
        <is>
          <t>Non Essential</t>
        </is>
      </c>
      <c r="C1800" s="3" t="inlineStr">
        <is>
          <t>Meeting Activities and Related Documents</t>
        </is>
      </c>
      <c r="D1800" s="3" t="inlineStr">
        <is>
          <t>Other Meetings</t>
        </is>
      </c>
      <c r="E1800" s="3" t="inlineStr">
        <is>
          <t>42847922MDD3003_NCC_Start-Up_update_07April2025</t>
        </is>
      </c>
      <c r="F1800" s="2" t="str">
        <f>HYPERLINK("https://vtmf.veevavault.com/ui/#doc_info/28828879/1/0", "VTMF-23163780")</f>
        <v>VTMF-23163780</v>
      </c>
      <c r="G1800" s="3" t="inlineStr">
        <is>
          <t/>
        </is>
      </c>
      <c r="H1800" s="3" t="inlineStr">
        <is>
          <t>Debhora Garcia</t>
        </is>
      </c>
      <c r="I1800" s="3" t="inlineStr">
        <is>
          <t>Debhora Garcia</t>
        </is>
      </c>
      <c r="J1800" s="4" t="n">
        <v>45755.136979166666</v>
      </c>
      <c r="K1800" s="5" t="n">
        <v>45754.0</v>
      </c>
      <c r="L1800" s="5" t="inlineStr">
        <is>
          <t/>
        </is>
      </c>
      <c r="M1800" s="3" t="inlineStr">
        <is>
          <t>Approved</t>
        </is>
      </c>
      <c r="N1800" s="3" t="inlineStr">
        <is>
          <t/>
        </is>
      </c>
      <c r="O1800" s="3" t="inlineStr">
        <is>
          <t>42847922MDD3003</t>
        </is>
      </c>
    </row>
    <row r="1801">
      <c r="A1801" s="2" t="str">
        <f>HYPERLINK("https://vtmf.veevavault.com/ui/#doc_info/28904444/1/0", "NE - 42847922MDD3003---Other Meetings (v1.0)")</f>
        <v>NE - 42847922MDD3003---Other Meetings (v1.0)</v>
      </c>
      <c r="B1801" s="3" t="inlineStr">
        <is>
          <t>Non Essential</t>
        </is>
      </c>
      <c r="C1801" s="3" t="inlineStr">
        <is>
          <t>Meeting Activities and Related Documents</t>
        </is>
      </c>
      <c r="D1801" s="3" t="inlineStr">
        <is>
          <t>Other Meetings</t>
        </is>
      </c>
      <c r="E1801" s="3" t="inlineStr">
        <is>
          <t>42847922MDD3003 NCC_Start-Up_bi-weekly RSU Study Team Meeting_14April2025</t>
        </is>
      </c>
      <c r="F1801" s="2" t="str">
        <f>HYPERLINK("https://vtmf.veevavault.com/ui/#doc_info/28904444/1/0", "VTMF-23224995")</f>
        <v>VTMF-23224995</v>
      </c>
      <c r="G1801" s="3" t="inlineStr">
        <is>
          <t/>
        </is>
      </c>
      <c r="H1801" s="3" t="inlineStr">
        <is>
          <t>System</t>
        </is>
      </c>
      <c r="I1801" s="3" t="inlineStr">
        <is>
          <t>Debhora Garcia</t>
        </is>
      </c>
      <c r="J1801" s="4" t="n">
        <v>45763.99793981481</v>
      </c>
      <c r="K1801" s="5" t="n">
        <v>45763.0</v>
      </c>
      <c r="L1801" s="5" t="inlineStr">
        <is>
          <t/>
        </is>
      </c>
      <c r="M1801" s="3" t="inlineStr">
        <is>
          <t>Approved</t>
        </is>
      </c>
      <c r="N1801" s="3" t="inlineStr">
        <is>
          <t/>
        </is>
      </c>
      <c r="O1801" s="3" t="inlineStr">
        <is>
          <t>42847922MDD3003</t>
        </is>
      </c>
    </row>
    <row r="1802">
      <c r="A1802" s="2" t="str">
        <f>HYPERLINK("https://vtmf.veevavault.com/ui/#doc_info/28953594/1/0", "NE - 42847922MDD3003---Other Meetings (v1.0)")</f>
        <v>NE - 42847922MDD3003---Other Meetings (v1.0)</v>
      </c>
      <c r="B1802" s="3" t="inlineStr">
        <is>
          <t>Non Essential</t>
        </is>
      </c>
      <c r="C1802" s="3" t="inlineStr">
        <is>
          <t>Meeting Activities and Related Documents</t>
        </is>
      </c>
      <c r="D1802" s="3" t="inlineStr">
        <is>
          <t>Other Meetings</t>
        </is>
      </c>
      <c r="E1802" s="3" t="inlineStr">
        <is>
          <t>42847922MDD3003_NCC_Start-Up_update_23April2025</t>
        </is>
      </c>
      <c r="F1802" s="2" t="str">
        <f>HYPERLINK("https://vtmf.veevavault.com/ui/#doc_info/28953594/1/0", "VTMF-23267700")</f>
        <v>VTMF-23267700</v>
      </c>
      <c r="G1802" s="3" t="inlineStr">
        <is>
          <t/>
        </is>
      </c>
      <c r="H1802" s="3" t="inlineStr">
        <is>
          <t>Debhora Garcia</t>
        </is>
      </c>
      <c r="I1802" s="3" t="inlineStr">
        <is>
          <t>Debhora Garcia</t>
        </is>
      </c>
      <c r="J1802" s="4" t="n">
        <v>45770.94012731482</v>
      </c>
      <c r="K1802" s="5" t="n">
        <v>45770.0</v>
      </c>
      <c r="L1802" s="5" t="inlineStr">
        <is>
          <t/>
        </is>
      </c>
      <c r="M1802" s="3" t="inlineStr">
        <is>
          <t>Approved</t>
        </is>
      </c>
      <c r="N1802" s="3" t="inlineStr">
        <is>
          <t/>
        </is>
      </c>
      <c r="O1802" s="3" t="inlineStr">
        <is>
          <t>42847922MDD3003</t>
        </is>
      </c>
    </row>
    <row r="1803">
      <c r="A1803" s="2" t="str">
        <f>HYPERLINK("https://vtmf.veevavault.com/ui/#doc_info/29004202/1/0", "NE - 42847922MDD3003---Other Meetings (v1.0)")</f>
        <v>NE - 42847922MDD3003---Other Meetings (v1.0)</v>
      </c>
      <c r="B1803" s="3" t="inlineStr">
        <is>
          <t>Non Essential</t>
        </is>
      </c>
      <c r="C1803" s="3" t="inlineStr">
        <is>
          <t>Meeting Activities and Related Documents</t>
        </is>
      </c>
      <c r="D1803" s="3" t="inlineStr">
        <is>
          <t>Other Meetings</t>
        </is>
      </c>
      <c r="E1803" s="3" t="inlineStr">
        <is>
          <t>42847922MDD3003_NCC_Start-Up_bi-weekly RSU Study Team Meeting_28April2025</t>
        </is>
      </c>
      <c r="F1803" s="2" t="str">
        <f>HYPERLINK("https://vtmf.veevavault.com/ui/#doc_info/29004202/1/0", "VTMF-23301236")</f>
        <v>VTMF-23301236</v>
      </c>
      <c r="G1803" s="3" t="inlineStr">
        <is>
          <t/>
        </is>
      </c>
      <c r="H1803" s="3" t="inlineStr">
        <is>
          <t>System</t>
        </is>
      </c>
      <c r="I1803" s="3" t="inlineStr">
        <is>
          <t>Debhora Garcia</t>
        </is>
      </c>
      <c r="J1803" s="4" t="n">
        <v>45776.79486111111</v>
      </c>
      <c r="K1803" s="5" t="n">
        <v>45776.0</v>
      </c>
      <c r="L1803" s="5" t="inlineStr">
        <is>
          <t/>
        </is>
      </c>
      <c r="M1803" s="3" t="inlineStr">
        <is>
          <t>Approved</t>
        </is>
      </c>
      <c r="N1803" s="3" t="inlineStr">
        <is>
          <t/>
        </is>
      </c>
      <c r="O1803" s="3" t="inlineStr">
        <is>
          <t>42847922MDD3003</t>
        </is>
      </c>
    </row>
    <row r="1804">
      <c r="A1804" s="2" t="str">
        <f>HYPERLINK("https://vtmf.veevavault.com/ui/#doc_info/29052190/1/0", "NE - 42847922MDD3003---Other Meetings (v1.0)")</f>
        <v>NE - 42847922MDD3003---Other Meetings (v1.0)</v>
      </c>
      <c r="B1804" s="3" t="inlineStr">
        <is>
          <t>Non Essential</t>
        </is>
      </c>
      <c r="C1804" s="3" t="inlineStr">
        <is>
          <t>Meeting Activities and Related Documents</t>
        </is>
      </c>
      <c r="D1804" s="3" t="inlineStr">
        <is>
          <t>Other Meetings</t>
        </is>
      </c>
      <c r="E1804" s="3" t="inlineStr">
        <is>
          <t>42847922MDD3003_NCC_Start-Up_update_06May2025</t>
        </is>
      </c>
      <c r="F1804" s="2" t="str">
        <f>HYPERLINK("https://vtmf.veevavault.com/ui/#doc_info/29052190/1/0", "VTMF-23343661")</f>
        <v>VTMF-23343661</v>
      </c>
      <c r="G1804" s="3" t="inlineStr">
        <is>
          <t/>
        </is>
      </c>
      <c r="H1804" s="3" t="inlineStr">
        <is>
          <t>Debhora Garcia</t>
        </is>
      </c>
      <c r="I1804" s="3" t="inlineStr">
        <is>
          <t>Debhora Garcia</t>
        </is>
      </c>
      <c r="J1804" s="4" t="n">
        <v>45783.94231481481</v>
      </c>
      <c r="K1804" s="5" t="n">
        <v>45783.0</v>
      </c>
      <c r="L1804" s="5" t="inlineStr">
        <is>
          <t/>
        </is>
      </c>
      <c r="M1804" s="3" t="inlineStr">
        <is>
          <t>Approved</t>
        </is>
      </c>
      <c r="N1804" s="3" t="inlineStr">
        <is>
          <t/>
        </is>
      </c>
      <c r="O1804" s="3" t="inlineStr">
        <is>
          <t>42847922MDD3003</t>
        </is>
      </c>
    </row>
    <row r="1805">
      <c r="A1805" s="2" t="str">
        <f>HYPERLINK("https://vtmf.veevavault.com/ui/#doc_info/29101873/1/0", "NE - 42847922MDD3003---Other Meetings (v1.0)")</f>
        <v>NE - 42847922MDD3003---Other Meetings (v1.0)</v>
      </c>
      <c r="B1805" s="3" t="inlineStr">
        <is>
          <t>Non Essential</t>
        </is>
      </c>
      <c r="C1805" s="3" t="inlineStr">
        <is>
          <t>Meeting Activities and Related Documents</t>
        </is>
      </c>
      <c r="D1805" s="3" t="inlineStr">
        <is>
          <t>Other Meetings</t>
        </is>
      </c>
      <c r="E1805" s="3" t="inlineStr">
        <is>
          <t>42847922MDD3003_NCC_Start-Up_bi-weekly RSU Study Team Meeting_12May2025</t>
        </is>
      </c>
      <c r="F1805" s="2" t="str">
        <f>HYPERLINK("https://vtmf.veevavault.com/ui/#doc_info/29101873/1/0", "VTMF-23385260")</f>
        <v>VTMF-23385260</v>
      </c>
      <c r="G1805" s="3" t="inlineStr">
        <is>
          <t/>
        </is>
      </c>
      <c r="H1805" s="3" t="inlineStr">
        <is>
          <t>System</t>
        </is>
      </c>
      <c r="I1805" s="3" t="inlineStr">
        <is>
          <t>Debhora Garcia</t>
        </is>
      </c>
      <c r="J1805" s="4" t="n">
        <v>45790.718518518515</v>
      </c>
      <c r="K1805" s="5" t="n">
        <v>45790.0</v>
      </c>
      <c r="L1805" s="5" t="inlineStr">
        <is>
          <t/>
        </is>
      </c>
      <c r="M1805" s="3" t="inlineStr">
        <is>
          <t>Approved</t>
        </is>
      </c>
      <c r="N1805" s="3" t="inlineStr">
        <is>
          <t/>
        </is>
      </c>
      <c r="O1805" s="3" t="inlineStr">
        <is>
          <t>42847922MDD3003</t>
        </is>
      </c>
    </row>
    <row r="1806">
      <c r="A1806" s="2" t="str">
        <f>HYPERLINK("https://vtmf.veevavault.com/ui/#doc_info/29157558/1/0", "NE - 42847922MDD3003---Other Meetings (v1.0)")</f>
        <v>NE - 42847922MDD3003---Other Meetings (v1.0)</v>
      </c>
      <c r="B1806" s="3" t="inlineStr">
        <is>
          <t>Non Essential</t>
        </is>
      </c>
      <c r="C1806" s="3" t="inlineStr">
        <is>
          <t>Meeting Activities and Related Documents</t>
        </is>
      </c>
      <c r="D1806" s="3" t="inlineStr">
        <is>
          <t>Other Meetings</t>
        </is>
      </c>
      <c r="E1806" s="3" t="inlineStr">
        <is>
          <t>42847922MDD3003_NCC_Start-Up_update_20May2025</t>
        </is>
      </c>
      <c r="F1806" s="2" t="str">
        <f>HYPERLINK("https://vtmf.veevavault.com/ui/#doc_info/29157558/1/0", "VTMF-23433126")</f>
        <v>VTMF-23433126</v>
      </c>
      <c r="G1806" s="3" t="inlineStr">
        <is>
          <t/>
        </is>
      </c>
      <c r="H1806" s="3" t="inlineStr">
        <is>
          <t>Debhora Garcia</t>
        </is>
      </c>
      <c r="I1806" s="3" t="inlineStr">
        <is>
          <t>Debhora Garcia</t>
        </is>
      </c>
      <c r="J1806" s="4" t="n">
        <v>45797.800520833334</v>
      </c>
      <c r="K1806" s="5" t="n">
        <v>45797.0</v>
      </c>
      <c r="L1806" s="5" t="inlineStr">
        <is>
          <t/>
        </is>
      </c>
      <c r="M1806" s="3" t="inlineStr">
        <is>
          <t>Approved</t>
        </is>
      </c>
      <c r="N1806" s="3" t="inlineStr">
        <is>
          <t/>
        </is>
      </c>
      <c r="O1806" s="3" t="inlineStr">
        <is>
          <t>42847922MDD3003</t>
        </is>
      </c>
    </row>
    <row r="1807">
      <c r="A1807" s="2" t="str">
        <f>HYPERLINK("https://vtmf.veevavault.com/ui/#doc_info/29211138/1/0", "NE - 42847922MDD3003---Other Meetings (v1.0)")</f>
        <v>NE - 42847922MDD3003---Other Meetings (v1.0)</v>
      </c>
      <c r="B1807" s="3" t="inlineStr">
        <is>
          <t>Non Essential</t>
        </is>
      </c>
      <c r="C1807" s="3" t="inlineStr">
        <is>
          <t>Meeting Activities and Related Documents</t>
        </is>
      </c>
      <c r="D1807" s="3" t="inlineStr">
        <is>
          <t>Other Meetings</t>
        </is>
      </c>
      <c r="E1807" s="3" t="inlineStr">
        <is>
          <t>42847922MDD3003_NCC_Start-Up_bi-weekly RSU Study Team Meeting_26May2025</t>
        </is>
      </c>
      <c r="F1807" s="2" t="str">
        <f>HYPERLINK("https://vtmf.veevavault.com/ui/#doc_info/29211138/1/0", "VTMF-23478732")</f>
        <v>VTMF-23478732</v>
      </c>
      <c r="G1807" s="3" t="inlineStr">
        <is>
          <t/>
        </is>
      </c>
      <c r="H1807" s="3" t="inlineStr">
        <is>
          <t>System</t>
        </is>
      </c>
      <c r="I1807" s="3" t="inlineStr">
        <is>
          <t>Debhora Garcia</t>
        </is>
      </c>
      <c r="J1807" s="4" t="n">
        <v>45805.08118055556</v>
      </c>
      <c r="K1807" s="5" t="n">
        <v>45804.0</v>
      </c>
      <c r="L1807" s="5" t="inlineStr">
        <is>
          <t/>
        </is>
      </c>
      <c r="M1807" s="3" t="inlineStr">
        <is>
          <t>Approved</t>
        </is>
      </c>
      <c r="N1807" s="3" t="inlineStr">
        <is>
          <t/>
        </is>
      </c>
      <c r="O1807" s="3" t="inlineStr">
        <is>
          <t>42847922MDD3003</t>
        </is>
      </c>
    </row>
    <row r="1808">
      <c r="A1808" s="2" t="str">
        <f>HYPERLINK("https://vtmf.veevavault.com/ui/#doc_info/29247431/1/0", "NE - 42847922MDD3003---Other Meetings (v1.0)")</f>
        <v>NE - 42847922MDD3003---Other Meetings (v1.0)</v>
      </c>
      <c r="B1808" s="3" t="inlineStr">
        <is>
          <t>Non Essential</t>
        </is>
      </c>
      <c r="C1808" s="3" t="inlineStr">
        <is>
          <t>Meeting Activities and Related Documents</t>
        </is>
      </c>
      <c r="D1808" s="3" t="inlineStr">
        <is>
          <t>Other Meetings</t>
        </is>
      </c>
      <c r="E1808" s="3" t="inlineStr">
        <is>
          <t>42847922MDD3003_NCC_Start-Up_update_02June2025</t>
        </is>
      </c>
      <c r="F1808" s="2" t="str">
        <f>HYPERLINK("https://vtmf.veevavault.com/ui/#doc_info/29247431/1/0", "VTMF-23508785")</f>
        <v>VTMF-23508785</v>
      </c>
      <c r="G1808" s="3" t="inlineStr">
        <is>
          <t/>
        </is>
      </c>
      <c r="H1808" s="3" t="inlineStr">
        <is>
          <t>System</t>
        </is>
      </c>
      <c r="I1808" s="3" t="inlineStr">
        <is>
          <t>Debhora Garcia</t>
        </is>
      </c>
      <c r="J1808" s="4" t="n">
        <v>45810.85256944445</v>
      </c>
      <c r="K1808" s="5" t="n">
        <v>45810.0</v>
      </c>
      <c r="L1808" s="5" t="inlineStr">
        <is>
          <t/>
        </is>
      </c>
      <c r="M1808" s="3" t="inlineStr">
        <is>
          <t>Approved</t>
        </is>
      </c>
      <c r="N1808" s="3" t="inlineStr">
        <is>
          <t/>
        </is>
      </c>
      <c r="O1808" s="3" t="inlineStr">
        <is>
          <t>42847922MDD3003</t>
        </is>
      </c>
    </row>
    <row r="1809">
      <c r="A1809" s="2" t="str">
        <f>HYPERLINK("https://vtmf.veevavault.com/ui/#doc_info/29346282/1/0", "NE - 42847922MDD3003---Other Meetings (v1.0)")</f>
        <v>NE - 42847922MDD3003---Other Meetings (v1.0)</v>
      </c>
      <c r="B1809" s="3" t="inlineStr">
        <is>
          <t>Non Essential</t>
        </is>
      </c>
      <c r="C1809" s="3" t="inlineStr">
        <is>
          <t>Meeting Activities and Related Documents</t>
        </is>
      </c>
      <c r="D1809" s="3" t="inlineStr">
        <is>
          <t>Other Meetings</t>
        </is>
      </c>
      <c r="E1809" s="3" t="inlineStr">
        <is>
          <t>42847922MDD3003_NCC_Start-Up_bi-weekly RSU Study Team Meeting_10June2025</t>
        </is>
      </c>
      <c r="F1809" s="2" t="str">
        <f>HYPERLINK("https://vtmf.veevavault.com/ui/#doc_info/29346282/1/0", "VTMF-23590999")</f>
        <v>VTMF-23590999</v>
      </c>
      <c r="G1809" s="3" t="inlineStr">
        <is>
          <t/>
        </is>
      </c>
      <c r="H1809" s="3" t="inlineStr">
        <is>
          <t>System</t>
        </is>
      </c>
      <c r="I1809" s="3" t="inlineStr">
        <is>
          <t>Debhora Garcia</t>
        </is>
      </c>
      <c r="J1809" s="4" t="n">
        <v>45821.02186342593</v>
      </c>
      <c r="K1809" s="5" t="n">
        <v>45820.0</v>
      </c>
      <c r="L1809" s="5" t="inlineStr">
        <is>
          <t/>
        </is>
      </c>
      <c r="M1809" s="3" t="inlineStr">
        <is>
          <t>Approved</t>
        </is>
      </c>
      <c r="N1809" s="3" t="inlineStr">
        <is>
          <t/>
        </is>
      </c>
      <c r="O1809" s="3" t="inlineStr">
        <is>
          <t>42847922MDD3003</t>
        </is>
      </c>
    </row>
    <row r="1810">
      <c r="A1810" s="2" t="str">
        <f>HYPERLINK("https://vtmf.veevavault.com/ui/#doc_info/29372042/1/0", "NE - 42847922MDD3003---Other Meetings (v1.0)")</f>
        <v>NE - 42847922MDD3003---Other Meetings (v1.0)</v>
      </c>
      <c r="B1810" s="3" t="inlineStr">
        <is>
          <t>Non Essential</t>
        </is>
      </c>
      <c r="C1810" s="3" t="inlineStr">
        <is>
          <t>Meeting Activities and Related Documents</t>
        </is>
      </c>
      <c r="D1810" s="3" t="inlineStr">
        <is>
          <t>Other Meetings</t>
        </is>
      </c>
      <c r="E1810" s="3" t="inlineStr">
        <is>
          <t>42847922MDD3003_NCC_Start-Up_update_17June2025</t>
        </is>
      </c>
      <c r="F1810" s="2" t="str">
        <f>HYPERLINK("https://vtmf.veevavault.com/ui/#doc_info/29372042/1/0", "VTMF-23613455")</f>
        <v>VTMF-23613455</v>
      </c>
      <c r="G1810" s="3" t="inlineStr">
        <is>
          <t/>
        </is>
      </c>
      <c r="H1810" s="3" t="inlineStr">
        <is>
          <t>System</t>
        </is>
      </c>
      <c r="I1810" s="3" t="inlineStr">
        <is>
          <t>Debhora Garcia</t>
        </is>
      </c>
      <c r="J1810" s="4" t="n">
        <v>45825.70545138889</v>
      </c>
      <c r="K1810" s="5" t="n">
        <v>45825.0</v>
      </c>
      <c r="L1810" s="5" t="inlineStr">
        <is>
          <t/>
        </is>
      </c>
      <c r="M1810" s="3" t="inlineStr">
        <is>
          <t>Approved</t>
        </is>
      </c>
      <c r="N1810" s="3" t="inlineStr">
        <is>
          <t/>
        </is>
      </c>
      <c r="O1810" s="3" t="inlineStr">
        <is>
          <t>42847922MDD3003</t>
        </is>
      </c>
    </row>
    <row r="1811">
      <c r="A1811" s="2" t="str">
        <f>HYPERLINK("https://vtmf.veevavault.com/ui/#doc_info/29443419/1/0", "NE - 42847922MDD3003---Other Meetings (v1.0)")</f>
        <v>NE - 42847922MDD3003---Other Meetings (v1.0)</v>
      </c>
      <c r="B1811" s="3" t="inlineStr">
        <is>
          <t>Non Essential</t>
        </is>
      </c>
      <c r="C1811" s="3" t="inlineStr">
        <is>
          <t>Meeting Activities and Related Documents</t>
        </is>
      </c>
      <c r="D1811" s="3" t="inlineStr">
        <is>
          <t>Other Meetings</t>
        </is>
      </c>
      <c r="E1811" s="3" t="inlineStr">
        <is>
          <t>42847922MDD3003_NCC_Start-Up_bi-weekly RSU Study Team Meeting_23June2025</t>
        </is>
      </c>
      <c r="F1811" s="2" t="str">
        <f>HYPERLINK("https://vtmf.veevavault.com/ui/#doc_info/29443419/1/0", "VTMF-23676842")</f>
        <v>VTMF-23676842</v>
      </c>
      <c r="G1811" s="3" t="inlineStr">
        <is>
          <t/>
        </is>
      </c>
      <c r="H1811" s="3" t="inlineStr">
        <is>
          <t>System</t>
        </is>
      </c>
      <c r="I1811" s="3" t="inlineStr">
        <is>
          <t>Debhora Garcia</t>
        </is>
      </c>
      <c r="J1811" s="4" t="n">
        <v>45834.21111111111</v>
      </c>
      <c r="K1811" s="5" t="n">
        <v>45833.0</v>
      </c>
      <c r="L1811" s="5" t="inlineStr">
        <is>
          <t/>
        </is>
      </c>
      <c r="M1811" s="3" t="inlineStr">
        <is>
          <t>Approved</t>
        </is>
      </c>
      <c r="N1811" s="3" t="inlineStr">
        <is>
          <t/>
        </is>
      </c>
      <c r="O1811" s="3" t="inlineStr">
        <is>
          <t>42847922MDD3003</t>
        </is>
      </c>
    </row>
    <row r="1812">
      <c r="A1812" s="2" t="str">
        <f>HYPERLINK("https://vtmf.veevavault.com/ui/#doc_info/29469642/1/0", "NE - 42847922MDD3003---Other Meetings (v1.0)")</f>
        <v>NE - 42847922MDD3003---Other Meetings (v1.0)</v>
      </c>
      <c r="B1812" s="3" t="inlineStr">
        <is>
          <t>Non Essential</t>
        </is>
      </c>
      <c r="C1812" s="3" t="inlineStr">
        <is>
          <t>Meeting Activities and Related Documents</t>
        </is>
      </c>
      <c r="D1812" s="3" t="inlineStr">
        <is>
          <t>Other Meetings</t>
        </is>
      </c>
      <c r="E1812" s="3" t="inlineStr">
        <is>
          <t>42847922MDD3003_NCC_Start-Up_update_30June2025</t>
        </is>
      </c>
      <c r="F1812" s="2" t="str">
        <f>HYPERLINK("https://vtmf.veevavault.com/ui/#doc_info/29469642/1/0", "VTMF-23699863")</f>
        <v>VTMF-23699863</v>
      </c>
      <c r="G1812" s="3" t="inlineStr">
        <is>
          <t/>
        </is>
      </c>
      <c r="H1812" s="3" t="inlineStr">
        <is>
          <t>Debhora Garcia</t>
        </is>
      </c>
      <c r="I1812" s="3" t="inlineStr">
        <is>
          <t>Debhora Garcia</t>
        </is>
      </c>
      <c r="J1812" s="4" t="n">
        <v>45838.94248842593</v>
      </c>
      <c r="K1812" s="5" t="n">
        <v>45838.0</v>
      </c>
      <c r="L1812" s="5" t="inlineStr">
        <is>
          <t/>
        </is>
      </c>
      <c r="M1812" s="3" t="inlineStr">
        <is>
          <t>Approved</t>
        </is>
      </c>
      <c r="N1812" s="3" t="inlineStr">
        <is>
          <t/>
        </is>
      </c>
      <c r="O1812" s="3" t="inlineStr">
        <is>
          <t>42847922MDD3003</t>
        </is>
      </c>
    </row>
    <row r="1813">
      <c r="A1813" s="2" t="str">
        <f>HYPERLINK("https://vtmf.veevavault.com/ui/#doc_info/24251118/1/0", "NE - 42847922MDD3003---Reports and Status Documents (v1.0)")</f>
        <v>NE - 42847922MDD3003---Reports and Status Documents (v1.0)</v>
      </c>
      <c r="B1813" s="3" t="inlineStr">
        <is>
          <t>Non Essential</t>
        </is>
      </c>
      <c r="C1813" s="3" t="inlineStr">
        <is>
          <t>Reports and Status Documents</t>
        </is>
      </c>
      <c r="D1813" s="3" t="inlineStr">
        <is>
          <t/>
        </is>
      </c>
      <c r="E1813" s="3" t="inlineStr">
        <is>
          <t>DH_Early Assessment_42847922MDD3003</t>
        </is>
      </c>
      <c r="F1813" s="2" t="str">
        <f>HYPERLINK("https://vtmf.veevavault.com/ui/#doc_info/24251118/1/0", "VTMF-19250155")</f>
        <v>VTMF-19250155</v>
      </c>
      <c r="G1813" s="3" t="inlineStr">
        <is>
          <t/>
        </is>
      </c>
      <c r="H1813" s="3" t="inlineStr">
        <is>
          <t>System</t>
        </is>
      </c>
      <c r="I1813" s="3" t="inlineStr">
        <is>
          <t>Barry Brennan</t>
        </is>
      </c>
      <c r="J1813" s="4" t="n">
        <v>45090.63758101852</v>
      </c>
      <c r="K1813" s="5" t="n">
        <v>45090.0</v>
      </c>
      <c r="L1813" s="5" t="inlineStr">
        <is>
          <t/>
        </is>
      </c>
      <c r="M1813" s="3" t="inlineStr">
        <is>
          <t>Approved</t>
        </is>
      </c>
      <c r="N1813" s="3" t="inlineStr">
        <is>
          <t/>
        </is>
      </c>
      <c r="O1813" s="3" t="inlineStr">
        <is>
          <t>42847922MDD3003</t>
        </is>
      </c>
    </row>
    <row r="1814">
      <c r="A1814" s="2" t="str">
        <f>HYPERLINK("https://vtmf.veevavault.com/ui/#doc_info/31696060/1/0", "NE - 42847922MDD3003---Reports and Status Documents (v1.0)")</f>
        <v>NE - 42847922MDD3003---Reports and Status Documents (v1.0)</v>
      </c>
      <c r="B1814" s="3" t="inlineStr">
        <is>
          <t>Non Essential</t>
        </is>
      </c>
      <c r="C1814" s="3" t="inlineStr">
        <is>
          <t>Reports and Status Documents</t>
        </is>
      </c>
      <c r="D1814" s="3" t="inlineStr">
        <is>
          <t/>
        </is>
      </c>
      <c r="E1814" s="3" t="inlineStr">
        <is>
          <t>EDCStdRpt-InactivatedDatalist 25FEB2026</t>
        </is>
      </c>
      <c r="F1814" s="2" t="str">
        <f>HYPERLINK("https://vtmf.veevavault.com/ui/#doc_info/31696060/1/0", "VTMF-25578584")</f>
        <v>VTMF-25578584</v>
      </c>
      <c r="G1814" s="3" t="inlineStr">
        <is>
          <t/>
        </is>
      </c>
      <c r="H1814" s="3" t="inlineStr">
        <is>
          <t>System</t>
        </is>
      </c>
      <c r="I1814" s="3" t="inlineStr">
        <is>
          <t>Gina Stefanelli</t>
        </is>
      </c>
      <c r="J1814" s="4" t="n">
        <v>46161.60408564815</v>
      </c>
      <c r="K1814" s="5" t="n">
        <v>46161.0</v>
      </c>
      <c r="L1814" s="5" t="inlineStr">
        <is>
          <t/>
        </is>
      </c>
      <c r="M1814" s="3" t="inlineStr">
        <is>
          <t>Approved</t>
        </is>
      </c>
      <c r="N1814" s="3" t="inlineStr">
        <is>
          <t/>
        </is>
      </c>
      <c r="O1814" s="3" t="inlineStr">
        <is>
          <t>42847922MDD3003</t>
        </is>
      </c>
    </row>
    <row r="1815">
      <c r="A1815" s="2" t="str">
        <f>HYPERLINK("https://vtmf.veevavault.com/ui/#doc_info/31696062/1/0", "NE - 42847922MDD3003---Reports and Status Documents (v1.0)")</f>
        <v>NE - 42847922MDD3003---Reports and Status Documents (v1.0)</v>
      </c>
      <c r="B1815" s="3" t="inlineStr">
        <is>
          <t>Non Essential</t>
        </is>
      </c>
      <c r="C1815" s="3" t="inlineStr">
        <is>
          <t>Reports and Status Documents</t>
        </is>
      </c>
      <c r="D1815" s="3" t="inlineStr">
        <is>
          <t/>
        </is>
      </c>
      <c r="E1815" s="3" t="inlineStr">
        <is>
          <t>EDCStdRpt-InactivatedDatalist 8MAY2026</t>
        </is>
      </c>
      <c r="F1815" s="2" t="str">
        <f>HYPERLINK("https://vtmf.veevavault.com/ui/#doc_info/31696062/1/0", "VTMF-25578589")</f>
        <v>VTMF-25578589</v>
      </c>
      <c r="G1815" s="3" t="inlineStr">
        <is>
          <t/>
        </is>
      </c>
      <c r="H1815" s="3" t="inlineStr">
        <is>
          <t>System</t>
        </is>
      </c>
      <c r="I1815" s="3" t="inlineStr">
        <is>
          <t>Gina Stefanelli</t>
        </is>
      </c>
      <c r="J1815" s="4" t="n">
        <v>46161.60488425926</v>
      </c>
      <c r="K1815" s="5" t="n">
        <v>46161.0</v>
      </c>
      <c r="L1815" s="5" t="inlineStr">
        <is>
          <t/>
        </is>
      </c>
      <c r="M1815" s="3" t="inlineStr">
        <is>
          <t>Approved</t>
        </is>
      </c>
      <c r="N1815" s="3" t="inlineStr">
        <is>
          <t/>
        </is>
      </c>
      <c r="O1815" s="3" t="inlineStr">
        <is>
          <t>42847922MDD3003</t>
        </is>
      </c>
    </row>
    <row r="1816">
      <c r="A1816" s="2" t="str">
        <f>HYPERLINK("https://vtmf.veevavault.com/ui/#doc_info/25944193/1/0", "NE - 42847922MDD3003---Site Templates and Guidelines - Other (v1.0)")</f>
        <v>NE - 42847922MDD3003---Site Templates and Guidelines - Other (v1.0)</v>
      </c>
      <c r="B1816" s="3" t="inlineStr">
        <is>
          <t>Non Essential</t>
        </is>
      </c>
      <c r="C1816" s="3" t="inlineStr">
        <is>
          <t>Site Templates and Guidelines</t>
        </is>
      </c>
      <c r="D1816" s="3" t="inlineStr">
        <is>
          <t>Site Templates and Guidelines</t>
        </is>
      </c>
      <c r="E1816" s="3" t="inlineStr">
        <is>
          <t>42847922MDD3003_ Site Suitability template_final_global_18Mar24</t>
        </is>
      </c>
      <c r="F1816" s="2" t="str">
        <f>HYPERLINK("https://vtmf.veevavault.com/ui/#doc_info/25944193/1/0", "VTMF-20730494")</f>
        <v>VTMF-20730494</v>
      </c>
      <c r="G1816" s="3" t="inlineStr">
        <is>
          <t/>
        </is>
      </c>
      <c r="H1816" s="3" t="inlineStr">
        <is>
          <t>System</t>
        </is>
      </c>
      <c r="I1816" s="3" t="inlineStr">
        <is>
          <t>Jamie Hardy</t>
        </is>
      </c>
      <c r="J1816" s="4" t="n">
        <v>45369.60847222222</v>
      </c>
      <c r="K1816" s="5" t="n">
        <v>45369.0</v>
      </c>
      <c r="L1816" s="5" t="inlineStr">
        <is>
          <t/>
        </is>
      </c>
      <c r="M1816" s="3" t="inlineStr">
        <is>
          <t>Approved</t>
        </is>
      </c>
      <c r="N1816" s="3" t="inlineStr">
        <is>
          <t>Available for Distribution</t>
        </is>
      </c>
      <c r="O1816" s="3" t="inlineStr">
        <is>
          <t>42847922MDD3003</t>
        </is>
      </c>
    </row>
    <row r="1817">
      <c r="A1817" s="2" t="str">
        <f>HYPERLINK("https://vtmf.veevavault.com/ui/#doc_info/25944253/2/0", "NE - 42847922MDD3003---Site Templates and Guidelines - Other (v2.0)")</f>
        <v>NE - 42847922MDD3003---Site Templates and Guidelines - Other (v2.0)</v>
      </c>
      <c r="B1817" s="3" t="inlineStr">
        <is>
          <t>Non Essential</t>
        </is>
      </c>
      <c r="C1817" s="3" t="inlineStr">
        <is>
          <t>Site Templates and Guidelines</t>
        </is>
      </c>
      <c r="D1817" s="3" t="inlineStr">
        <is>
          <t>Site Templates and Guidelines</t>
        </is>
      </c>
      <c r="E1817" s="3" t="inlineStr">
        <is>
          <t>42847922MDD3003 _Recruitment and Informed consent procedure template_final_global_18Mar24</t>
        </is>
      </c>
      <c r="F1817" s="2" t="str">
        <f>HYPERLINK("https://vtmf.veevavault.com/ui/#doc_info/25944253/2/0", "VTMF-20730536")</f>
        <v>VTMF-20730536</v>
      </c>
      <c r="G1817" s="3" t="inlineStr">
        <is>
          <t/>
        </is>
      </c>
      <c r="H1817" s="3" t="inlineStr">
        <is>
          <t>Kristina Ruzinska</t>
        </is>
      </c>
      <c r="I1817" s="3" t="inlineStr">
        <is>
          <t>Kristina Ruzinska</t>
        </is>
      </c>
      <c r="J1817" s="4" t="n">
        <v>45736.59784722222</v>
      </c>
      <c r="K1817" s="5" t="n">
        <v>45736.0</v>
      </c>
      <c r="L1817" s="5" t="inlineStr">
        <is>
          <t/>
        </is>
      </c>
      <c r="M1817" s="3" t="inlineStr">
        <is>
          <t>Approved</t>
        </is>
      </c>
      <c r="N1817" s="3" t="inlineStr">
        <is>
          <t>Available for Distribution</t>
        </is>
      </c>
      <c r="O1817" s="3" t="inlineStr">
        <is>
          <t>42847922MDD3003</t>
        </is>
      </c>
    </row>
    <row r="1818">
      <c r="A1818" s="2" t="str">
        <f>HYPERLINK("https://vtmf.veevavault.com/ui/#doc_info/25946411/1/0", "NE - 42847922MDD3003---Site Templates and Guidelines - Other (v1.0)")</f>
        <v>NE - 42847922MDD3003---Site Templates and Guidelines - Other (v1.0)</v>
      </c>
      <c r="B1818" s="3" t="inlineStr">
        <is>
          <t>Non Essential</t>
        </is>
      </c>
      <c r="C1818" s="3" t="inlineStr">
        <is>
          <t>Site Templates and Guidelines</t>
        </is>
      </c>
      <c r="D1818" s="3" t="inlineStr">
        <is>
          <t>Site Templates and Guidelines</t>
        </is>
      </c>
      <c r="E1818" s="3" t="inlineStr">
        <is>
          <t>42847922MDD3003_IEC-IRB PLS standard introduction letter</t>
        </is>
      </c>
      <c r="F1818" s="2" t="str">
        <f>HYPERLINK("https://vtmf.veevavault.com/ui/#doc_info/25946411/1/0", "VTMF-20732519")</f>
        <v>VTMF-20732519</v>
      </c>
      <c r="G1818" s="3" t="inlineStr">
        <is>
          <t/>
        </is>
      </c>
      <c r="H1818" s="3" t="inlineStr">
        <is>
          <t>System</t>
        </is>
      </c>
      <c r="I1818" s="3" t="inlineStr">
        <is>
          <t>Jamie Hardy</t>
        </is>
      </c>
      <c r="J1818" s="4" t="n">
        <v>45369.779756944445</v>
      </c>
      <c r="K1818" s="5" t="n">
        <v>45369.0</v>
      </c>
      <c r="L1818" s="5" t="inlineStr">
        <is>
          <t/>
        </is>
      </c>
      <c r="M1818" s="3" t="inlineStr">
        <is>
          <t>Approved</t>
        </is>
      </c>
      <c r="N1818" s="3" t="inlineStr">
        <is>
          <t>Available for Distribution</t>
        </is>
      </c>
      <c r="O1818" s="3" t="inlineStr">
        <is>
          <t>42847922MDD3003</t>
        </is>
      </c>
    </row>
    <row r="1819">
      <c r="A1819" s="2" t="str">
        <f>HYPERLINK("https://vtmf.veevavault.com/ui/#doc_info/25946450/1/0", "NE - 42847922MDD3003---Site Templates and Guidelines - Other (v1.0)")</f>
        <v>NE - 42847922MDD3003---Site Templates and Guidelines - Other (v1.0)</v>
      </c>
      <c r="B1819" s="3" t="inlineStr">
        <is>
          <t>Non Essential</t>
        </is>
      </c>
      <c r="C1819" s="3" t="inlineStr">
        <is>
          <t>Site Templates and Guidelines</t>
        </is>
      </c>
      <c r="D1819" s="3" t="inlineStr">
        <is>
          <t>Site Templates and Guidelines</t>
        </is>
      </c>
      <c r="E1819" s="3" t="inlineStr">
        <is>
          <t>42847922MDD3003_Compensation for trial participant-template_global_final_18Mar24</t>
        </is>
      </c>
      <c r="F1819" s="2" t="str">
        <f>HYPERLINK("https://vtmf.veevavault.com/ui/#doc_info/25946450/1/0", "VTMF-20732555")</f>
        <v>VTMF-20732555</v>
      </c>
      <c r="G1819" s="3" t="inlineStr">
        <is>
          <t/>
        </is>
      </c>
      <c r="H1819" s="3" t="inlineStr">
        <is>
          <t>System</t>
        </is>
      </c>
      <c r="I1819" s="3" t="inlineStr">
        <is>
          <t>Jamie Hardy</t>
        </is>
      </c>
      <c r="J1819" s="4" t="n">
        <v>45369.784224537034</v>
      </c>
      <c r="K1819" s="5" t="n">
        <v>45369.0</v>
      </c>
      <c r="L1819" s="5" t="inlineStr">
        <is>
          <t/>
        </is>
      </c>
      <c r="M1819" s="3" t="inlineStr">
        <is>
          <t>Approved</t>
        </is>
      </c>
      <c r="N1819" s="3" t="inlineStr">
        <is>
          <t>Available for Distribution</t>
        </is>
      </c>
      <c r="O1819" s="3" t="inlineStr">
        <is>
          <t>42847922MDD3003</t>
        </is>
      </c>
    </row>
    <row r="1820">
      <c r="A1820" s="2" t="str">
        <f>HYPERLINK("https://vtmf.veevavault.com/ui/#doc_info/25966060/1/0", "NE - 42847922MDD3003---Site Templates and Guidelines - Other (v1.0)")</f>
        <v>NE - 42847922MDD3003---Site Templates and Guidelines - Other (v1.0)</v>
      </c>
      <c r="B1820" s="3" t="inlineStr">
        <is>
          <t>Non Essential</t>
        </is>
      </c>
      <c r="C1820" s="3" t="inlineStr">
        <is>
          <t>Site Templates and Guidelines</t>
        </is>
      </c>
      <c r="D1820" s="3" t="inlineStr">
        <is>
          <t>Site Templates and Guidelines</t>
        </is>
      </c>
      <c r="E1820" s="3" t="inlineStr">
        <is>
          <t>Investigator's Brochure_en_JNJ-42847922_2023_ed12_EDMS-ERI-17059909_15.0</t>
        </is>
      </c>
      <c r="F1820" s="2" t="str">
        <f>HYPERLINK("https://vtmf.veevavault.com/ui/#doc_info/25966060/1/0", "VTMF-20749625")</f>
        <v>VTMF-20749625</v>
      </c>
      <c r="G1820" s="3" t="inlineStr">
        <is>
          <t/>
        </is>
      </c>
      <c r="H1820" s="3" t="inlineStr">
        <is>
          <t>System</t>
        </is>
      </c>
      <c r="I1820" s="3" t="inlineStr">
        <is>
          <t>Jamie Hardy</t>
        </is>
      </c>
      <c r="J1820" s="4" t="n">
        <v>45371.88211805555</v>
      </c>
      <c r="K1820" s="5" t="n">
        <v>45371.0</v>
      </c>
      <c r="L1820" s="5" t="inlineStr">
        <is>
          <t/>
        </is>
      </c>
      <c r="M1820" s="3" t="inlineStr">
        <is>
          <t>Approved</t>
        </is>
      </c>
      <c r="N1820" s="3" t="inlineStr">
        <is>
          <t>Available for Distribution</t>
        </is>
      </c>
      <c r="O1820" s="3" t="inlineStr">
        <is>
          <t>42847922MDD3003</t>
        </is>
      </c>
    </row>
    <row r="1821">
      <c r="A1821" s="2" t="str">
        <f>HYPERLINK("https://vtmf.veevavault.com/ui/#doc_info/25992144/1/0", "NE - 42847922MDD3003---Site Templates and Guidelines - Other (v1.0)")</f>
        <v>NE - 42847922MDD3003---Site Templates and Guidelines - Other (v1.0)</v>
      </c>
      <c r="B1821" s="3" t="inlineStr">
        <is>
          <t>Non Essential</t>
        </is>
      </c>
      <c r="C1821" s="3" t="inlineStr">
        <is>
          <t>Site Templates and Guidelines</t>
        </is>
      </c>
      <c r="D1821" s="3" t="inlineStr">
        <is>
          <t>Site Templates and Guidelines</t>
        </is>
      </c>
      <c r="E1821" s="3" t="inlineStr">
        <is>
          <t>42847922MDD3003_Compliance use biological samples _final_global_25Mar24</t>
        </is>
      </c>
      <c r="F1821" s="2" t="str">
        <f>HYPERLINK("https://vtmf.veevavault.com/ui/#doc_info/25992144/1/0", "VTMF-20772786")</f>
        <v>VTMF-20772786</v>
      </c>
      <c r="G1821" s="3" t="inlineStr">
        <is>
          <t/>
        </is>
      </c>
      <c r="H1821" s="3" t="inlineStr">
        <is>
          <t>System</t>
        </is>
      </c>
      <c r="I1821" s="3" t="inlineStr">
        <is>
          <t>Jamie Hardy</t>
        </is>
      </c>
      <c r="J1821" s="4" t="n">
        <v>45376.569074074076</v>
      </c>
      <c r="K1821" s="5" t="n">
        <v>45376.0</v>
      </c>
      <c r="L1821" s="5" t="inlineStr">
        <is>
          <t/>
        </is>
      </c>
      <c r="M1821" s="3" t="inlineStr">
        <is>
          <t>Approved</t>
        </is>
      </c>
      <c r="N1821" s="3" t="inlineStr">
        <is>
          <t>Available for Distribution</t>
        </is>
      </c>
      <c r="O1821" s="3" t="inlineStr">
        <is>
          <t>42847922MDD3003</t>
        </is>
      </c>
    </row>
    <row r="1822">
      <c r="A1822" s="2" t="str">
        <f>HYPERLINK("https://vtmf.veevavault.com/ui/#doc_info/26544607/138/0", "NE - 42847922MDD3003---Trackers (v138.0)")</f>
        <v>NE - 42847922MDD3003---Trackers (v138.0)</v>
      </c>
      <c r="B1822" s="3" t="inlineStr">
        <is>
          <t>Non Essential</t>
        </is>
      </c>
      <c r="C1822" s="3" t="inlineStr">
        <is>
          <t>Trackers</t>
        </is>
      </c>
      <c r="D1822" s="3" t="inlineStr">
        <is>
          <t/>
        </is>
      </c>
      <c r="E1822" s="3" t="inlineStr">
        <is>
          <t>Cronos_Rater training status report_10 June 2026</t>
        </is>
      </c>
      <c r="F1822" s="2" t="str">
        <f>HYPERLINK("https://vtmf.veevavault.com/ui/#doc_info/26544607/138/0", "VTMF-21257273")</f>
        <v>VTMF-21257273</v>
      </c>
      <c r="G1822" s="3" t="inlineStr">
        <is>
          <t/>
        </is>
      </c>
      <c r="H1822" s="3" t="inlineStr">
        <is>
          <t>System</t>
        </is>
      </c>
      <c r="I1822" s="3" t="inlineStr">
        <is>
          <t>Aurora Barbera</t>
        </is>
      </c>
      <c r="J1822" s="4" t="n">
        <v>46183.73640046296</v>
      </c>
      <c r="K1822" s="5" t="n">
        <v>46183.0</v>
      </c>
      <c r="L1822" s="5" t="inlineStr">
        <is>
          <t/>
        </is>
      </c>
      <c r="M1822" s="3" t="inlineStr">
        <is>
          <t>Approved</t>
        </is>
      </c>
      <c r="N1822" s="3" t="inlineStr">
        <is>
          <t/>
        </is>
      </c>
      <c r="O1822" s="3" t="inlineStr">
        <is>
          <t>42847922MDD3003</t>
        </is>
      </c>
    </row>
    <row r="1823">
      <c r="A1823" s="2" t="str">
        <f>HYPERLINK("https://vtmf.veevavault.com/ui/#doc_info/26560959/97/0", "NE - 42847922MDD3003---Trackers (v97.0)")</f>
        <v>NE - 42847922MDD3003---Trackers (v97.0)</v>
      </c>
      <c r="B1823" s="3" t="inlineStr">
        <is>
          <t>Non Essential</t>
        </is>
      </c>
      <c r="C1823" s="3" t="inlineStr">
        <is>
          <t>Trackers</t>
        </is>
      </c>
      <c r="D1823" s="3" t="inlineStr">
        <is>
          <t/>
        </is>
      </c>
      <c r="E1823" s="3" t="inlineStr">
        <is>
          <t>Cronos Inventory report 26 May 2026</t>
        </is>
      </c>
      <c r="F1823" s="2" t="str">
        <f>HYPERLINK("https://vtmf.veevavault.com/ui/#doc_info/26560959/97/0", "VTMF-21271486")</f>
        <v>VTMF-21271486</v>
      </c>
      <c r="G1823" s="3" t="inlineStr">
        <is>
          <t/>
        </is>
      </c>
      <c r="H1823" s="3" t="inlineStr">
        <is>
          <t>System</t>
        </is>
      </c>
      <c r="I1823" s="3" t="inlineStr">
        <is>
          <t>Aurora Barbera</t>
        </is>
      </c>
      <c r="J1823" s="4" t="n">
        <v>46169.37283564815</v>
      </c>
      <c r="K1823" s="5" t="n">
        <v>46169.0</v>
      </c>
      <c r="L1823" s="5" t="inlineStr">
        <is>
          <t/>
        </is>
      </c>
      <c r="M1823" s="3" t="inlineStr">
        <is>
          <t>Approved</t>
        </is>
      </c>
      <c r="N1823" s="3" t="inlineStr">
        <is>
          <t/>
        </is>
      </c>
      <c r="O1823" s="3" t="inlineStr">
        <is>
          <t>42847922MDD3003</t>
        </is>
      </c>
    </row>
    <row r="1824">
      <c r="A1824" s="2" t="str">
        <f>HYPERLINK("https://vtmf.veevavault.com/ui/#doc_info/26722868/195/0", "NE - 42847922MDD3003---Trackers (v195.0)")</f>
        <v>NE - 42847922MDD3003---Trackers (v195.0)</v>
      </c>
      <c r="B1824" s="3" t="inlineStr">
        <is>
          <t>Non Essential</t>
        </is>
      </c>
      <c r="C1824" s="3" t="inlineStr">
        <is>
          <t>Trackers</t>
        </is>
      </c>
      <c r="D1824" s="3" t="inlineStr">
        <is>
          <t/>
        </is>
      </c>
      <c r="E1824" s="3" t="inlineStr">
        <is>
          <t>CRONOS_CIRP _User tracker_15 June 2026</t>
        </is>
      </c>
      <c r="F1824" s="2" t="str">
        <f>HYPERLINK("https://vtmf.veevavault.com/ui/#doc_info/26722868/195/0", "VTMF-21412732")</f>
        <v>VTMF-21412732</v>
      </c>
      <c r="G1824" s="3" t="inlineStr">
        <is>
          <t/>
        </is>
      </c>
      <c r="H1824" s="3" t="inlineStr">
        <is>
          <t>System</t>
        </is>
      </c>
      <c r="I1824" s="3" t="inlineStr">
        <is>
          <t>Aurora Barbera</t>
        </is>
      </c>
      <c r="J1824" s="4" t="n">
        <v>46188.74439814815</v>
      </c>
      <c r="K1824" s="5" t="n">
        <v>46188.0</v>
      </c>
      <c r="L1824" s="5" t="inlineStr">
        <is>
          <t/>
        </is>
      </c>
      <c r="M1824" s="3" t="inlineStr">
        <is>
          <t>Approved</t>
        </is>
      </c>
      <c r="N1824" s="3" t="inlineStr">
        <is>
          <t/>
        </is>
      </c>
      <c r="O1824" s="3" t="inlineStr">
        <is>
          <t>42847922MDD3003</t>
        </is>
      </c>
    </row>
    <row r="1825">
      <c r="A1825" s="2" t="str">
        <f>HYPERLINK("https://vtmf.veevavault.com/ui/#doc_info/27408367/1/0", "NE - 42847922MDD3003---Trackers (v1.0)")</f>
        <v>NE - 42847922MDD3003---Trackers (v1.0)</v>
      </c>
      <c r="B1825" s="3" t="inlineStr">
        <is>
          <t>Non Essential</t>
        </is>
      </c>
      <c r="C1825" s="3" t="inlineStr">
        <is>
          <t>Trackers</t>
        </is>
      </c>
      <c r="D1825" s="3" t="inlineStr">
        <is>
          <t/>
        </is>
      </c>
      <c r="E1825" s="3" t="inlineStr">
        <is>
          <t>Site Selection Decision Framework_TA recommendation_version 01Nov2024</t>
        </is>
      </c>
      <c r="F1825" s="2" t="str">
        <f>HYPERLINK("https://vtmf.veevavault.com/ui/#doc_info/27408367/1/0", "VTMF-21985850")</f>
        <v>VTMF-21985850</v>
      </c>
      <c r="G1825" s="3" t="inlineStr">
        <is>
          <t/>
        </is>
      </c>
      <c r="H1825" s="3" t="inlineStr">
        <is>
          <t>Gina Stefanelli</t>
        </is>
      </c>
      <c r="I1825" s="3" t="inlineStr">
        <is>
          <t>Gina Stefanelli</t>
        </is>
      </c>
      <c r="J1825" s="4" t="n">
        <v>45600.795023148145</v>
      </c>
      <c r="K1825" s="5" t="n">
        <v>45600.0</v>
      </c>
      <c r="L1825" s="5" t="inlineStr">
        <is>
          <t/>
        </is>
      </c>
      <c r="M1825" s="3" t="inlineStr">
        <is>
          <t>Approved</t>
        </is>
      </c>
      <c r="N1825" s="3" t="inlineStr">
        <is>
          <t/>
        </is>
      </c>
      <c r="O1825" s="3" t="inlineStr">
        <is>
          <t>42847922MDD3003</t>
        </is>
      </c>
    </row>
    <row r="1826">
      <c r="A1826" s="2" t="str">
        <f>HYPERLINK("https://vtmf.veevavault.com/ui/#doc_info/27408385/1/0", "NE - 42847922MDD3003---Trackers (v1.0)")</f>
        <v>NE - 42847922MDD3003---Trackers (v1.0)</v>
      </c>
      <c r="B1826" s="3" t="inlineStr">
        <is>
          <t>Non Essential</t>
        </is>
      </c>
      <c r="C1826" s="3" t="inlineStr">
        <is>
          <t>Trackers</t>
        </is>
      </c>
      <c r="D1826" s="3" t="inlineStr">
        <is>
          <t/>
        </is>
      </c>
      <c r="E1826" s="3" t="inlineStr">
        <is>
          <t>MDD site overlap - actual selections to date_version 01Nov2024.</t>
        </is>
      </c>
      <c r="F1826" s="2" t="str">
        <f>HYPERLINK("https://vtmf.veevavault.com/ui/#doc_info/27408385/1/0", "VTMF-21985872")</f>
        <v>VTMF-21985872</v>
      </c>
      <c r="G1826" s="3" t="inlineStr">
        <is>
          <t/>
        </is>
      </c>
      <c r="H1826" s="3" t="inlineStr">
        <is>
          <t>Gina Stefanelli</t>
        </is>
      </c>
      <c r="I1826" s="3" t="inlineStr">
        <is>
          <t>Gina Stefanelli</t>
        </is>
      </c>
      <c r="J1826" s="4" t="n">
        <v>45600.798680555556</v>
      </c>
      <c r="K1826" s="5" t="n">
        <v>45600.0</v>
      </c>
      <c r="L1826" s="5" t="inlineStr">
        <is>
          <t/>
        </is>
      </c>
      <c r="M1826" s="3" t="inlineStr">
        <is>
          <t>Approved</t>
        </is>
      </c>
      <c r="N1826" s="3" t="inlineStr">
        <is>
          <t/>
        </is>
      </c>
      <c r="O1826" s="3" t="inlineStr">
        <is>
          <t>42847922MDD3003</t>
        </is>
      </c>
    </row>
    <row r="1827">
      <c r="A1827" s="2" t="str">
        <f>HYPERLINK("https://vtmf.veevavault.com/ui/#doc_info/27408723/1/0", "NE - 42847922MDD3003---Trackers (v1.0)")</f>
        <v>NE - 42847922MDD3003---Trackers (v1.0)</v>
      </c>
      <c r="B1827" s="3" t="inlineStr">
        <is>
          <t>Non Essential</t>
        </is>
      </c>
      <c r="C1827" s="3" t="inlineStr">
        <is>
          <t>Trackers</t>
        </is>
      </c>
      <c r="D1827" s="3" t="inlineStr">
        <is>
          <t/>
        </is>
      </c>
      <c r="E1827" s="3" t="inlineStr">
        <is>
          <t>MDD3003_Illuminator Export_15Jul2024</t>
        </is>
      </c>
      <c r="F1827" s="2" t="str">
        <f>HYPERLINK("https://vtmf.veevavault.com/ui/#doc_info/27408723/1/0", "VTMF-21986010")</f>
        <v>VTMF-21986010</v>
      </c>
      <c r="G1827" s="3" t="inlineStr">
        <is>
          <t/>
        </is>
      </c>
      <c r="H1827" s="3" t="inlineStr">
        <is>
          <t>Gina Stefanelli</t>
        </is>
      </c>
      <c r="I1827" s="3" t="inlineStr">
        <is>
          <t>Gina Stefanelli</t>
        </is>
      </c>
      <c r="J1827" s="4" t="n">
        <v>45600.80136574074</v>
      </c>
      <c r="K1827" s="5" t="n">
        <v>45600.0</v>
      </c>
      <c r="L1827" s="5" t="inlineStr">
        <is>
          <t/>
        </is>
      </c>
      <c r="M1827" s="3" t="inlineStr">
        <is>
          <t>Approved</t>
        </is>
      </c>
      <c r="N1827" s="3" t="inlineStr">
        <is>
          <t/>
        </is>
      </c>
      <c r="O1827" s="3" t="inlineStr">
        <is>
          <t>42847922MDD3003</t>
        </is>
      </c>
    </row>
    <row r="1828">
      <c r="A1828" s="2" t="str">
        <f>HYPERLINK("https://vtmf.veevavault.com/ui/#doc_info/27408725/1/0", "NE - 42847922MDD3003---Trackers (v1.0)")</f>
        <v>NE - 42847922MDD3003---Trackers (v1.0)</v>
      </c>
      <c r="B1828" s="3" t="inlineStr">
        <is>
          <t>Non Essential</t>
        </is>
      </c>
      <c r="C1828" s="3" t="inlineStr">
        <is>
          <t>Trackers</t>
        </is>
      </c>
      <c r="D1828" s="3" t="inlineStr">
        <is>
          <t/>
        </is>
      </c>
      <c r="E1828" s="3" t="inlineStr">
        <is>
          <t>Site Selection Decision Framework_local version 01Nov2024</t>
        </is>
      </c>
      <c r="F1828" s="2" t="str">
        <f>HYPERLINK("https://vtmf.veevavault.com/ui/#doc_info/27408725/1/0", "VTMF-21986015")</f>
        <v>VTMF-21986015</v>
      </c>
      <c r="G1828" s="3" t="inlineStr">
        <is>
          <t/>
        </is>
      </c>
      <c r="H1828" s="3" t="inlineStr">
        <is>
          <t>System</t>
        </is>
      </c>
      <c r="I1828" s="3" t="inlineStr">
        <is>
          <t>Gina Stefanelli</t>
        </is>
      </c>
      <c r="J1828" s="4" t="n">
        <v>45600.80233796296</v>
      </c>
      <c r="K1828" s="5" t="n">
        <v>45600.0</v>
      </c>
      <c r="L1828" s="5" t="inlineStr">
        <is>
          <t/>
        </is>
      </c>
      <c r="M1828" s="3" t="inlineStr">
        <is>
          <t>Approved</t>
        </is>
      </c>
      <c r="N1828" s="3" t="inlineStr">
        <is>
          <t/>
        </is>
      </c>
      <c r="O1828" s="3" t="inlineStr">
        <is>
          <t>42847922MDD3003</t>
        </is>
      </c>
    </row>
    <row r="1829">
      <c r="A1829" s="2" t="str">
        <f>HYPERLINK("https://vtmf.veevavault.com/ui/#doc_info/27470785/74/0", "NE - 42847922MDD3003---Trackers (v74.0)")</f>
        <v>NE - 42847922MDD3003---Trackers (v74.0)</v>
      </c>
      <c r="B1829" s="3" t="inlineStr">
        <is>
          <t>Non Essential</t>
        </is>
      </c>
      <c r="C1829" s="3" t="inlineStr">
        <is>
          <t>Trackers</t>
        </is>
      </c>
      <c r="D1829" s="3" t="inlineStr">
        <is>
          <t/>
        </is>
      </c>
      <c r="E1829" s="3" t="inlineStr">
        <is>
          <t>CIRP AC VS Scheduling Report 15 June 2026</t>
        </is>
      </c>
      <c r="F1829" s="2" t="str">
        <f>HYPERLINK("https://vtmf.veevavault.com/ui/#doc_info/27470785/74/0", "VTMF-22031900")</f>
        <v>VTMF-22031900</v>
      </c>
      <c r="G1829" s="3" t="inlineStr">
        <is>
          <t/>
        </is>
      </c>
      <c r="H1829" s="3" t="inlineStr">
        <is>
          <t>System</t>
        </is>
      </c>
      <c r="I1829" s="3" t="inlineStr">
        <is>
          <t>Aurora Barbera</t>
        </is>
      </c>
      <c r="J1829" s="4" t="n">
        <v>46189.563368055555</v>
      </c>
      <c r="K1829" s="5" t="n">
        <v>46189.0</v>
      </c>
      <c r="L1829" s="5" t="inlineStr">
        <is>
          <t/>
        </is>
      </c>
      <c r="M1829" s="3" t="inlineStr">
        <is>
          <t>Approved</t>
        </is>
      </c>
      <c r="N1829" s="3" t="inlineStr">
        <is>
          <t/>
        </is>
      </c>
      <c r="O1829" s="3" t="inlineStr">
        <is>
          <t>42847922MDD3003</t>
        </is>
      </c>
    </row>
    <row r="1830">
      <c r="A1830" s="2" t="str">
        <f>HYPERLINK("https://vtmf.veevavault.com/ui/#doc_info/27828615/64/0", "NE - 42847922MDD3003---Trackers (v64.0)")</f>
        <v>NE - 42847922MDD3003---Trackers (v64.0)</v>
      </c>
      <c r="B1830" s="3" t="inlineStr">
        <is>
          <t>Non Essential</t>
        </is>
      </c>
      <c r="C1830" s="3" t="inlineStr">
        <is>
          <t>Trackers</t>
        </is>
      </c>
      <c r="D1830" s="3" t="inlineStr">
        <is>
          <t/>
        </is>
      </c>
      <c r="E1830" s="3" t="inlineStr">
        <is>
          <t>CRONOS CIRP Recording Report 15 June 2026</t>
        </is>
      </c>
      <c r="F1830" s="2" t="str">
        <f>HYPERLINK("https://vtmf.veevavault.com/ui/#doc_info/27828615/64/0", "VTMF-22314005")</f>
        <v>VTMF-22314005</v>
      </c>
      <c r="G1830" s="3" t="inlineStr">
        <is>
          <t/>
        </is>
      </c>
      <c r="H1830" s="3" t="inlineStr">
        <is>
          <t>System</t>
        </is>
      </c>
      <c r="I1830" s="3" t="inlineStr">
        <is>
          <t>Aurora Barbera</t>
        </is>
      </c>
      <c r="J1830" s="4" t="n">
        <v>46188.596550925926</v>
      </c>
      <c r="K1830" s="5" t="n">
        <v>46188.0</v>
      </c>
      <c r="L1830" s="5" t="inlineStr">
        <is>
          <t/>
        </is>
      </c>
      <c r="M1830" s="3" t="inlineStr">
        <is>
          <t>Approved</t>
        </is>
      </c>
      <c r="N1830" s="3" t="inlineStr">
        <is>
          <t/>
        </is>
      </c>
      <c r="O1830" s="3" t="inlineStr">
        <is>
          <t>42847922MDD3003</t>
        </is>
      </c>
    </row>
    <row r="1831">
      <c r="A1831" s="2" t="str">
        <f>HYPERLINK("https://vtmf.veevavault.com/ui/#doc_info/27915678/16/0", "NE - 42847922MDD3003---Trackers (v16.0)")</f>
        <v>NE - 42847922MDD3003---Trackers (v16.0)</v>
      </c>
      <c r="B1831" s="3" t="inlineStr">
        <is>
          <t>Non Essential</t>
        </is>
      </c>
      <c r="C1831" s="3" t="inlineStr">
        <is>
          <t>Trackers</t>
        </is>
      </c>
      <c r="D1831" s="3" t="inlineStr">
        <is>
          <t/>
        </is>
      </c>
      <c r="E1831" s="3" t="inlineStr">
        <is>
          <t>Imperial Shipment tracking report</t>
        </is>
      </c>
      <c r="F1831" s="2" t="str">
        <f>HYPERLINK("https://vtmf.veevavault.com/ui/#doc_info/27915678/16/0", "VTMF-22381799")</f>
        <v>VTMF-22381799</v>
      </c>
      <c r="G1831" s="3" t="inlineStr">
        <is>
          <t/>
        </is>
      </c>
      <c r="H1831" s="3" t="inlineStr">
        <is>
          <t>Kristina Ruzinska</t>
        </is>
      </c>
      <c r="I1831" s="3" t="inlineStr">
        <is>
          <t>Kristina Ruzinska</t>
        </is>
      </c>
      <c r="J1831" s="4" t="n">
        <v>46106.75577546296</v>
      </c>
      <c r="K1831" s="5" t="n">
        <v>46106.0</v>
      </c>
      <c r="L1831" s="5" t="inlineStr">
        <is>
          <t/>
        </is>
      </c>
      <c r="M1831" s="3" t="inlineStr">
        <is>
          <t>Approved</t>
        </is>
      </c>
      <c r="N1831" s="3" t="inlineStr">
        <is>
          <t/>
        </is>
      </c>
      <c r="O1831" s="3" t="inlineStr">
        <is>
          <t>42847922MDD3003</t>
        </is>
      </c>
    </row>
    <row r="1832">
      <c r="A1832" s="2" t="str">
        <f>HYPERLINK("https://vtmf.veevavault.com/ui/#doc_info/28193150/14/0", "NE - 42847922MDD3003---Trackers (v14.0)")</f>
        <v>NE - 42847922MDD3003---Trackers (v14.0)</v>
      </c>
      <c r="B1832" s="3" t="inlineStr">
        <is>
          <t>Non Essential</t>
        </is>
      </c>
      <c r="C1832" s="3" t="inlineStr">
        <is>
          <t>Trackers</t>
        </is>
      </c>
      <c r="D1832" s="3" t="inlineStr">
        <is>
          <t/>
        </is>
      </c>
      <c r="E1832" s="3" t="inlineStr">
        <is>
          <t>MDD3003_Imperial_diary shipment report</t>
        </is>
      </c>
      <c r="F1832" s="2" t="str">
        <f>HYPERLINK("https://vtmf.veevavault.com/ui/#doc_info/28193150/14/0", "VTMF-22610463")</f>
        <v>VTMF-22610463</v>
      </c>
      <c r="G1832" s="3" t="inlineStr">
        <is>
          <t/>
        </is>
      </c>
      <c r="H1832" s="3" t="inlineStr">
        <is>
          <t>System</t>
        </is>
      </c>
      <c r="I1832" s="3" t="inlineStr">
        <is>
          <t>Kristina Ruzinska</t>
        </is>
      </c>
      <c r="J1832" s="4" t="n">
        <v>45910.61409722222</v>
      </c>
      <c r="K1832" s="5" t="n">
        <v>45910.0</v>
      </c>
      <c r="L1832" s="5" t="inlineStr">
        <is>
          <t/>
        </is>
      </c>
      <c r="M1832" s="3" t="inlineStr">
        <is>
          <t>Approved</t>
        </is>
      </c>
      <c r="N1832" s="3" t="inlineStr">
        <is>
          <t/>
        </is>
      </c>
      <c r="O1832" s="3" t="inlineStr">
        <is>
          <t>42847922MDD3003</t>
        </is>
      </c>
    </row>
    <row r="1833">
      <c r="A1833" s="2" t="str">
        <f>HYPERLINK("https://vtmf.veevavault.com/ui/#doc_info/28273215/9/0", "NE - 42847922MDD3003---Trackers (v9.0)")</f>
        <v>NE - 42847922MDD3003---Trackers (v9.0)</v>
      </c>
      <c r="B1833" s="3" t="inlineStr">
        <is>
          <t>Non Essential</t>
        </is>
      </c>
      <c r="C1833" s="3" t="inlineStr">
        <is>
          <t>Trackers</t>
        </is>
      </c>
      <c r="D1833" s="3" t="inlineStr">
        <is>
          <t/>
        </is>
      </c>
      <c r="E1833" s="3" t="inlineStr">
        <is>
          <t>4G_IRT_DCR tracker</t>
        </is>
      </c>
      <c r="F1833" s="2" t="str">
        <f>HYPERLINK("https://vtmf.veevavault.com/ui/#doc_info/28273215/9/0", "VTMF-22679415")</f>
        <v>VTMF-22679415</v>
      </c>
      <c r="G1833" s="3" t="inlineStr">
        <is>
          <t/>
        </is>
      </c>
      <c r="H1833" s="3" t="inlineStr">
        <is>
          <t>System</t>
        </is>
      </c>
      <c r="I1833" s="3" t="inlineStr">
        <is>
          <t>Kristina Ruzinska</t>
        </is>
      </c>
      <c r="J1833" s="4" t="n">
        <v>45824.47790509259</v>
      </c>
      <c r="K1833" s="5" t="n">
        <v>45824.0</v>
      </c>
      <c r="L1833" s="5" t="inlineStr">
        <is>
          <t/>
        </is>
      </c>
      <c r="M1833" s="3" t="inlineStr">
        <is>
          <t>Approved</t>
        </is>
      </c>
      <c r="N1833" s="3" t="inlineStr">
        <is>
          <t/>
        </is>
      </c>
      <c r="O1833" s="3" t="inlineStr">
        <is>
          <t>42847922MDD3003</t>
        </is>
      </c>
    </row>
    <row r="1834">
      <c r="A1834" s="2" t="str">
        <f>HYPERLINK("https://vtmf.veevavault.com/ui/#doc_info/29978653/1/0", "NE - 42847922MDD3003---Trackers (v1.0)")</f>
        <v>NE - 42847922MDD3003---Trackers (v1.0)</v>
      </c>
      <c r="B1834" s="3" t="inlineStr">
        <is>
          <t>Non Essential</t>
        </is>
      </c>
      <c r="C1834" s="3" t="inlineStr">
        <is>
          <t>Trackers</t>
        </is>
      </c>
      <c r="D1834" s="3" t="inlineStr">
        <is>
          <t/>
        </is>
      </c>
      <c r="E1834" s="3" t="inlineStr">
        <is>
          <t>Data Monitoring Reports_15Sep25</t>
        </is>
      </c>
      <c r="F1834" s="2" t="str">
        <f>HYPERLINK("https://vtmf.veevavault.com/ui/#doc_info/29978653/1/0", "VTMF-24134910")</f>
        <v>VTMF-24134910</v>
      </c>
      <c r="G1834" s="3" t="inlineStr">
        <is>
          <t/>
        </is>
      </c>
      <c r="H1834" s="3" t="inlineStr">
        <is>
          <t>Gina Stefanelli</t>
        </is>
      </c>
      <c r="I1834" s="3" t="inlineStr">
        <is>
          <t>Gina Stefanelli</t>
        </is>
      </c>
      <c r="J1834" s="4" t="n">
        <v>45918.68085648148</v>
      </c>
      <c r="K1834" s="5" t="n">
        <v>45918.0</v>
      </c>
      <c r="L1834" s="5" t="inlineStr">
        <is>
          <t/>
        </is>
      </c>
      <c r="M1834" s="3" t="inlineStr">
        <is>
          <t>Approved</t>
        </is>
      </c>
      <c r="N1834" s="3" t="inlineStr">
        <is>
          <t/>
        </is>
      </c>
      <c r="O1834" s="3" t="inlineStr">
        <is>
          <t>42847922MDD3003</t>
        </is>
      </c>
    </row>
    <row r="1835">
      <c r="A1835" s="2" t="str">
        <f>HYPERLINK("https://vtmf.veevavault.com/ui/#doc_info/29731093/1/0", "NE - 42847922MDD3003---Trial Conduct-General Documentation (v1.0)")</f>
        <v>NE - 42847922MDD3003---Trial Conduct-General Documentation (v1.0)</v>
      </c>
      <c r="B1835" s="3" t="inlineStr">
        <is>
          <t>Non Essential</t>
        </is>
      </c>
      <c r="C1835" s="3" t="inlineStr">
        <is>
          <t>Data Management</t>
        </is>
      </c>
      <c r="D1835" s="3" t="inlineStr">
        <is>
          <t>Trial Conduct</t>
        </is>
      </c>
      <c r="E1835" s="3" t="inlineStr">
        <is>
          <t>Medical Review Data4You EDC Communication</t>
        </is>
      </c>
      <c r="F1835" s="2" t="str">
        <f>HYPERLINK("https://vtmf.veevavault.com/ui/#doc_info/29731093/1/0", "VTMF-23922699")</f>
        <v>VTMF-23922699</v>
      </c>
      <c r="G1835" s="3" t="inlineStr">
        <is>
          <t/>
        </is>
      </c>
      <c r="H1835" s="3" t="inlineStr">
        <is>
          <t>Amrita Trueblood</t>
        </is>
      </c>
      <c r="I1835" s="3" t="inlineStr">
        <is>
          <t>Amrita Trueblood</t>
        </is>
      </c>
      <c r="J1835" s="4" t="n">
        <v>45877.7052662037</v>
      </c>
      <c r="K1835" s="5" t="n">
        <v>45877.0</v>
      </c>
      <c r="L1835" s="5" t="n">
        <v>45877.0</v>
      </c>
      <c r="M1835" s="3" t="inlineStr">
        <is>
          <t>Approved</t>
        </is>
      </c>
      <c r="N1835" s="3" t="inlineStr">
        <is>
          <t/>
        </is>
      </c>
      <c r="O1835" s="3" t="inlineStr">
        <is>
          <t>42847922MDD3003</t>
        </is>
      </c>
    </row>
    <row r="1836">
      <c r="A1836" s="2" t="str">
        <f>HYPERLINK("https://vtmf.veevavault.com/ui/#doc_info/31527323/1/0", "NE - 42847922MDD3003---Trial Conduct-General Documentation (v1.0)")</f>
        <v>NE - 42847922MDD3003---Trial Conduct-General Documentation (v1.0)</v>
      </c>
      <c r="B1836" s="3" t="inlineStr">
        <is>
          <t>Non Essential</t>
        </is>
      </c>
      <c r="C1836" s="3" t="inlineStr">
        <is>
          <t>Data Management</t>
        </is>
      </c>
      <c r="D1836" s="3" t="inlineStr">
        <is>
          <t>Trial Conduct</t>
        </is>
      </c>
      <c r="E1836" s="3" t="inlineStr">
        <is>
          <t>GDM Transition Plan_42847922MDD3003_24Apr26</t>
        </is>
      </c>
      <c r="F1836" s="2" t="str">
        <f>HYPERLINK("https://vtmf.veevavault.com/ui/#doc_info/31527323/1/0", "VTMF-25441499")</f>
        <v>VTMF-25441499</v>
      </c>
      <c r="G1836" s="3" t="inlineStr">
        <is>
          <t/>
        </is>
      </c>
      <c r="H1836" s="3" t="inlineStr">
        <is>
          <t>System</t>
        </is>
      </c>
      <c r="I1836" s="3" t="inlineStr">
        <is>
          <t>Amrita Trueblood</t>
        </is>
      </c>
      <c r="J1836" s="4" t="n">
        <v>46136.758356481485</v>
      </c>
      <c r="K1836" s="5" t="n">
        <v>46141.0</v>
      </c>
      <c r="L1836" s="5" t="n">
        <v>46136.0</v>
      </c>
      <c r="M1836" s="3" t="inlineStr">
        <is>
          <t>Approved</t>
        </is>
      </c>
      <c r="N1836" s="3" t="inlineStr">
        <is>
          <t/>
        </is>
      </c>
      <c r="O1836" s="3" t="inlineStr">
        <is>
          <t>42847922MDD3003</t>
        </is>
      </c>
    </row>
    <row r="1837">
      <c r="A1837" s="2" t="str">
        <f>HYPERLINK("https://vtmf.veevavault.com/ui/#doc_info/31159507/1/0", "NE - 42847922MDD3003---Trial SetUp-Data Transfer Agreements (v1.0)")</f>
        <v>NE - 42847922MDD3003---Trial SetUp-Data Transfer Agreements (v1.0)</v>
      </c>
      <c r="B1837" s="3" t="inlineStr">
        <is>
          <t>Non Essential</t>
        </is>
      </c>
      <c r="C1837" s="3" t="inlineStr">
        <is>
          <t>Data Management</t>
        </is>
      </c>
      <c r="D1837" s="3" t="inlineStr">
        <is>
          <t>Trial Setup</t>
        </is>
      </c>
      <c r="E1837" s="3" t="inlineStr">
        <is>
          <t>Labcorp_LB_External Data_Test Concept Mapping_v1.0</t>
        </is>
      </c>
      <c r="F1837" s="2" t="str">
        <f>HYPERLINK("https://vtmf.veevavault.com/ui/#doc_info/31159507/1/0", "VTMF-25123814")</f>
        <v>VTMF-25123814</v>
      </c>
      <c r="G1837" s="3" t="inlineStr">
        <is>
          <t/>
        </is>
      </c>
      <c r="H1837" s="3" t="inlineStr">
        <is>
          <t>System</t>
        </is>
      </c>
      <c r="I1837" s="3" t="inlineStr">
        <is>
          <t>Arun Kumar Angu Sukumar</t>
        </is>
      </c>
      <c r="J1837" s="4" t="n">
        <v>46092.59943287037</v>
      </c>
      <c r="K1837" s="5" t="n">
        <v>46092.0</v>
      </c>
      <c r="L1837" s="5" t="n">
        <v>45877.0</v>
      </c>
      <c r="M1837" s="3" t="inlineStr">
        <is>
          <t>Approved</t>
        </is>
      </c>
      <c r="N1837" s="3" t="inlineStr">
        <is>
          <t/>
        </is>
      </c>
      <c r="O1837" s="3" t="inlineStr">
        <is>
          <t>42847922MDD3003</t>
        </is>
      </c>
    </row>
    <row r="1838">
      <c r="A1838" s="2" t="str">
        <f>HYPERLINK("https://vtmf.veevavault.com/ui/#doc_info/29304426/1/0", "NE - 42847922MDD3003---Trial SetUp-Data Transfer Agreements (v1.0)")</f>
        <v>NE - 42847922MDD3003---Trial SetUp-Data Transfer Agreements (v1.0)</v>
      </c>
      <c r="B1838" s="3" t="inlineStr">
        <is>
          <t>Non Essential</t>
        </is>
      </c>
      <c r="C1838" s="3" t="inlineStr">
        <is>
          <t>Data Management</t>
        </is>
      </c>
      <c r="D1838" s="3" t="inlineStr">
        <is>
          <t>Trial Setup</t>
        </is>
      </c>
      <c r="E1838" s="3" t="inlineStr">
        <is>
          <t>Labcorp_MB_Labcorp_MB_External Data_Test Concept Mapping_v1.0</t>
        </is>
      </c>
      <c r="F1838" s="2" t="str">
        <f>HYPERLINK("https://vtmf.veevavault.com/ui/#doc_info/29304426/1/0", "VTMF-23555602")</f>
        <v>VTMF-23555602</v>
      </c>
      <c r="G1838" s="3" t="inlineStr">
        <is>
          <t/>
        </is>
      </c>
      <c r="H1838" s="3" t="inlineStr">
        <is>
          <t>Arun Kumar Angu Sukumar</t>
        </is>
      </c>
      <c r="I1838" s="3" t="inlineStr">
        <is>
          <t>Arun Kumar Angu Sukumar</t>
        </is>
      </c>
      <c r="J1838" s="4" t="n">
        <v>45814.38607638889</v>
      </c>
      <c r="K1838" s="5" t="n">
        <v>45814.0</v>
      </c>
      <c r="L1838" s="5" t="n">
        <v>45814.0</v>
      </c>
      <c r="M1838" s="3" t="inlineStr">
        <is>
          <t>Approved</t>
        </is>
      </c>
      <c r="N1838" s="3" t="inlineStr">
        <is>
          <t/>
        </is>
      </c>
      <c r="O1838" s="3" t="inlineStr">
        <is>
          <t>42847922MDD3003</t>
        </is>
      </c>
    </row>
    <row r="1839">
      <c r="A1839" s="2" t="str">
        <f>HYPERLINK("https://vtmf.veevavault.com/ui/#doc_info/29379520/2/0", "NE - 42847922MDD3003---Trial SetUp-Data Transfer Agreements (v2.0)")</f>
        <v>NE - 42847922MDD3003---Trial SetUp-Data Transfer Agreements (v2.0)</v>
      </c>
      <c r="B1839" s="3" t="inlineStr">
        <is>
          <t>Non Essential</t>
        </is>
      </c>
      <c r="C1839" s="3" t="inlineStr">
        <is>
          <t>Data Management</t>
        </is>
      </c>
      <c r="D1839" s="3" t="inlineStr">
        <is>
          <t>Trial Setup</t>
        </is>
      </c>
      <c r="E1839" s="3" t="inlineStr">
        <is>
          <t>Clario_FA-_External Data_Test Concept Mapping_v2.0</t>
        </is>
      </c>
      <c r="F1839" s="2" t="str">
        <f>HYPERLINK("https://vtmf.veevavault.com/ui/#doc_info/29379520/2/0", "VTMF-23620104")</f>
        <v>VTMF-23620104</v>
      </c>
      <c r="G1839" s="3" t="inlineStr">
        <is>
          <t/>
        </is>
      </c>
      <c r="H1839" s="3" t="inlineStr">
        <is>
          <t>Arun Kumar Angu Sukumar</t>
        </is>
      </c>
      <c r="I1839" s="3" t="inlineStr">
        <is>
          <t>Arun Kumar Angu Sukumar</t>
        </is>
      </c>
      <c r="J1839" s="4" t="n">
        <v>45999.320335648146</v>
      </c>
      <c r="K1839" s="5" t="n">
        <v>45999.0</v>
      </c>
      <c r="L1839" s="5" t="n">
        <v>45999.0</v>
      </c>
      <c r="M1839" s="3" t="inlineStr">
        <is>
          <t>Approved</t>
        </is>
      </c>
      <c r="N1839" s="3" t="inlineStr">
        <is>
          <t/>
        </is>
      </c>
      <c r="O1839" s="3" t="inlineStr">
        <is>
          <t>42847922MDD3003</t>
        </is>
      </c>
    </row>
    <row r="1840">
      <c r="A1840" s="2" t="str">
        <f>HYPERLINK("https://vtmf.veevavault.com/ui/#doc_info/29427309/5/0", "NE - 42847922MDD3003---Trial SetUp-Data Transfer Agreements (v5.0)")</f>
        <v>NE - 42847922MDD3003---Trial SetUp-Data Transfer Agreements (v5.0)</v>
      </c>
      <c r="B1840" s="3" t="inlineStr">
        <is>
          <t>Non Essential</t>
        </is>
      </c>
      <c r="C1840" s="3" t="inlineStr">
        <is>
          <t>Data Management</t>
        </is>
      </c>
      <c r="D1840" s="3" t="inlineStr">
        <is>
          <t>Trial Setup</t>
        </is>
      </c>
      <c r="E1840" s="3" t="inlineStr">
        <is>
          <t>Sense.ai-JNJ_NV_tsDTA_Part1of2_Op_5.0</t>
        </is>
      </c>
      <c r="F1840" s="2" t="str">
        <f>HYPERLINK("https://vtmf.veevavault.com/ui/#doc_info/29427309/5/0", "VTMF-23663373")</f>
        <v>VTMF-23663373</v>
      </c>
      <c r="G1840" s="3" t="inlineStr">
        <is>
          <t/>
        </is>
      </c>
      <c r="H1840" s="3" t="inlineStr">
        <is>
          <t>System</t>
        </is>
      </c>
      <c r="I1840" s="3" t="inlineStr">
        <is>
          <t>Arun Kumar Angu Sukumar</t>
        </is>
      </c>
      <c r="J1840" s="4" t="n">
        <v>46087.244421296295</v>
      </c>
      <c r="K1840" s="5" t="n">
        <v>46086.0</v>
      </c>
      <c r="L1840" s="5" t="n">
        <v>46087.0</v>
      </c>
      <c r="M1840" s="3" t="inlineStr">
        <is>
          <t>Approved</t>
        </is>
      </c>
      <c r="N1840" s="3" t="inlineStr">
        <is>
          <t/>
        </is>
      </c>
      <c r="O1840" s="3" t="inlineStr">
        <is>
          <t>42847922MDD3003</t>
        </is>
      </c>
    </row>
    <row r="1841">
      <c r="A1841" s="2" t="str">
        <f>HYPERLINK("https://vtmf.veevavault.com/ui/#doc_info/29978072/1/0", "NE - 42847922MDD3003---Trial SetUp-Data Transfer Agreements (v1.0)")</f>
        <v>NE - 42847922MDD3003---Trial SetUp-Data Transfer Agreements (v1.0)</v>
      </c>
      <c r="B1841" s="3" t="inlineStr">
        <is>
          <t>Non Essential</t>
        </is>
      </c>
      <c r="C1841" s="3" t="inlineStr">
        <is>
          <t>Data Management</t>
        </is>
      </c>
      <c r="D1841" s="3" t="inlineStr">
        <is>
          <t>Trial Setup</t>
        </is>
      </c>
      <c r="E1841" s="3" t="inlineStr">
        <is>
          <t>Clario-JNJ_EG_tsDTA_Part1of2_Op_4.0</t>
        </is>
      </c>
      <c r="F1841" s="2" t="str">
        <f>HYPERLINK("https://vtmf.veevavault.com/ui/#doc_info/29978072/1/0", "VTMF-24134388")</f>
        <v>VTMF-24134388</v>
      </c>
      <c r="G1841" s="3" t="inlineStr">
        <is>
          <t/>
        </is>
      </c>
      <c r="H1841" s="3" t="inlineStr">
        <is>
          <t>System</t>
        </is>
      </c>
      <c r="I1841" s="3" t="inlineStr">
        <is>
          <t>Arun Kumar Angu Sukumar</t>
        </is>
      </c>
      <c r="J1841" s="4" t="n">
        <v>45918.625069444446</v>
      </c>
      <c r="K1841" s="5" t="n">
        <v>45918.0</v>
      </c>
      <c r="L1841" s="5" t="n">
        <v>45911.0</v>
      </c>
      <c r="M1841" s="3" t="inlineStr">
        <is>
          <t>Approved</t>
        </is>
      </c>
      <c r="N1841" s="3" t="inlineStr">
        <is>
          <t/>
        </is>
      </c>
      <c r="O1841" s="3" t="inlineStr">
        <is>
          <t>42847922MDD3003</t>
        </is>
      </c>
    </row>
    <row r="1842">
      <c r="A1842" s="2" t="str">
        <f>HYPERLINK("https://vtmf.veevavault.com/ui/#doc_info/29978249/1/0", "NE - 42847922MDD3003---Trial SetUp-Data Transfer Agreements (v1.0)")</f>
        <v>NE - 42847922MDD3003---Trial SetUp-Data Transfer Agreements (v1.0)</v>
      </c>
      <c r="B1842" s="3" t="inlineStr">
        <is>
          <t>Non Essential</t>
        </is>
      </c>
      <c r="C1842" s="3" t="inlineStr">
        <is>
          <t>Data Management</t>
        </is>
      </c>
      <c r="D1842" s="3" t="inlineStr">
        <is>
          <t>Trial Setup</t>
        </is>
      </c>
      <c r="E1842" s="3" t="inlineStr">
        <is>
          <t>Labcorp-JNJ_LB_tsDTA_Part1of2_Op_2.0</t>
        </is>
      </c>
      <c r="F1842" s="2" t="str">
        <f>HYPERLINK("https://vtmf.veevavault.com/ui/#doc_info/29978249/1/0", "VTMF-24134517")</f>
        <v>VTMF-24134517</v>
      </c>
      <c r="G1842" s="3" t="inlineStr">
        <is>
          <t/>
        </is>
      </c>
      <c r="H1842" s="3" t="inlineStr">
        <is>
          <t>System</t>
        </is>
      </c>
      <c r="I1842" s="3" t="inlineStr">
        <is>
          <t>Arun Kumar Angu Sukumar</t>
        </is>
      </c>
      <c r="J1842" s="4" t="n">
        <v>45918.63878472222</v>
      </c>
      <c r="K1842" s="5" t="n">
        <v>45918.0</v>
      </c>
      <c r="L1842" s="5" t="n">
        <v>45863.0</v>
      </c>
      <c r="M1842" s="3" t="inlineStr">
        <is>
          <t>Approved</t>
        </is>
      </c>
      <c r="N1842" s="3" t="inlineStr">
        <is>
          <t/>
        </is>
      </c>
      <c r="O1842" s="3" t="inlineStr">
        <is>
          <t>42847922MDD3003</t>
        </is>
      </c>
    </row>
    <row r="1843">
      <c r="A1843" s="2" t="str">
        <f>HYPERLINK("https://vtmf.veevavault.com/ui/#doc_info/29978268/2/0", "NE - 42847922MDD3003---Trial SetUp-Data Transfer Agreements (v2.0)")</f>
        <v>NE - 42847922MDD3003---Trial SetUp-Data Transfer Agreements (v2.0)</v>
      </c>
      <c r="B1843" s="3" t="inlineStr">
        <is>
          <t>Non Essential</t>
        </is>
      </c>
      <c r="C1843" s="3" t="inlineStr">
        <is>
          <t>Data Management</t>
        </is>
      </c>
      <c r="D1843" s="3" t="inlineStr">
        <is>
          <t>Trial Setup</t>
        </is>
      </c>
      <c r="E1843" s="3" t="inlineStr">
        <is>
          <t>JNJ_Clarivate_tsDTA_Op</t>
        </is>
      </c>
      <c r="F1843" s="2" t="str">
        <f>HYPERLINK("https://vtmf.veevavault.com/ui/#doc_info/29978268/2/0", "VTMF-24134553")</f>
        <v>VTMF-24134553</v>
      </c>
      <c r="G1843" s="3" t="inlineStr">
        <is>
          <t/>
        </is>
      </c>
      <c r="H1843" s="3" t="inlineStr">
        <is>
          <t>System</t>
        </is>
      </c>
      <c r="I1843" s="3" t="inlineStr">
        <is>
          <t>Arun Kumar Angu Sukumar</t>
        </is>
      </c>
      <c r="J1843" s="4" t="n">
        <v>45918.642858796295</v>
      </c>
      <c r="K1843" s="5" t="n">
        <v>45918.0</v>
      </c>
      <c r="L1843" s="5" t="n">
        <v>45873.0</v>
      </c>
      <c r="M1843" s="3" t="inlineStr">
        <is>
          <t>Approved</t>
        </is>
      </c>
      <c r="N1843" s="3" t="inlineStr">
        <is>
          <t/>
        </is>
      </c>
      <c r="O1843" s="3" t="inlineStr">
        <is>
          <t>42847922MDD3003</t>
        </is>
      </c>
    </row>
    <row r="1844">
      <c r="A1844" s="2" t="str">
        <f>HYPERLINK("https://vtmf.veevavault.com/ui/#doc_info/29978315/2/0", "NE - 42847922MDD3003---Trial SetUp-Data Transfer Agreements (v2.0)")</f>
        <v>NE - 42847922MDD3003---Trial SetUp-Data Transfer Agreements (v2.0)</v>
      </c>
      <c r="B1844" s="3" t="inlineStr">
        <is>
          <t>Non Essential</t>
        </is>
      </c>
      <c r="C1844" s="3" t="inlineStr">
        <is>
          <t>Data Management</t>
        </is>
      </c>
      <c r="D1844" s="3" t="inlineStr">
        <is>
          <t>Trial Setup</t>
        </is>
      </c>
      <c r="E1844" s="3" t="inlineStr">
        <is>
          <t>Clario-JNJ_FA_tsDTA_Part1of2_Op_4.0</t>
        </is>
      </c>
      <c r="F1844" s="2" t="str">
        <f>HYPERLINK("https://vtmf.veevavault.com/ui/#doc_info/29978315/2/0", "VTMF-24134610")</f>
        <v>VTMF-24134610</v>
      </c>
      <c r="G1844" s="3" t="inlineStr">
        <is>
          <t/>
        </is>
      </c>
      <c r="H1844" s="3" t="inlineStr">
        <is>
          <t>System</t>
        </is>
      </c>
      <c r="I1844" s="3" t="inlineStr">
        <is>
          <t>Arun Kumar Angu Sukumar</t>
        </is>
      </c>
      <c r="J1844" s="4" t="n">
        <v>45973.30358796296</v>
      </c>
      <c r="K1844" s="5" t="n">
        <v>45973.0</v>
      </c>
      <c r="L1844" s="5" t="n">
        <v>45968.0</v>
      </c>
      <c r="M1844" s="3" t="inlineStr">
        <is>
          <t>Approved</t>
        </is>
      </c>
      <c r="N1844" s="3" t="inlineStr">
        <is>
          <t/>
        </is>
      </c>
      <c r="O1844" s="3" t="inlineStr">
        <is>
          <t>42847922MDD3003</t>
        </is>
      </c>
    </row>
    <row r="1845">
      <c r="A1845" s="2" t="str">
        <f>HYPERLINK("https://vtmf.veevavault.com/ui/#doc_info/30134626/1/0", "NE - 42847922MDD3003---Trial SetUp-Data Transfer Agreements (v1.0)")</f>
        <v>NE - 42847922MDD3003---Trial SetUp-Data Transfer Agreements (v1.0)</v>
      </c>
      <c r="B1845" s="3" t="inlineStr">
        <is>
          <t>Non Essential</t>
        </is>
      </c>
      <c r="C1845" s="3" t="inlineStr">
        <is>
          <t>Data Management</t>
        </is>
      </c>
      <c r="D1845" s="3" t="inlineStr">
        <is>
          <t>Trial Setup</t>
        </is>
      </c>
      <c r="E1845" s="3" t="inlineStr">
        <is>
          <t>42847922MDD3003_Labcorp_MB_External Data_Test Concept Mapping_v1.0_06Jun2025</t>
        </is>
      </c>
      <c r="F1845" s="2" t="str">
        <f>HYPERLINK("https://vtmf.veevavault.com/ui/#doc_info/30134626/1/0", "VTMF-24259607")</f>
        <v>VTMF-24259607</v>
      </c>
      <c r="G1845" s="3" t="inlineStr">
        <is>
          <t/>
        </is>
      </c>
      <c r="H1845" s="3" t="inlineStr">
        <is>
          <t>System</t>
        </is>
      </c>
      <c r="I1845" s="3" t="inlineStr">
        <is>
          <t>Arun Kumar Angu Sukumar</t>
        </is>
      </c>
      <c r="J1845" s="4" t="n">
        <v>45940.62805555556</v>
      </c>
      <c r="K1845" s="5" t="n">
        <v>45940.0</v>
      </c>
      <c r="L1845" s="5" t="n">
        <v>45814.0</v>
      </c>
      <c r="M1845" s="3" t="inlineStr">
        <is>
          <t>Approved</t>
        </is>
      </c>
      <c r="N1845" s="3" t="inlineStr">
        <is>
          <t/>
        </is>
      </c>
      <c r="O1845" s="3" t="inlineStr">
        <is>
          <t>42847922MDD3003</t>
        </is>
      </c>
    </row>
    <row r="1846">
      <c r="A1846" s="2" t="str">
        <f>HYPERLINK("https://vtmf.veevavault.com/ui/#doc_info/30134649/1/0", "NE - 42847922MDD3003---Trial SetUp-Data Transfer Agreements (v1.0)")</f>
        <v>NE - 42847922MDD3003---Trial SetUp-Data Transfer Agreements (v1.0)</v>
      </c>
      <c r="B1846" s="3" t="inlineStr">
        <is>
          <t>Non Essential</t>
        </is>
      </c>
      <c r="C1846" s="3" t="inlineStr">
        <is>
          <t>Data Management</t>
        </is>
      </c>
      <c r="D1846" s="3" t="inlineStr">
        <is>
          <t>Trial Setup</t>
        </is>
      </c>
      <c r="E1846" s="3" t="inlineStr">
        <is>
          <t>Labcorp-JNJ_MB_tsDTA_Part1of2_Op_2.0</t>
        </is>
      </c>
      <c r="F1846" s="2" t="str">
        <f>HYPERLINK("https://vtmf.veevavault.com/ui/#doc_info/30134649/1/0", "VTMF-24259666")</f>
        <v>VTMF-24259666</v>
      </c>
      <c r="G1846" s="3" t="inlineStr">
        <is>
          <t/>
        </is>
      </c>
      <c r="H1846" s="3" t="inlineStr">
        <is>
          <t>System</t>
        </is>
      </c>
      <c r="I1846" s="3" t="inlineStr">
        <is>
          <t>Arun Kumar Angu Sukumar</t>
        </is>
      </c>
      <c r="J1846" s="4" t="n">
        <v>45940.63245370371</v>
      </c>
      <c r="K1846" s="5" t="n">
        <v>45940.0</v>
      </c>
      <c r="L1846" s="5" t="n">
        <v>45784.0</v>
      </c>
      <c r="M1846" s="3" t="inlineStr">
        <is>
          <t>Approved</t>
        </is>
      </c>
      <c r="N1846" s="3" t="inlineStr">
        <is>
          <t/>
        </is>
      </c>
      <c r="O1846" s="3" t="inlineStr">
        <is>
          <t>42847922MDD3003</t>
        </is>
      </c>
    </row>
    <row r="1847">
      <c r="A1847" s="2" t="str">
        <f>HYPERLINK("https://vtmf.veevavault.com/ui/#doc_info/30525509/1/0", "NE - 42847922MDD3003---Trial SetUp-Data Transfer Agreements (v1.0)")</f>
        <v>NE - 42847922MDD3003---Trial SetUp-Data Transfer Agreements (v1.0)</v>
      </c>
      <c r="B1847" s="3" t="inlineStr">
        <is>
          <t>Non Essential</t>
        </is>
      </c>
      <c r="C1847" s="3" t="inlineStr">
        <is>
          <t>Data Management</t>
        </is>
      </c>
      <c r="D1847" s="3" t="inlineStr">
        <is>
          <t>Trial Setup</t>
        </is>
      </c>
      <c r="E1847" s="3" t="inlineStr">
        <is>
          <t>Beacon_NV_External Data_Test Concept Mapping_v1.0</t>
        </is>
      </c>
      <c r="F1847" s="2" t="str">
        <f>HYPERLINK("https://vtmf.veevavault.com/ui/#doc_info/30525509/1/0", "VTMF-24592273")</f>
        <v>VTMF-24592273</v>
      </c>
      <c r="G1847" s="3" t="inlineStr">
        <is>
          <t/>
        </is>
      </c>
      <c r="H1847" s="3" t="inlineStr">
        <is>
          <t>Arun Kumar Angu Sukumar</t>
        </is>
      </c>
      <c r="I1847" s="3" t="inlineStr">
        <is>
          <t>Arun Kumar Angu Sukumar</t>
        </is>
      </c>
      <c r="J1847" s="4" t="n">
        <v>45994.57671296296</v>
      </c>
      <c r="K1847" s="5" t="n">
        <v>45994.0</v>
      </c>
      <c r="L1847" s="5" t="n">
        <v>45994.0</v>
      </c>
      <c r="M1847" s="3" t="inlineStr">
        <is>
          <t>Approved</t>
        </is>
      </c>
      <c r="N1847" s="3" t="inlineStr">
        <is>
          <t/>
        </is>
      </c>
      <c r="O1847" s="3" t="inlineStr">
        <is>
          <t>42847922MDD3003</t>
        </is>
      </c>
    </row>
    <row r="1848">
      <c r="A1848" s="2" t="str">
        <f>HYPERLINK("https://vtmf.veevavault.com/ui/#doc_info/26731163/1/0", "NE - 42847922MDD3003---Trial SetUp-General Documentation (v1.0)")</f>
        <v>NE - 42847922MDD3003---Trial SetUp-General Documentation (v1.0)</v>
      </c>
      <c r="B1848" s="3" t="inlineStr">
        <is>
          <t>Non Essential</t>
        </is>
      </c>
      <c r="C1848" s="3" t="inlineStr">
        <is>
          <t>Data Management</t>
        </is>
      </c>
      <c r="D1848" s="3" t="inlineStr">
        <is>
          <t>Trial Setup</t>
        </is>
      </c>
      <c r="E1848" s="3" t="inlineStr">
        <is>
          <t>42847922MDD3003_IQVIA Secure Data Office Kick Off Meeting-20240628_183229-Meeting Recording</t>
        </is>
      </c>
      <c r="F1848" s="2" t="str">
        <f>HYPERLINK("https://vtmf.veevavault.com/ui/#doc_info/26731163/1/0", "VTMF-21419832")</f>
        <v>VTMF-21419832</v>
      </c>
      <c r="G1848" s="3" t="inlineStr">
        <is>
          <t/>
        </is>
      </c>
      <c r="H1848" s="3" t="inlineStr">
        <is>
          <t>System</t>
        </is>
      </c>
      <c r="I1848" s="3" t="inlineStr">
        <is>
          <t>Shashikant Behera</t>
        </is>
      </c>
      <c r="J1848" s="4" t="n">
        <v>45491.605</v>
      </c>
      <c r="K1848" s="5" t="n">
        <v>45495.0</v>
      </c>
      <c r="L1848" s="5" t="n">
        <v>45471.0</v>
      </c>
      <c r="M1848" s="3" t="inlineStr">
        <is>
          <t>Approved</t>
        </is>
      </c>
      <c r="N1848" s="3" t="inlineStr">
        <is>
          <t/>
        </is>
      </c>
      <c r="O1848" s="3" t="inlineStr">
        <is>
          <t>42847922MDD3003</t>
        </is>
      </c>
    </row>
    <row r="1849">
      <c r="A1849" s="2" t="str">
        <f>HYPERLINK("https://vtmf.veevavault.com/ui/#doc_info/27327838/5/0", "NE - 42847922MDD3003---Trial SetUp-SDTM Documentation (v5.0)")</f>
        <v>NE - 42847922MDD3003---Trial SetUp-SDTM Documentation (v5.0)</v>
      </c>
      <c r="B1849" s="3" t="inlineStr">
        <is>
          <t>Non Essential</t>
        </is>
      </c>
      <c r="C1849" s="3" t="inlineStr">
        <is>
          <t>Data Management</t>
        </is>
      </c>
      <c r="D1849" s="3" t="inlineStr">
        <is>
          <t>Trial Setup</t>
        </is>
      </c>
      <c r="E1849" s="3" t="inlineStr">
        <is>
          <t>42847922MDD3003_SDTM_aCRF_Sign_Off_V5.0_20260226</t>
        </is>
      </c>
      <c r="F1849" s="2" t="str">
        <f>HYPERLINK("https://vtmf.veevavault.com/ui/#doc_info/27327838/5/0", "VTMF-21920446")</f>
        <v>VTMF-21920446</v>
      </c>
      <c r="G1849" s="3" t="inlineStr">
        <is>
          <t/>
        </is>
      </c>
      <c r="H1849" s="3" t="inlineStr">
        <is>
          <t>System</t>
        </is>
      </c>
      <c r="I1849" s="3" t="inlineStr">
        <is>
          <t>Kartiki Singh</t>
        </is>
      </c>
      <c r="J1849" s="4" t="n">
        <v>46079.773194444446</v>
      </c>
      <c r="K1849" s="5" t="n">
        <v>46080.0</v>
      </c>
      <c r="L1849" s="5" t="n">
        <v>46079.0</v>
      </c>
      <c r="M1849" s="3" t="inlineStr">
        <is>
          <t>Approved</t>
        </is>
      </c>
      <c r="N1849" s="3" t="inlineStr">
        <is>
          <t/>
        </is>
      </c>
      <c r="O1849" s="3" t="inlineStr">
        <is>
          <t>42847922MDD3003</t>
        </is>
      </c>
    </row>
    <row r="1850">
      <c r="A1850" s="2" t="str">
        <f>HYPERLINK("https://vtmf.veevavault.com/ui/#doc_info/25555474/1/0", "NE - 42847922MDD3003---Working Documents (v1.0)")</f>
        <v>NE - 42847922MDD3003---Working Documents (v1.0)</v>
      </c>
      <c r="B1850" s="3" t="inlineStr">
        <is>
          <t>Non Essential</t>
        </is>
      </c>
      <c r="C1850" s="3" t="inlineStr">
        <is>
          <t>Working Documents</t>
        </is>
      </c>
      <c r="D1850" s="3" t="inlineStr">
        <is>
          <t/>
        </is>
      </c>
      <c r="E1850" s="3" t="inlineStr">
        <is>
          <t>42847922MDD3003_pregnant partner ICF_v0.3_23Jan24_final draft_clean</t>
        </is>
      </c>
      <c r="F1850" s="2" t="str">
        <f>HYPERLINK("https://vtmf.veevavault.com/ui/#doc_info/25555474/1/0", "VTMF-20387807")</f>
        <v>VTMF-20387807</v>
      </c>
      <c r="G1850" s="3" t="inlineStr">
        <is>
          <t/>
        </is>
      </c>
      <c r="H1850" s="3" t="inlineStr">
        <is>
          <t>System</t>
        </is>
      </c>
      <c r="I1850" s="3" t="inlineStr">
        <is>
          <t>Jamie Hardy</t>
        </is>
      </c>
      <c r="J1850" s="4" t="n">
        <v>45314.618263888886</v>
      </c>
      <c r="K1850" s="5" t="n">
        <v>45314.0</v>
      </c>
      <c r="L1850" s="5" t="inlineStr">
        <is>
          <t/>
        </is>
      </c>
      <c r="M1850" s="3" t="inlineStr">
        <is>
          <t>Approved</t>
        </is>
      </c>
      <c r="N1850" s="3" t="inlineStr">
        <is>
          <t/>
        </is>
      </c>
      <c r="O1850" s="3" t="inlineStr">
        <is>
          <t>42847922MDD3003</t>
        </is>
      </c>
    </row>
    <row r="1851">
      <c r="A1851" s="2" t="str">
        <f>HYPERLINK("https://vtmf.veevavault.com/ui/#doc_info/25699860/1/0", "NE - 42847922MDD3003---Working Documents (v1.0)")</f>
        <v>NE - 42847922MDD3003---Working Documents (v1.0)</v>
      </c>
      <c r="B1851" s="3" t="inlineStr">
        <is>
          <t>Non Essential</t>
        </is>
      </c>
      <c r="C1851" s="3" t="inlineStr">
        <is>
          <t>Working Documents</t>
        </is>
      </c>
      <c r="D1851" s="3" t="inlineStr">
        <is>
          <t/>
        </is>
      </c>
      <c r="E1851" s="3" t="inlineStr">
        <is>
          <t>CTSdatabase_New Concept_v1.0</t>
        </is>
      </c>
      <c r="F1851" s="2" t="str">
        <f>HYPERLINK("https://vtmf.veevavault.com/ui/#doc_info/25699860/1/0", "VTMF-20515134")</f>
        <v>VTMF-20515134</v>
      </c>
      <c r="G1851" s="3" t="inlineStr">
        <is>
          <t/>
        </is>
      </c>
      <c r="H1851" s="3" t="inlineStr">
        <is>
          <t>System</t>
        </is>
      </c>
      <c r="I1851" s="3" t="inlineStr">
        <is>
          <t>Astrid Lenaerts</t>
        </is>
      </c>
      <c r="J1851" s="4" t="n">
        <v>45440.449953703705</v>
      </c>
      <c r="K1851" s="5" t="n">
        <v>45447.0</v>
      </c>
      <c r="L1851" s="5" t="inlineStr">
        <is>
          <t/>
        </is>
      </c>
      <c r="M1851" s="3" t="inlineStr">
        <is>
          <t>Approved</t>
        </is>
      </c>
      <c r="N1851" s="3" t="inlineStr">
        <is>
          <t/>
        </is>
      </c>
      <c r="O1851" s="3" t="inlineStr">
        <is>
          <t>42847922MDD3003, 67953964MDD3005, 67953964MDD3007, 89495120MDD2001</t>
        </is>
      </c>
    </row>
    <row r="1852">
      <c r="A1852" s="2" t="str">
        <f>HYPERLINK("https://vtmf.veevavault.com/ui/#doc_info/25922499/5/0", "NE - 42847922MDD3003---Working Documents (v5.0)")</f>
        <v>NE - 42847922MDD3003---Working Documents (v5.0)</v>
      </c>
      <c r="B1852" s="3" t="inlineStr">
        <is>
          <t>Non Essential</t>
        </is>
      </c>
      <c r="C1852" s="3" t="inlineStr">
        <is>
          <t>Working Documents</t>
        </is>
      </c>
      <c r="D1852" s="3" t="inlineStr">
        <is>
          <t/>
        </is>
      </c>
      <c r="E1852" s="3" t="inlineStr">
        <is>
          <t>MDD3003 FDA 1572 16May2025 - DREEM Included W/O Sterling</t>
        </is>
      </c>
      <c r="F1852" s="2" t="str">
        <f>HYPERLINK("https://vtmf.veevavault.com/ui/#doc_info/25922499/5/0", "VTMF-20710997")</f>
        <v>VTMF-20710997</v>
      </c>
      <c r="G1852" s="3" t="inlineStr">
        <is>
          <t/>
        </is>
      </c>
      <c r="H1852" s="3" t="inlineStr">
        <is>
          <t>System</t>
        </is>
      </c>
      <c r="I1852" s="3" t="inlineStr">
        <is>
          <t>Gina Stefanelli</t>
        </is>
      </c>
      <c r="J1852" s="4" t="n">
        <v>45796.578935185185</v>
      </c>
      <c r="K1852" s="5" t="n">
        <v>45796.0</v>
      </c>
      <c r="L1852" s="5" t="inlineStr">
        <is>
          <t/>
        </is>
      </c>
      <c r="M1852" s="3" t="inlineStr">
        <is>
          <t>Approved</t>
        </is>
      </c>
      <c r="N1852" s="3" t="inlineStr">
        <is>
          <t/>
        </is>
      </c>
      <c r="O1852" s="3" t="inlineStr">
        <is>
          <t>42847922MDD3003</t>
        </is>
      </c>
    </row>
    <row r="1853">
      <c r="A1853" s="2" t="str">
        <f>HYPERLINK("https://vtmf.veevavault.com/ui/#doc_info/25966069/1/0", "NE - 42847922MDD3003---Working Documents (v1.0)")</f>
        <v>NE - 42847922MDD3003---Working Documents (v1.0)</v>
      </c>
      <c r="B1853" s="3" t="inlineStr">
        <is>
          <t>Non Essential</t>
        </is>
      </c>
      <c r="C1853" s="3" t="inlineStr">
        <is>
          <t>Working Documents</t>
        </is>
      </c>
      <c r="D1853" s="3" t="inlineStr">
        <is>
          <t/>
        </is>
      </c>
      <c r="E1853" s="3" t="inlineStr">
        <is>
          <t>Investigator's Brochure_Ed[11 vs 12]-Track Changes-JNJ-42847922-AAA-1074638_EDMS-RIM-1074638_1.0</t>
        </is>
      </c>
      <c r="F1853" s="2" t="str">
        <f>HYPERLINK("https://vtmf.veevavault.com/ui/#doc_info/25966069/1/0", "VTMF-20749634")</f>
        <v>VTMF-20749634</v>
      </c>
      <c r="G1853" s="3" t="inlineStr">
        <is>
          <t/>
        </is>
      </c>
      <c r="H1853" s="3" t="inlineStr">
        <is>
          <t>System</t>
        </is>
      </c>
      <c r="I1853" s="3" t="inlineStr">
        <is>
          <t>Jamie Hardy</t>
        </is>
      </c>
      <c r="J1853" s="4" t="n">
        <v>45371.884247685186</v>
      </c>
      <c r="K1853" s="5" t="n">
        <v>45371.0</v>
      </c>
      <c r="L1853" s="5" t="inlineStr">
        <is>
          <t/>
        </is>
      </c>
      <c r="M1853" s="3" t="inlineStr">
        <is>
          <t>Approved</t>
        </is>
      </c>
      <c r="N1853" s="3" t="inlineStr">
        <is>
          <t/>
        </is>
      </c>
      <c r="O1853" s="3" t="inlineStr">
        <is>
          <t>42847922MDD3003</t>
        </is>
      </c>
    </row>
    <row r="1854">
      <c r="A1854" s="2" t="str">
        <f>HYPERLINK("https://vtmf.veevavault.com/ui/#doc_info/26323535/1/0", "NE - 42847922MDD3003---Working Documents (v1.0)")</f>
        <v>NE - 42847922MDD3003---Working Documents (v1.0)</v>
      </c>
      <c r="B1854" s="3" t="inlineStr">
        <is>
          <t>Non Essential</t>
        </is>
      </c>
      <c r="C1854" s="3" t="inlineStr">
        <is>
          <t>Working Documents</t>
        </is>
      </c>
      <c r="D1854" s="3" t="inlineStr">
        <is>
          <t/>
        </is>
      </c>
      <c r="E1854" s="3" t="inlineStr">
        <is>
          <t>Link2Trials Concept Overview_ENG_V1.0</t>
        </is>
      </c>
      <c r="F1854" s="2" t="str">
        <f>HYPERLINK("https://vtmf.veevavault.com/ui/#doc_info/26323535/1/0", "VTMF-21062233")</f>
        <v>VTMF-21062233</v>
      </c>
      <c r="G1854" s="3" t="inlineStr">
        <is>
          <t/>
        </is>
      </c>
      <c r="H1854" s="3" t="inlineStr">
        <is>
          <t>System</t>
        </is>
      </c>
      <c r="I1854" s="3" t="inlineStr">
        <is>
          <t>Astrid Lenaerts</t>
        </is>
      </c>
      <c r="J1854" s="4" t="n">
        <v>45462.47168981482</v>
      </c>
      <c r="K1854" s="5" t="n">
        <v>45468.0</v>
      </c>
      <c r="L1854" s="5" t="inlineStr">
        <is>
          <t/>
        </is>
      </c>
      <c r="M1854" s="3" t="inlineStr">
        <is>
          <t>Approved</t>
        </is>
      </c>
      <c r="N1854" s="3" t="inlineStr">
        <is>
          <t/>
        </is>
      </c>
      <c r="O1854" s="3" t="inlineStr">
        <is>
          <t>42847922MDD3003, 67953964MDD3005, 67953964MDD3007, 89495120MDD2001</t>
        </is>
      </c>
    </row>
    <row r="1855">
      <c r="A1855" s="2" t="str">
        <f>HYPERLINK("https://vtmf.veevavault.com/ui/#doc_info/26821875/1/0", "NE - 42847922MDD3003---Working Documents (v1.0)")</f>
        <v>NE - 42847922MDD3003---Working Documents (v1.0)</v>
      </c>
      <c r="B1855" s="3" t="inlineStr">
        <is>
          <t>Non Essential</t>
        </is>
      </c>
      <c r="C1855" s="3" t="inlineStr">
        <is>
          <t>Working Documents</t>
        </is>
      </c>
      <c r="D1855" s="3" t="inlineStr">
        <is>
          <t/>
        </is>
      </c>
      <c r="E1855" s="3" t="inlineStr">
        <is>
          <t>42847922MDD3003 non-EUCTR (ROW) dossier components for local use and adaptation</t>
        </is>
      </c>
      <c r="F1855" s="2" t="str">
        <f>HYPERLINK("https://vtmf.veevavault.com/ui/#doc_info/26821875/1/0", "VTMF-21496535")</f>
        <v>VTMF-21496535</v>
      </c>
      <c r="G1855" s="3" t="inlineStr">
        <is>
          <t/>
        </is>
      </c>
      <c r="H1855" s="3" t="inlineStr">
        <is>
          <t>System</t>
        </is>
      </c>
      <c r="I1855" s="3" t="inlineStr">
        <is>
          <t>Charmaine Drage</t>
        </is>
      </c>
      <c r="J1855" s="4" t="n">
        <v>45506.73511574074</v>
      </c>
      <c r="K1855" s="5" t="n">
        <v>45506.0</v>
      </c>
      <c r="L1855" s="5" t="inlineStr">
        <is>
          <t/>
        </is>
      </c>
      <c r="M1855" s="3" t="inlineStr">
        <is>
          <t>Approved</t>
        </is>
      </c>
      <c r="N1855" s="3" t="inlineStr">
        <is>
          <t/>
        </is>
      </c>
      <c r="O1855" s="3" t="inlineStr">
        <is>
          <t>42847922MDD3003</t>
        </is>
      </c>
    </row>
    <row r="1856">
      <c r="A1856" s="2" t="str">
        <f>HYPERLINK("https://vtmf.veevavault.com/ui/#doc_info/28282098/1/0", "NE - 42847922MDD3003---Working Documents (v1.0)")</f>
        <v>NE - 42847922MDD3003---Working Documents (v1.0)</v>
      </c>
      <c r="B1856" s="3" t="inlineStr">
        <is>
          <t>Non Essential</t>
        </is>
      </c>
      <c r="C1856" s="3" t="inlineStr">
        <is>
          <t>Working Documents</t>
        </is>
      </c>
      <c r="D1856" s="3" t="inlineStr">
        <is>
          <t/>
        </is>
      </c>
      <c r="E1856" s="3" t="inlineStr">
        <is>
          <t>Product Exposure During Pregnancy Collection_v7.0</t>
        </is>
      </c>
      <c r="F1856" s="2" t="str">
        <f>HYPERLINK("https://vtmf.veevavault.com/ui/#doc_info/28282098/1/0", "VTMF-22687305")</f>
        <v>VTMF-22687305</v>
      </c>
      <c r="G1856" s="3" t="inlineStr">
        <is>
          <t/>
        </is>
      </c>
      <c r="H1856" s="3" t="inlineStr">
        <is>
          <t>System</t>
        </is>
      </c>
      <c r="I1856" s="3" t="inlineStr">
        <is>
          <t>Kristina Ruzinska</t>
        </is>
      </c>
      <c r="J1856" s="4" t="n">
        <v>45700.59967592593</v>
      </c>
      <c r="K1856" s="5" t="n">
        <v>45700.0</v>
      </c>
      <c r="L1856" s="5" t="inlineStr">
        <is>
          <t/>
        </is>
      </c>
      <c r="M1856" s="3" t="inlineStr">
        <is>
          <t>Approved</t>
        </is>
      </c>
      <c r="N1856" s="3" t="inlineStr">
        <is>
          <t/>
        </is>
      </c>
      <c r="O1856" s="3" t="inlineStr">
        <is>
          <t>42847922MDD3003</t>
        </is>
      </c>
    </row>
    <row r="1857">
      <c r="A1857" s="2" t="str">
        <f>HYPERLINK("https://vtmf.veevavault.com/ui/#doc_info/28282105/1/0", "NE - 42847922MDD3003---Working Documents (v1.0)")</f>
        <v>NE - 42847922MDD3003---Working Documents (v1.0)</v>
      </c>
      <c r="B1857" s="3" t="inlineStr">
        <is>
          <t>Non Essential</t>
        </is>
      </c>
      <c r="C1857" s="3" t="inlineStr">
        <is>
          <t>Working Documents</t>
        </is>
      </c>
      <c r="D1857" s="3" t="inlineStr">
        <is>
          <t/>
        </is>
      </c>
      <c r="E1857" s="3" t="inlineStr">
        <is>
          <t>GMS_Pregnancy Notification Form v.11</t>
        </is>
      </c>
      <c r="F1857" s="2" t="str">
        <f>HYPERLINK("https://vtmf.veevavault.com/ui/#doc_info/28282105/1/0", "VTMF-22687318")</f>
        <v>VTMF-22687318</v>
      </c>
      <c r="G1857" s="3" t="inlineStr">
        <is>
          <t/>
        </is>
      </c>
      <c r="H1857" s="3" t="inlineStr">
        <is>
          <t>Kristina Ruzinska</t>
        </is>
      </c>
      <c r="I1857" s="3" t="inlineStr">
        <is>
          <t>Kristina Ruzinska</t>
        </is>
      </c>
      <c r="J1857" s="4" t="n">
        <v>45700.60047453704</v>
      </c>
      <c r="K1857" s="5" t="n">
        <v>45700.0</v>
      </c>
      <c r="L1857" s="5" t="inlineStr">
        <is>
          <t/>
        </is>
      </c>
      <c r="M1857" s="3" t="inlineStr">
        <is>
          <t>Approved</t>
        </is>
      </c>
      <c r="N1857" s="3" t="inlineStr">
        <is>
          <t/>
        </is>
      </c>
      <c r="O1857" s="3" t="inlineStr">
        <is>
          <t>42847922MDD3003</t>
        </is>
      </c>
    </row>
    <row r="1858">
      <c r="A1858" s="2" t="str">
        <f>HYPERLINK("https://vtmf.veevavault.com/ui/#doc_info/29015637/3/0", "NE - 42847922MDD3003---Working Documents (v3.0)")</f>
        <v>NE - 42847922MDD3003---Working Documents (v3.0)</v>
      </c>
      <c r="B1858" s="3" t="inlineStr">
        <is>
          <t>Non Essential</t>
        </is>
      </c>
      <c r="C1858" s="3" t="inlineStr">
        <is>
          <t>Working Documents</t>
        </is>
      </c>
      <c r="D1858" s="3" t="inlineStr">
        <is>
          <t/>
        </is>
      </c>
      <c r="E1858" s="3" t="inlineStr">
        <is>
          <t>MDD3003 FDA 1572 16May2025 - DREEM Included With Sterling.</t>
        </is>
      </c>
      <c r="F1858" s="2" t="str">
        <f>HYPERLINK("https://vtmf.veevavault.com/ui/#doc_info/29015637/3/0", "VTMF-23311244")</f>
        <v>VTMF-23311244</v>
      </c>
      <c r="G1858" s="3" t="inlineStr">
        <is>
          <t/>
        </is>
      </c>
      <c r="H1858" s="3" t="inlineStr">
        <is>
          <t>System</t>
        </is>
      </c>
      <c r="I1858" s="3" t="inlineStr">
        <is>
          <t>Gina Stefanelli</t>
        </is>
      </c>
      <c r="J1858" s="4" t="n">
        <v>45796.57777777778</v>
      </c>
      <c r="K1858" s="5" t="n">
        <v>45796.0</v>
      </c>
      <c r="L1858" s="5" t="inlineStr">
        <is>
          <t/>
        </is>
      </c>
      <c r="M1858" s="3" t="inlineStr">
        <is>
          <t>Approved</t>
        </is>
      </c>
      <c r="N1858" s="3" t="inlineStr">
        <is>
          <t/>
        </is>
      </c>
      <c r="O1858" s="3" t="inlineStr">
        <is>
          <t>42847922MDD3003</t>
        </is>
      </c>
    </row>
    <row r="1859">
      <c r="A1859" s="2" t="str">
        <f>HYPERLINK("https://vtmf.veevavault.com/ui/#doc_info/30810917/1/0", "Optional_42847922MDD3003 Clario ECG Training v2.0_30Oct2025 (v1.0)")</f>
        <v>Optional_42847922MDD3003 Clario ECG Training v2.0_30Oct2025 (v1.0)</v>
      </c>
      <c r="B1859" s="3" t="inlineStr">
        <is>
          <t>Trial Management</t>
        </is>
      </c>
      <c r="C1859" s="3" t="inlineStr">
        <is>
          <t>Trial Oversight</t>
        </is>
      </c>
      <c r="D1859" s="3" t="inlineStr">
        <is>
          <t>Study Specific Training Material</t>
        </is>
      </c>
      <c r="E1859" s="3" t="inlineStr">
        <is>
          <t>42847922MDD3003 Clario ECG Training v2.0_30Oct2025</t>
        </is>
      </c>
      <c r="F1859" s="2" t="str">
        <f>HYPERLINK("https://vtmf.veevavault.com/ui/#doc_info/30810917/1/0", "VTMF-24828680")</f>
        <v>VTMF-24828680</v>
      </c>
      <c r="G1859" s="3" t="inlineStr">
        <is>
          <t/>
        </is>
      </c>
      <c r="H1859" s="3" t="inlineStr">
        <is>
          <t>veeva migration.clinical</t>
        </is>
      </c>
      <c r="I1859" s="3" t="inlineStr">
        <is>
          <t>Jen Goodridge</t>
        </is>
      </c>
      <c r="J1859" s="4" t="n">
        <v>46042.65723379629</v>
      </c>
      <c r="K1859" s="5" t="n">
        <v>46042.0</v>
      </c>
      <c r="L1859" s="5" t="n">
        <v>45960.0</v>
      </c>
      <c r="M1859" s="3" t="inlineStr">
        <is>
          <t>Approved</t>
        </is>
      </c>
      <c r="N1859" s="3" t="inlineStr">
        <is>
          <t/>
        </is>
      </c>
      <c r="O1859" s="3" t="inlineStr">
        <is>
          <t>42847922MDD3003</t>
        </is>
      </c>
    </row>
    <row r="1860">
      <c r="A1860" s="2" t="str">
        <f>HYPERLINK("https://vtmf.veevavault.com/ui/#doc_info/26556508/1/0", "Optional_42847922MDD3003 Clario Electronic Clinical Outcome Assessment (eCOA) Training v1.0_11Jun202 (v1.0)")</f>
        <v>Optional_42847922MDD3003 Clario Electronic Clinical Outcome Assessment (eCOA) Training v1.0_11Jun202 (v1.0)</v>
      </c>
      <c r="B1860" s="3" t="inlineStr">
        <is>
          <t>Trial Management</t>
        </is>
      </c>
      <c r="C1860" s="3" t="inlineStr">
        <is>
          <t>Trial Oversight</t>
        </is>
      </c>
      <c r="D1860" s="3" t="inlineStr">
        <is>
          <t>Study Specific Training Material</t>
        </is>
      </c>
      <c r="E1860" s="3" t="inlineStr">
        <is>
          <t>42847922MDD3003 Clario Electronic Clinical Outcome Assessment (eCOA) Training v1.0_11Jun2024</t>
        </is>
      </c>
      <c r="F1860" s="2" t="str">
        <f>HYPERLINK("https://vtmf.veevavault.com/ui/#doc_info/26556508/1/0", "VTMF-21267632")</f>
        <v>VTMF-21267632</v>
      </c>
      <c r="G1860" s="3" t="inlineStr">
        <is>
          <t/>
        </is>
      </c>
      <c r="H1860" s="3" t="inlineStr">
        <is>
          <t>veeva migration.clinical</t>
        </is>
      </c>
      <c r="I1860" s="3" t="inlineStr">
        <is>
          <t>Jen Goodridge</t>
        </is>
      </c>
      <c r="J1860" s="4" t="n">
        <v>45462.89480324074</v>
      </c>
      <c r="K1860" s="5" t="n">
        <v>45462.0</v>
      </c>
      <c r="L1860" s="5" t="n">
        <v>45454.0</v>
      </c>
      <c r="M1860" s="3" t="inlineStr">
        <is>
          <t>Approved</t>
        </is>
      </c>
      <c r="N1860" s="3" t="inlineStr">
        <is>
          <t/>
        </is>
      </c>
      <c r="O1860" s="3" t="inlineStr">
        <is>
          <t>42847922MDD3003</t>
        </is>
      </c>
    </row>
    <row r="1861">
      <c r="A1861" s="2" t="str">
        <f>HYPERLINK("https://vtmf.veevavault.com/ui/#doc_info/30810915/1/0", "Optional_42847922MDD3003 Data Management eCRF Training v2.0_20Jan2026 (v1.0)")</f>
        <v>Optional_42847922MDD3003 Data Management eCRF Training v2.0_20Jan2026 (v1.0)</v>
      </c>
      <c r="B1861" s="3" t="inlineStr">
        <is>
          <t>Trial Management</t>
        </is>
      </c>
      <c r="C1861" s="3" t="inlineStr">
        <is>
          <t>Trial Oversight</t>
        </is>
      </c>
      <c r="D1861" s="3" t="inlineStr">
        <is>
          <t>Study Specific Training Material</t>
        </is>
      </c>
      <c r="E1861" s="3" t="inlineStr">
        <is>
          <t>42847922MDD3003 Data Management eCRF Training v2.0_20Jan2026</t>
        </is>
      </c>
      <c r="F1861" s="2" t="str">
        <f>HYPERLINK("https://vtmf.veevavault.com/ui/#doc_info/30810915/1/0", "VTMF-24828678")</f>
        <v>VTMF-24828678</v>
      </c>
      <c r="G1861" s="3" t="inlineStr">
        <is>
          <t/>
        </is>
      </c>
      <c r="H1861" s="3" t="inlineStr">
        <is>
          <t>veeva migration.clinical</t>
        </is>
      </c>
      <c r="I1861" s="3" t="inlineStr">
        <is>
          <t>Jen Goodridge</t>
        </is>
      </c>
      <c r="J1861" s="4" t="n">
        <v>46042.65723379629</v>
      </c>
      <c r="K1861" s="5" t="n">
        <v>46042.0</v>
      </c>
      <c r="L1861" s="5" t="n">
        <v>46042.0</v>
      </c>
      <c r="M1861" s="3" t="inlineStr">
        <is>
          <t>Approved</t>
        </is>
      </c>
      <c r="N1861" s="3" t="inlineStr">
        <is>
          <t/>
        </is>
      </c>
      <c r="O1861" s="3" t="inlineStr">
        <is>
          <t>42847922MDD3003</t>
        </is>
      </c>
    </row>
    <row r="1862">
      <c r="A1862" s="2" t="str">
        <f>HYPERLINK("https://vtmf.veevavault.com/ui/#doc_info/26938667/2/0", "Optional_C-SSRS Practice Scenarios (SCORM)_v1.0 (v2.0)")</f>
        <v>Optional_C-SSRS Practice Scenarios (SCORM)_v1.0 (v2.0)</v>
      </c>
      <c r="B1862" s="3" t="inlineStr">
        <is>
          <t>Trial Management</t>
        </is>
      </c>
      <c r="C1862" s="3" t="inlineStr">
        <is>
          <t>Trial Oversight</t>
        </is>
      </c>
      <c r="D1862" s="3" t="inlineStr">
        <is>
          <t>Study Specific Training Material</t>
        </is>
      </c>
      <c r="E1862" s="3" t="inlineStr">
        <is>
          <t>C-SSRS Practice Scenarios (SCORM)_v1.0</t>
        </is>
      </c>
      <c r="F1862" s="2" t="str">
        <f>HYPERLINK("https://vtmf.veevavault.com/ui/#doc_info/26938667/2/0", "VTMF-21594580")</f>
        <v>VTMF-21594580</v>
      </c>
      <c r="G1862" s="3" t="inlineStr">
        <is>
          <t/>
        </is>
      </c>
      <c r="H1862" s="3" t="inlineStr">
        <is>
          <t>System</t>
        </is>
      </c>
      <c r="I1862" s="3" t="inlineStr">
        <is>
          <t>Jen Goodridge</t>
        </is>
      </c>
      <c r="J1862" s="4" t="n">
        <v>46163.71821759259</v>
      </c>
      <c r="K1862" s="5" t="n">
        <v>46163.0</v>
      </c>
      <c r="L1862" s="5" t="n">
        <v>45526.0</v>
      </c>
      <c r="M1862" s="3" t="inlineStr">
        <is>
          <t>Approved</t>
        </is>
      </c>
      <c r="N1862" s="3" t="inlineStr">
        <is>
          <t/>
        </is>
      </c>
      <c r="O1862" s="3" t="inlineStr">
        <is>
          <t>42847922MDD3003, 54135419SUI4004, 67953964MDD3005, 67953964MDD3007, 67953964SCH1001, 77242113CRD3001, 77242113PSO3006, 77242113UCO3001, 88545223PSA2001, CNTO1959ISD3001</t>
        </is>
      </c>
    </row>
    <row r="1863">
      <c r="A1863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863" s="3" t="inlineStr">
        <is>
          <t>Trial Management</t>
        </is>
      </c>
      <c r="C1863" s="3" t="inlineStr">
        <is>
          <t>Trial Oversight</t>
        </is>
      </c>
      <c r="D1863" s="3" t="inlineStr">
        <is>
          <t>Study Specific Training Material</t>
        </is>
      </c>
      <c r="E1863" s="3" t="inlineStr">
        <is>
          <t>Graphnet Instructions to Send a Safety Report v4.0_28Nov2025</t>
        </is>
      </c>
      <c r="F1863" s="2" t="str">
        <f>HYPERLINK("https://vtmf.veevavault.com/ui/#doc_info/30548382/1/0", "VTMF-24611929")</f>
        <v>VTMF-24611929</v>
      </c>
      <c r="G1863" s="3" t="inlineStr">
        <is>
          <t/>
        </is>
      </c>
      <c r="H1863" s="3" t="inlineStr">
        <is>
          <t>Tara Foltz</t>
        </is>
      </c>
      <c r="I1863" s="3" t="inlineStr">
        <is>
          <t>Jen Goodridge</t>
        </is>
      </c>
      <c r="J1863" s="4" t="n">
        <v>45996.79622685185</v>
      </c>
      <c r="K1863" s="5" t="n">
        <v>45996.0</v>
      </c>
      <c r="L1863" s="5" t="n">
        <v>45989.0</v>
      </c>
      <c r="M1863" s="3" t="inlineStr">
        <is>
          <t>Approved</t>
        </is>
      </c>
      <c r="N1863" s="3" t="inlineStr">
        <is>
          <t/>
        </is>
      </c>
      <c r="O1863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864">
      <c r="A1864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864" s="3" t="inlineStr">
        <is>
          <t>Trial Management</t>
        </is>
      </c>
      <c r="C1864" s="3" t="inlineStr">
        <is>
          <t>Trial Oversight</t>
        </is>
      </c>
      <c r="D1864" s="3" t="inlineStr">
        <is>
          <t>Study Specific Training Material</t>
        </is>
      </c>
      <c r="E1864" s="3" t="inlineStr">
        <is>
          <t>J&amp;J Electronic Inbound Safety Reporting-JEISR v1.0_02Jun2025</t>
        </is>
      </c>
      <c r="F1864" s="2" t="str">
        <f>HYPERLINK("https://vtmf.veevavault.com/ui/#doc_info/29245848/1/0", "VTMF-23507752")</f>
        <v>VTMF-23507752</v>
      </c>
      <c r="G1864" s="3" t="inlineStr">
        <is>
          <t/>
        </is>
      </c>
      <c r="H1864" s="3" t="inlineStr">
        <is>
          <t>System</t>
        </is>
      </c>
      <c r="I1864" s="3" t="inlineStr">
        <is>
          <t>Jen Goodridge</t>
        </is>
      </c>
      <c r="J1864" s="4" t="n">
        <v>45810.705196759256</v>
      </c>
      <c r="K1864" s="5" t="n">
        <v>45810.0</v>
      </c>
      <c r="L1864" s="5" t="n">
        <v>45810.0</v>
      </c>
      <c r="M1864" s="3" t="inlineStr">
        <is>
          <t>Approved</t>
        </is>
      </c>
      <c r="N1864" s="3" t="inlineStr">
        <is>
          <t/>
        </is>
      </c>
      <c r="O1864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865">
      <c r="A1865" s="2" t="str">
        <f>HYPERLINK("https://vtmf.veevavault.com/ui/#doc_info/22961095/1/0", "Optional_Labcorp General Information for Sites v2.0 (v1.0)")</f>
        <v>Optional_Labcorp General Information for Sites v2.0 (v1.0)</v>
      </c>
      <c r="B1865" s="3" t="inlineStr">
        <is>
          <t>Trial Management</t>
        </is>
      </c>
      <c r="C1865" s="3" t="inlineStr">
        <is>
          <t>Trial Oversight</t>
        </is>
      </c>
      <c r="D1865" s="3" t="inlineStr">
        <is>
          <t>Study Specific Training Material</t>
        </is>
      </c>
      <c r="E1865" s="3" t="inlineStr">
        <is>
          <t>Labcorp General Information for Sites v2.0</t>
        </is>
      </c>
      <c r="F1865" s="2" t="str">
        <f>HYPERLINK("https://vtmf.veevavault.com/ui/#doc_info/22961095/1/0", "VTMF-18128959")</f>
        <v>VTMF-18128959</v>
      </c>
      <c r="G1865" s="3" t="inlineStr">
        <is>
          <t/>
        </is>
      </c>
      <c r="H1865" s="3" t="inlineStr">
        <is>
          <t>System</t>
        </is>
      </c>
      <c r="I1865" s="3" t="inlineStr">
        <is>
          <t>Barbara Barniak</t>
        </is>
      </c>
      <c r="J1865" s="4" t="n">
        <v>44879.95291666667</v>
      </c>
      <c r="K1865" s="5" t="n">
        <v>44879.0</v>
      </c>
      <c r="L1865" s="5" t="n">
        <v>44862.0</v>
      </c>
      <c r="M1865" s="3" t="inlineStr">
        <is>
          <t>Approved</t>
        </is>
      </c>
      <c r="N1865" s="3" t="inlineStr">
        <is>
          <t/>
        </is>
      </c>
      <c r="O1865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866">
      <c r="A1866" s="2" t="str">
        <f>HYPERLINK("https://vtmf.veevavault.com/ui/#doc_info/24003222/1/0", "Optional_PRO Guidelines General Information to Sites version 2.0 (v1.0)")</f>
        <v>Optional_PRO Guidelines General Information to Sites version 2.0 (v1.0)</v>
      </c>
      <c r="B1866" s="3" t="inlineStr">
        <is>
          <t>Trial Management</t>
        </is>
      </c>
      <c r="C1866" s="3" t="inlineStr">
        <is>
          <t>Trial Oversight</t>
        </is>
      </c>
      <c r="D1866" s="3" t="inlineStr">
        <is>
          <t>Study Specific Training Material</t>
        </is>
      </c>
      <c r="E1866" s="3" t="inlineStr">
        <is>
          <t>PRO Guidelines General Information to Sites version 2.0</t>
        </is>
      </c>
      <c r="F1866" s="2" t="str">
        <f>HYPERLINK("https://vtmf.veevavault.com/ui/#doc_info/24003222/1/0", "VTMF-19030345")</f>
        <v>VTMF-19030345</v>
      </c>
      <c r="G1866" s="3" t="inlineStr">
        <is>
          <t/>
        </is>
      </c>
      <c r="H1866" s="3" t="inlineStr">
        <is>
          <t>veeva migration.clinical</t>
        </is>
      </c>
      <c r="I1866" s="3" t="inlineStr">
        <is>
          <t>Barbara Barniak</t>
        </is>
      </c>
      <c r="J1866" s="4" t="n">
        <v>45054.68278935185</v>
      </c>
      <c r="K1866" s="5" t="n">
        <v>45054.0</v>
      </c>
      <c r="L1866" s="5" t="n">
        <v>44994.0</v>
      </c>
      <c r="M1866" s="3" t="inlineStr">
        <is>
          <t>Approved</t>
        </is>
      </c>
      <c r="N1866" s="3" t="inlineStr">
        <is>
          <t/>
        </is>
      </c>
      <c r="O1866" s="3" t="inlineStr">
        <is>
          <t>17000139BLC3004, 42756493BLC1003, 42756493BLC3004, 42847922MDD3003, 54179060CLL4032, 56021927PCR4031, 61186372NSC2007, 64007957MMY3005, 64042056ALZ2001, 64407564MMY3002, 64407564MMY3009, 67953964MDD3007, 68006861PAH1003, 74765340RPG3002, 77242113PSO3001, 77242113PSO3002, 77242113PSO3003, 77242113PSO3004, 80202135EBF3001, 80202135FNAIT3001, 80202135FNAIT3003, 81201887NAP0001, CNTO1959CRD3008, CNTO1959PSO3017, NOPRODRPG0002</t>
        </is>
      </c>
    </row>
    <row r="1867">
      <c r="A1867" s="2" t="str">
        <f>HYPERLINK("https://vtmf.veevavault.com/ui/#doc_info/26556504/1/0", "Protocol_42847922MDD3003 Protocol Amendment 1 Training v1.0_30May2024 (v1.0)")</f>
        <v>Protocol_42847922MDD3003 Protocol Amendment 1 Training v1.0_30May2024 (v1.0)</v>
      </c>
      <c r="B1867" s="3" t="inlineStr">
        <is>
          <t>Trial Management</t>
        </is>
      </c>
      <c r="C1867" s="3" t="inlineStr">
        <is>
          <t>Trial Oversight</t>
        </is>
      </c>
      <c r="D1867" s="3" t="inlineStr">
        <is>
          <t>Study Specific Training Material</t>
        </is>
      </c>
      <c r="E1867" s="3" t="inlineStr">
        <is>
          <t>42847922MDD3003 Protocol Amendment 1 Training v1.0_30May2024</t>
        </is>
      </c>
      <c r="F1867" s="2" t="str">
        <f>HYPERLINK("https://vtmf.veevavault.com/ui/#doc_info/26556504/1/0", "VTMF-21267628")</f>
        <v>VTMF-21267628</v>
      </c>
      <c r="G1867" s="3" t="inlineStr">
        <is>
          <t/>
        </is>
      </c>
      <c r="H1867" s="3" t="inlineStr">
        <is>
          <t>Anthony Suarez (veeva.com)</t>
        </is>
      </c>
      <c r="I1867" s="3" t="inlineStr">
        <is>
          <t>Jen Goodridge</t>
        </is>
      </c>
      <c r="J1867" s="4" t="n">
        <v>45462.89480324074</v>
      </c>
      <c r="K1867" s="5" t="n">
        <v>45462.0</v>
      </c>
      <c r="L1867" s="5" t="n">
        <v>45442.0</v>
      </c>
      <c r="M1867" s="3" t="inlineStr">
        <is>
          <t>Approved</t>
        </is>
      </c>
      <c r="N1867" s="3" t="inlineStr">
        <is>
          <t/>
        </is>
      </c>
      <c r="O1867" s="3" t="inlineStr">
        <is>
          <t>42847922MDD3003</t>
        </is>
      </c>
    </row>
    <row r="1868">
      <c r="A1868" s="2" t="str">
        <f>HYPERLINK("https://vtmf.veevavault.com/ui/#doc_info/29622992/1/0", "Protocol_42847922MDD3003 Protocol Amendment 2 Training v3.0_02Jul2025 (v1.0)")</f>
        <v>Protocol_42847922MDD3003 Protocol Amendment 2 Training v3.0_02Jul2025 (v1.0)</v>
      </c>
      <c r="B1868" s="3" t="inlineStr">
        <is>
          <t>Trial Management</t>
        </is>
      </c>
      <c r="C1868" s="3" t="inlineStr">
        <is>
          <t>Trial Oversight</t>
        </is>
      </c>
      <c r="D1868" s="3" t="inlineStr">
        <is>
          <t>Study Specific Training Material</t>
        </is>
      </c>
      <c r="E1868" s="3" t="inlineStr">
        <is>
          <t>42847922MDD3003 Protocol Amendment 2 Training v3.0_02Jul2025</t>
        </is>
      </c>
      <c r="F1868" s="2" t="str">
        <f>HYPERLINK("https://vtmf.veevavault.com/ui/#doc_info/29622992/1/0", "VTMF-23829904")</f>
        <v>VTMF-23829904</v>
      </c>
      <c r="G1868" s="3" t="inlineStr">
        <is>
          <t/>
        </is>
      </c>
      <c r="H1868" s="3" t="inlineStr">
        <is>
          <t>Anthony Suarez (veeva.com)</t>
        </is>
      </c>
      <c r="I1868" s="3" t="inlineStr">
        <is>
          <t>Jen Goodridge</t>
        </is>
      </c>
      <c r="J1868" s="4" t="n">
        <v>45862.71732638889</v>
      </c>
      <c r="K1868" s="5" t="n">
        <v>45862.0</v>
      </c>
      <c r="L1868" s="5" t="n">
        <v>45840.0</v>
      </c>
      <c r="M1868" s="3" t="inlineStr">
        <is>
          <t>Approved</t>
        </is>
      </c>
      <c r="N1868" s="3" t="inlineStr">
        <is>
          <t/>
        </is>
      </c>
      <c r="O1868" s="3" t="inlineStr">
        <is>
          <t>42847922MDD3003</t>
        </is>
      </c>
    </row>
    <row r="1869">
      <c r="A1869" s="2" t="str">
        <f>HYPERLINK("https://vtmf.veevavault.com/ui/#doc_info/30810914/1/0", "Protocol_42847922MDD3003 Protocol Amendment 2 Training v4.0_05Jan2026 (v1.0)")</f>
        <v>Protocol_42847922MDD3003 Protocol Amendment 2 Training v4.0_05Jan2026 (v1.0)</v>
      </c>
      <c r="B1869" s="3" t="inlineStr">
        <is>
          <t>Trial Management</t>
        </is>
      </c>
      <c r="C1869" s="3" t="inlineStr">
        <is>
          <t>Trial Oversight</t>
        </is>
      </c>
      <c r="D1869" s="3" t="inlineStr">
        <is>
          <t>Study Specific Training Material</t>
        </is>
      </c>
      <c r="E1869" s="3" t="inlineStr">
        <is>
          <t>42847922MDD3003 Protocol Amendment 2 Training v4.0_05Jan2026</t>
        </is>
      </c>
      <c r="F1869" s="2" t="str">
        <f>HYPERLINK("https://vtmf.veevavault.com/ui/#doc_info/30810914/1/0", "VTMF-24828677")</f>
        <v>VTMF-24828677</v>
      </c>
      <c r="G1869" s="3" t="inlineStr">
        <is>
          <t/>
        </is>
      </c>
      <c r="H1869" s="3" t="inlineStr">
        <is>
          <t>veeva migration.clinical</t>
        </is>
      </c>
      <c r="I1869" s="3" t="inlineStr">
        <is>
          <t>Jen Goodridge</t>
        </is>
      </c>
      <c r="J1869" s="4" t="n">
        <v>46042.65723379629</v>
      </c>
      <c r="K1869" s="5" t="n">
        <v>46042.0</v>
      </c>
      <c r="L1869" s="5" t="n">
        <v>46027.0</v>
      </c>
      <c r="M1869" s="3" t="inlineStr">
        <is>
          <t>Approved</t>
        </is>
      </c>
      <c r="N1869" s="3" t="inlineStr">
        <is>
          <t/>
        </is>
      </c>
      <c r="O1869" s="3" t="inlineStr">
        <is>
          <t>42847922MDD3003</t>
        </is>
      </c>
    </row>
    <row r="1870">
      <c r="A1870" s="2" t="str">
        <f>HYPERLINK("https://vtmf.veevavault.com/ui/#doc_info/26938655/1/0", "Rater_C-SSRS Practice Scenarios_v1.0 (v1.0)")</f>
        <v>Rater_C-SSRS Practice Scenarios_v1.0 (v1.0)</v>
      </c>
      <c r="B1870" s="3" t="inlineStr">
        <is>
          <t>Trial Management</t>
        </is>
      </c>
      <c r="C1870" s="3" t="inlineStr">
        <is>
          <t>Trial Oversight</t>
        </is>
      </c>
      <c r="D1870" s="3" t="inlineStr">
        <is>
          <t>Study Specific Training Material</t>
        </is>
      </c>
      <c r="E1870" s="3" t="inlineStr">
        <is>
          <t>C-SSRS Practice Scenarios_v1.0</t>
        </is>
      </c>
      <c r="F1870" s="2" t="str">
        <f>HYPERLINK("https://vtmf.veevavault.com/ui/#doc_info/26938655/1/0", "VTMF-21594554")</f>
        <v>VTMF-21594554</v>
      </c>
      <c r="G1870" s="3" t="inlineStr">
        <is>
          <t/>
        </is>
      </c>
      <c r="H1870" s="3" t="inlineStr">
        <is>
          <t>Kelly Losekamp</t>
        </is>
      </c>
      <c r="I1870" s="3" t="inlineStr">
        <is>
          <t>Molly Bear</t>
        </is>
      </c>
      <c r="J1870" s="4" t="n">
        <v>45526.91174768518</v>
      </c>
      <c r="K1870" s="5" t="n">
        <v>45526.0</v>
      </c>
      <c r="L1870" s="5" t="n">
        <v>45526.0</v>
      </c>
      <c r="M1870" s="3" t="inlineStr">
        <is>
          <t>Approved</t>
        </is>
      </c>
      <c r="N1870" s="3" t="inlineStr">
        <is>
          <t/>
        </is>
      </c>
      <c r="O1870" s="3" t="inlineStr">
        <is>
          <t>42847922MDD3003, 54135419SUI4004, 67953964MDD3005, 67953964MDD3007, 67953964SCH1001, 77242113CRD3001, 77242113PSO3006, 77242113UCO3001, 88545223PSA2001, CNTO1959ISD3001</t>
        </is>
      </c>
    </row>
    <row r="1871">
      <c r="A1871" s="2" t="str">
        <f>HYPERLINK("https://vtmf.veevavault.com/ui/#doc_info/26556507/1/0", "Site IP Procedures_42847922MDD3003 Site Investigational Product Procedures Manual (SIPPM) Training v (v1.0)")</f>
        <v>Site IP Procedures_42847922MDD3003 Site Investigational Product Procedures Manual (SIPPM) Training v (v1.0)</v>
      </c>
      <c r="B1871" s="3" t="inlineStr">
        <is>
          <t>Trial Management</t>
        </is>
      </c>
      <c r="C1871" s="3" t="inlineStr">
        <is>
          <t>Trial Oversight</t>
        </is>
      </c>
      <c r="D1871" s="3" t="inlineStr">
        <is>
          <t>Study Specific Training Material</t>
        </is>
      </c>
      <c r="E1871" s="3" t="inlineStr">
        <is>
          <t>42847922MDD3003 Site Investigational Product Procedures Manual (SIPPM) Training v1.0_19Jun2024</t>
        </is>
      </c>
      <c r="F1871" s="2" t="str">
        <f>HYPERLINK("https://vtmf.veevavault.com/ui/#doc_info/26556507/1/0", "VTMF-21267631")</f>
        <v>VTMF-21267631</v>
      </c>
      <c r="G1871" s="3" t="inlineStr">
        <is>
          <t/>
        </is>
      </c>
      <c r="H1871" s="3" t="inlineStr">
        <is>
          <t>Anthony Suarez (veeva.com)</t>
        </is>
      </c>
      <c r="I1871" s="3" t="inlineStr">
        <is>
          <t>Jen Goodridge</t>
        </is>
      </c>
      <c r="J1871" s="4" t="n">
        <v>45462.89480324074</v>
      </c>
      <c r="K1871" s="5" t="n">
        <v>45462.0</v>
      </c>
      <c r="L1871" s="5" t="n">
        <v>45462.0</v>
      </c>
      <c r="M1871" s="3" t="inlineStr">
        <is>
          <t>Approved</t>
        </is>
      </c>
      <c r="N1871" s="3" t="inlineStr">
        <is>
          <t/>
        </is>
      </c>
      <c r="O1871" s="3" t="inlineStr">
        <is>
          <t>42847922MDD3003</t>
        </is>
      </c>
    </row>
    <row r="1872">
      <c r="A1872" s="2" t="str">
        <f>HYPERLINK("https://vtmf.veevavault.com/ui/#doc_info/30810916/1/0", "Site IP Procedures_42847922MDD3003 Site Investigational Product Procedures Manual (SIPPM) Training v (v1.0)")</f>
        <v>Site IP Procedures_42847922MDD3003 Site Investigational Product Procedures Manual (SIPPM) Training v (v1.0)</v>
      </c>
      <c r="B1872" s="3" t="inlineStr">
        <is>
          <t>Trial Management</t>
        </is>
      </c>
      <c r="C1872" s="3" t="inlineStr">
        <is>
          <t>Trial Oversight</t>
        </is>
      </c>
      <c r="D1872" s="3" t="inlineStr">
        <is>
          <t>Study Specific Training Material</t>
        </is>
      </c>
      <c r="E1872" s="3" t="inlineStr">
        <is>
          <t>42847922MDD3003 Site Investigational Product Procedures Manual (SIPPM) Training v2.0_20Jan2026</t>
        </is>
      </c>
      <c r="F1872" s="2" t="str">
        <f>HYPERLINK("https://vtmf.veevavault.com/ui/#doc_info/30810916/1/0", "VTMF-24828679")</f>
        <v>VTMF-24828679</v>
      </c>
      <c r="G1872" s="3" t="inlineStr">
        <is>
          <t/>
        </is>
      </c>
      <c r="H1872" s="3" t="inlineStr">
        <is>
          <t>veeva migration.clinical</t>
        </is>
      </c>
      <c r="I1872" s="3" t="inlineStr">
        <is>
          <t>Jen Goodridge</t>
        </is>
      </c>
      <c r="J1872" s="4" t="n">
        <v>46042.65723379629</v>
      </c>
      <c r="K1872" s="5" t="n">
        <v>46042.0</v>
      </c>
      <c r="L1872" s="5" t="n">
        <v>46042.0</v>
      </c>
      <c r="M1872" s="3" t="inlineStr">
        <is>
          <t>Approved</t>
        </is>
      </c>
      <c r="N1872" s="3" t="inlineStr">
        <is>
          <t/>
        </is>
      </c>
      <c r="O1872" s="3" t="inlineStr">
        <is>
          <t>42847922MDD3003</t>
        </is>
      </c>
    </row>
    <row r="1873">
      <c r="A1873" s="2" t="str">
        <f>HYPERLINK("https://vtmf.veevavault.com/ui/#doc_info/29221249/1/1", "42847922MDD3003---Adjudication Package-20 Jan 2025 (v1.1)")</f>
        <v>42847922MDD3003---Adjudication Package-20 Jan 2025 (v1.1)</v>
      </c>
      <c r="B1873" s="3" t="inlineStr">
        <is>
          <t>Trial Management</t>
        </is>
      </c>
      <c r="C1873" s="3" t="inlineStr">
        <is>
          <t>Trial Committee</t>
        </is>
      </c>
      <c r="D1873" s="3" t="inlineStr">
        <is>
          <t>Adjudication Package</t>
        </is>
      </c>
      <c r="E1873" s="3" t="inlineStr">
        <is>
          <t>Roger S. McIntyre - RAC - CV - 42847922MDD3003 and 67953964MDD3005</t>
        </is>
      </c>
      <c r="F1873" s="2" t="str">
        <f>HYPERLINK("https://vtmf.veevavault.com/ui/#doc_info/29221249/1/1", "VTMF-23486563")</f>
        <v>VTMF-23486563</v>
      </c>
      <c r="G1873" s="3" t="inlineStr">
        <is>
          <t/>
        </is>
      </c>
      <c r="H1873" s="3" t="inlineStr">
        <is>
          <t>System</t>
        </is>
      </c>
      <c r="I1873" s="3" t="inlineStr">
        <is>
          <t>Teresa Wen</t>
        </is>
      </c>
      <c r="J1873" s="4" t="n">
        <v>46162.88899305555</v>
      </c>
      <c r="K1873" s="5" t="inlineStr">
        <is>
          <t/>
        </is>
      </c>
      <c r="L1873" s="5" t="n">
        <v>45677.0</v>
      </c>
      <c r="M1873" s="3" t="inlineStr">
        <is>
          <t>Draft</t>
        </is>
      </c>
      <c r="N1873" s="3" t="inlineStr">
        <is>
          <t>Not associated to a milestone</t>
        </is>
      </c>
      <c r="O1873" s="3" t="inlineStr">
        <is>
          <t>42847922MDD3003, 67953964MDD3005</t>
        </is>
      </c>
    </row>
    <row r="1874">
      <c r="A1874" s="2" t="str">
        <f>HYPERLINK("https://vtmf.veevavault.com/ui/#doc_info/29221125/1/1", "42847922MDD3003---Adjudication Package-29 Jan 2025 (v1.1)")</f>
        <v>42847922MDD3003---Adjudication Package-29 Jan 2025 (v1.1)</v>
      </c>
      <c r="B1874" s="3" t="inlineStr">
        <is>
          <t>Trial Management</t>
        </is>
      </c>
      <c r="C1874" s="3" t="inlineStr">
        <is>
          <t>Trial Committee</t>
        </is>
      </c>
      <c r="D1874" s="3" t="inlineStr">
        <is>
          <t>Adjudication Package</t>
        </is>
      </c>
      <c r="E1874" s="3" t="inlineStr">
        <is>
          <t>Roger S. McIntyre - RAC - Conflict of Interest Form - 42847922MDD3003 and 67953964MDD3005</t>
        </is>
      </c>
      <c r="F1874" s="2" t="str">
        <f>HYPERLINK("https://vtmf.veevavault.com/ui/#doc_info/29221125/1/1", "VTMF-23486498")</f>
        <v>VTMF-23486498</v>
      </c>
      <c r="G1874" s="3" t="inlineStr">
        <is>
          <t/>
        </is>
      </c>
      <c r="H1874" s="3" t="inlineStr">
        <is>
          <t>System</t>
        </is>
      </c>
      <c r="I1874" s="3" t="inlineStr">
        <is>
          <t>Teresa Wen</t>
        </is>
      </c>
      <c r="J1874" s="4" t="n">
        <v>46162.88799768518</v>
      </c>
      <c r="K1874" s="5" t="inlineStr">
        <is>
          <t/>
        </is>
      </c>
      <c r="L1874" s="5" t="n">
        <v>45686.0</v>
      </c>
      <c r="M1874" s="3" t="inlineStr">
        <is>
          <t>Draft</t>
        </is>
      </c>
      <c r="N1874" s="3" t="inlineStr">
        <is>
          <t>Not associated to a milestone</t>
        </is>
      </c>
      <c r="O1874" s="3" t="inlineStr">
        <is>
          <t>42847922MDD3003, 67953964MDD3005</t>
        </is>
      </c>
    </row>
    <row r="1875">
      <c r="A1875" s="2" t="str">
        <f>HYPERLINK("https://vtmf.veevavault.com/ui/#doc_info/31846947/0/1", "42847922MDD3003---File Note-24 Apr 2026 (v0.1)")</f>
        <v>42847922MDD3003---File Note-24 Apr 2026 (v0.1)</v>
      </c>
      <c r="B1875" s="3" t="inlineStr">
        <is>
          <t>Data Management</t>
        </is>
      </c>
      <c r="C1875" s="3" t="inlineStr">
        <is>
          <t>General</t>
        </is>
      </c>
      <c r="D1875" s="3" t="inlineStr">
        <is>
          <t>File Note</t>
        </is>
      </c>
      <c r="E1875" s="3" t="inlineStr">
        <is>
          <t>42847922MDD3003---File Note-20 Apr 2026</t>
        </is>
      </c>
      <c r="F1875" s="2" t="str">
        <f>HYPERLINK("https://vtmf.veevavault.com/ui/#doc_info/31846947/0/1", "VTMF-25708753")</f>
        <v>VTMF-25708753</v>
      </c>
      <c r="G1875" s="3" t="inlineStr">
        <is>
          <t/>
        </is>
      </c>
      <c r="H1875" s="3" t="inlineStr">
        <is>
          <t>Heather Huntley</t>
        </is>
      </c>
      <c r="I1875" s="3" t="inlineStr">
        <is>
          <t>Heather Huntley</t>
        </is>
      </c>
      <c r="J1875" s="4" t="n">
        <v>46182.97667824074</v>
      </c>
      <c r="K1875" s="5" t="inlineStr">
        <is>
          <t/>
        </is>
      </c>
      <c r="L1875" s="5" t="n">
        <v>46136.0</v>
      </c>
      <c r="M1875" s="3" t="inlineStr">
        <is>
          <t>Draft</t>
        </is>
      </c>
      <c r="N1875" s="3" t="inlineStr">
        <is>
          <t>Country Close, Site Close, Study Close</t>
        </is>
      </c>
      <c r="O1875" s="3" t="inlineStr">
        <is>
          <t>42847922MDD3003</t>
        </is>
      </c>
    </row>
    <row r="1876">
      <c r="A1876" s="2" t="str">
        <f>HYPERLINK("https://vtmf.veevavault.com/ui/#doc_info/31771678/0/1", "42847922MDD3003---Major Protocol Deviation Definition Criteria-28 May 2026 (v0.1)")</f>
        <v>42847922MDD3003---Major Protocol Deviation Definition Criteria-28 May 2026 (v0.1)</v>
      </c>
      <c r="B1876" s="3" t="inlineStr">
        <is>
          <t>Statistics</t>
        </is>
      </c>
      <c r="C1876" s="3" t="inlineStr">
        <is>
          <t>Analysis</t>
        </is>
      </c>
      <c r="D1876" s="3" t="inlineStr">
        <is>
          <t>Major Protocol Deviation Definition Criteria</t>
        </is>
      </c>
      <c r="E1876" s="3" t="inlineStr">
        <is>
          <t>MDD3003_MPDs for lock Part 1_28May2026</t>
        </is>
      </c>
      <c r="F1876" s="2" t="str">
        <f>HYPERLINK("https://vtmf.veevavault.com/ui/#doc_info/31771678/0/1", "VTMF-25644781")</f>
        <v>VTMF-25644781</v>
      </c>
      <c r="G1876" s="3" t="inlineStr">
        <is>
          <t/>
        </is>
      </c>
      <c r="H1876" s="3" t="inlineStr">
        <is>
          <t>System</t>
        </is>
      </c>
      <c r="I1876" s="3" t="inlineStr">
        <is>
          <t>JAMES SHARP</t>
        </is>
      </c>
      <c r="J1876" s="4" t="n">
        <v>46171.02940972222</v>
      </c>
      <c r="K1876" s="5" t="inlineStr">
        <is>
          <t/>
        </is>
      </c>
      <c r="L1876" s="5" t="n">
        <v>46170.0</v>
      </c>
      <c r="M1876" s="3" t="inlineStr">
        <is>
          <t>Draft</t>
        </is>
      </c>
      <c r="N1876" s="3" t="inlineStr">
        <is>
          <t>Study Start</t>
        </is>
      </c>
      <c r="O1876" s="3" t="inlineStr">
        <is>
          <t>42847922MDD3003</t>
        </is>
      </c>
    </row>
    <row r="1877">
      <c r="A1877" s="2" t="str">
        <f>HYPERLINK("https://vtmf.veevavault.com/ui/#doc_info/27348309/0/1", "NE - 42847922MDD3003--- RM-CM (v0.1)")</f>
        <v>NE - 42847922MDD3003--- RM-CM (v0.1)</v>
      </c>
      <c r="B1877" s="3" t="inlineStr">
        <is>
          <t>Non Essential</t>
        </is>
      </c>
      <c r="C1877" s="3" t="inlineStr">
        <is>
          <t>RM-CM</t>
        </is>
      </c>
      <c r="D1877" s="3" t="inlineStr">
        <is>
          <t/>
        </is>
      </c>
      <c r="E1877" s="3" t="inlineStr">
        <is>
          <t>42847922MDD3003_SSR Details Table</t>
        </is>
      </c>
      <c r="F1877" s="2" t="str">
        <f>HYPERLINK("https://vtmf.veevavault.com/ui/#doc_info/27348309/0/1", "VTMF-21938204")</f>
        <v>VTMF-21938204</v>
      </c>
      <c r="G1877" s="3" t="inlineStr">
        <is>
          <t/>
        </is>
      </c>
      <c r="H1877" s="3" t="inlineStr">
        <is>
          <t>Sara Aguilar</t>
        </is>
      </c>
      <c r="I1877" s="3" t="inlineStr">
        <is>
          <t>Sara Aguilar</t>
        </is>
      </c>
      <c r="J1877" s="4" t="n">
        <v>45593.631064814814</v>
      </c>
      <c r="K1877" s="5" t="inlineStr">
        <is>
          <t/>
        </is>
      </c>
      <c r="L1877" s="5" t="inlineStr">
        <is>
          <t/>
        </is>
      </c>
      <c r="M1877" s="3" t="inlineStr">
        <is>
          <t>Draft</t>
        </is>
      </c>
      <c r="N1877" s="3" t="inlineStr">
        <is>
          <t/>
        </is>
      </c>
      <c r="O1877" s="3" t="inlineStr">
        <is>
          <t>42847922MDD3003</t>
        </is>
      </c>
    </row>
    <row r="1878">
      <c r="A1878" s="2" t="str">
        <f>HYPERLINK("https://vtmf.veevavault.com/ui/#doc_info/25134365/0/1", "NE - 42847922MDD3003---Investigator Meetings (v0.1)")</f>
        <v>NE - 42847922MDD3003---Investigator Meetings (v0.1)</v>
      </c>
      <c r="B1878" s="3" t="inlineStr">
        <is>
          <t>Non Essential</t>
        </is>
      </c>
      <c r="C1878" s="3" t="inlineStr">
        <is>
          <t>Meeting Activities and Related Documents</t>
        </is>
      </c>
      <c r="D1878" s="3" t="inlineStr">
        <is>
          <t>Investigator Meetings</t>
        </is>
      </c>
      <c r="E1878" s="3" t="inlineStr">
        <is>
          <t>42847922MDD3003 / 67953964MDD3005_Country and Site Selection KOM_07-Nov-2023</t>
        </is>
      </c>
      <c r="F1878" s="2" t="str">
        <f>HYPERLINK("https://vtmf.veevavault.com/ui/#doc_info/25134365/0/1", "VTMF-20020747")</f>
        <v>VTMF-20020747</v>
      </c>
      <c r="G1878" s="3" t="inlineStr">
        <is>
          <t/>
        </is>
      </c>
      <c r="H1878" s="3" t="inlineStr">
        <is>
          <t>Debhora Garcia</t>
        </is>
      </c>
      <c r="I1878" s="3" t="inlineStr">
        <is>
          <t>Arturo Munguia</t>
        </is>
      </c>
      <c r="J1878" s="4" t="n">
        <v>45238.99091435185</v>
      </c>
      <c r="K1878" s="5" t="inlineStr">
        <is>
          <t/>
        </is>
      </c>
      <c r="L1878" s="5" t="inlineStr">
        <is>
          <t/>
        </is>
      </c>
      <c r="M1878" s="3" t="inlineStr">
        <is>
          <t>Draft</t>
        </is>
      </c>
      <c r="N1878" s="3" t="inlineStr">
        <is>
          <t/>
        </is>
      </c>
      <c r="O1878" s="3" t="inlineStr">
        <is>
          <t>42847922MDD3003, 67953964MDD3005</t>
        </is>
      </c>
    </row>
    <row r="1879">
      <c r="A1879" s="2" t="str">
        <f>HYPERLINK("https://vtmf.veevavault.com/ui/#doc_info/25325235/0/1", "NE - 42847922MDD3003---Investigator Meetings (v0.1)")</f>
        <v>NE - 42847922MDD3003---Investigator Meetings (v0.1)</v>
      </c>
      <c r="B1879" s="3" t="inlineStr">
        <is>
          <t>Non Essential</t>
        </is>
      </c>
      <c r="C1879" s="3" t="inlineStr">
        <is>
          <t>Meeting Activities and Related Documents</t>
        </is>
      </c>
      <c r="D1879" s="3" t="inlineStr">
        <is>
          <t>Investigator Meetings</t>
        </is>
      </c>
      <c r="E1879" s="3" t="inlineStr">
        <is>
          <t>42847922MDD3003_ 67953964MDD3005_Country and Site Selection_RSU Study Team Meeting</t>
        </is>
      </c>
      <c r="F1879" s="2" t="str">
        <f>HYPERLINK("https://vtmf.veevavault.com/ui/#doc_info/25325235/0/1", "VTMF-20187309")</f>
        <v>VTMF-20187309</v>
      </c>
      <c r="G1879" s="3" t="inlineStr">
        <is>
          <t/>
        </is>
      </c>
      <c r="H1879" s="3" t="inlineStr">
        <is>
          <t>Debhora Garcia</t>
        </is>
      </c>
      <c r="I1879" s="3" t="inlineStr">
        <is>
          <t>Debhora Garcia</t>
        </is>
      </c>
      <c r="J1879" s="4" t="n">
        <v>45272.028032407405</v>
      </c>
      <c r="K1879" s="5" t="inlineStr">
        <is>
          <t/>
        </is>
      </c>
      <c r="L1879" s="5" t="inlineStr">
        <is>
          <t/>
        </is>
      </c>
      <c r="M1879" s="3" t="inlineStr">
        <is>
          <t>Draft</t>
        </is>
      </c>
      <c r="N1879" s="3" t="inlineStr">
        <is>
          <t/>
        </is>
      </c>
      <c r="O1879" s="3" t="inlineStr">
        <is>
          <t>42847922MDD3003, 67953964MDD3005</t>
        </is>
      </c>
    </row>
    <row r="1880">
      <c r="A1880" s="2" t="str">
        <f>HYPERLINK("https://vtmf.veevavault.com/ui/#doc_info/25340742/0/14", "NE - 42847922MDD3003---Investigator Meetings (v0.14)")</f>
        <v>NE - 42847922MDD3003---Investigator Meetings (v0.14)</v>
      </c>
      <c r="B1880" s="3" t="inlineStr">
        <is>
          <t>Non Essential</t>
        </is>
      </c>
      <c r="C1880" s="3" t="inlineStr">
        <is>
          <t>Meeting Activities and Related Documents</t>
        </is>
      </c>
      <c r="D1880" s="3" t="inlineStr">
        <is>
          <t>Investigator Meetings</t>
        </is>
      </c>
      <c r="E1880" s="3" t="inlineStr">
        <is>
          <t>MDD studies_RSU OT</t>
        </is>
      </c>
      <c r="F1880" s="2" t="str">
        <f>HYPERLINK("https://vtmf.veevavault.com/ui/#doc_info/25340742/0/14", "VTMF-20200828")</f>
        <v>VTMF-20200828</v>
      </c>
      <c r="G1880" s="3" t="inlineStr">
        <is>
          <t/>
        </is>
      </c>
      <c r="H1880" s="3" t="inlineStr">
        <is>
          <t>Debhora Garcia</t>
        </is>
      </c>
      <c r="I1880" s="3" t="inlineStr">
        <is>
          <t>Debhora Garcia</t>
        </is>
      </c>
      <c r="J1880" s="4" t="n">
        <v>45372.79064814815</v>
      </c>
      <c r="K1880" s="5" t="inlineStr">
        <is>
          <t/>
        </is>
      </c>
      <c r="L1880" s="5" t="inlineStr">
        <is>
          <t/>
        </is>
      </c>
      <c r="M1880" s="3" t="inlineStr">
        <is>
          <t>Draft</t>
        </is>
      </c>
      <c r="N1880" s="3" t="inlineStr">
        <is>
          <t/>
        </is>
      </c>
      <c r="O1880" s="3" t="inlineStr">
        <is>
          <t>42847922MDD3003, 67953964MDD3005</t>
        </is>
      </c>
    </row>
    <row r="1881">
      <c r="A1881" s="2" t="str">
        <f>HYPERLINK("https://vtmf.veevavault.com/ui/#doc_info/25340757/0/16", "NE - 42847922MDD3003---Investigator Meetings (v0.16)")</f>
        <v>NE - 42847922MDD3003---Investigator Meetings (v0.16)</v>
      </c>
      <c r="B1881" s="3" t="inlineStr">
        <is>
          <t>Non Essential</t>
        </is>
      </c>
      <c r="C1881" s="3" t="inlineStr">
        <is>
          <t>Meeting Activities and Related Documents</t>
        </is>
      </c>
      <c r="D1881" s="3" t="inlineStr">
        <is>
          <t>Investigator Meetings</t>
        </is>
      </c>
      <c r="E1881" s="3" t="inlineStr">
        <is>
          <t>MDD studies_AI log</t>
        </is>
      </c>
      <c r="F1881" s="2" t="str">
        <f>HYPERLINK("https://vtmf.veevavault.com/ui/#doc_info/25340757/0/16", "VTMF-20200841")</f>
        <v>VTMF-20200841</v>
      </c>
      <c r="G1881" s="3" t="inlineStr">
        <is>
          <t/>
        </is>
      </c>
      <c r="H1881" s="3" t="inlineStr">
        <is>
          <t>Arturo Munguia</t>
        </is>
      </c>
      <c r="I1881" s="3" t="inlineStr">
        <is>
          <t>Arturo Munguia</t>
        </is>
      </c>
      <c r="J1881" s="4" t="n">
        <v>45397.84394675926</v>
      </c>
      <c r="K1881" s="5" t="inlineStr">
        <is>
          <t/>
        </is>
      </c>
      <c r="L1881" s="5" t="inlineStr">
        <is>
          <t/>
        </is>
      </c>
      <c r="M1881" s="3" t="inlineStr">
        <is>
          <t>Draft</t>
        </is>
      </c>
      <c r="N1881" s="3" t="inlineStr">
        <is>
          <t/>
        </is>
      </c>
      <c r="O1881" s="3" t="inlineStr">
        <is>
          <t>42847922MDD3003, 67953964MDD3005</t>
        </is>
      </c>
    </row>
    <row r="1882">
      <c r="A1882" s="2" t="str">
        <f>HYPERLINK("https://vtmf.veevavault.com/ui/#doc_info/25464866/0/1", "NE - 42847922MDD3003---Investigator Meetings (v0.1)")</f>
        <v>NE - 42847922MDD3003---Investigator Meetings (v0.1)</v>
      </c>
      <c r="B1882" s="3" t="inlineStr">
        <is>
          <t>Non Essential</t>
        </is>
      </c>
      <c r="C1882" s="3" t="inlineStr">
        <is>
          <t>Meeting Activities and Related Documents</t>
        </is>
      </c>
      <c r="D1882" s="3" t="inlineStr">
        <is>
          <t>Investigator Meetings</t>
        </is>
      </c>
      <c r="E1882" s="3" t="inlineStr">
        <is>
          <t>42847922MDD3003_ 67953964MDD3005_Country and Site Selection_RSU Study Team Meeting_08Jan2024</t>
        </is>
      </c>
      <c r="F1882" s="2" t="str">
        <f>HYPERLINK("https://vtmf.veevavault.com/ui/#doc_info/25464866/0/1", "VTMF-20309489")</f>
        <v>VTMF-20309489</v>
      </c>
      <c r="G1882" s="3" t="inlineStr">
        <is>
          <t/>
        </is>
      </c>
      <c r="H1882" s="3" t="inlineStr">
        <is>
          <t>Debhora Garcia</t>
        </is>
      </c>
      <c r="I1882" s="3" t="inlineStr">
        <is>
          <t>Debhora Garcia</t>
        </is>
      </c>
      <c r="J1882" s="4" t="n">
        <v>45299.82042824074</v>
      </c>
      <c r="K1882" s="5" t="inlineStr">
        <is>
          <t/>
        </is>
      </c>
      <c r="L1882" s="5" t="inlineStr">
        <is>
          <t/>
        </is>
      </c>
      <c r="M1882" s="3" t="inlineStr">
        <is>
          <t>Draft</t>
        </is>
      </c>
      <c r="N1882" s="3" t="inlineStr">
        <is>
          <t/>
        </is>
      </c>
      <c r="O1882" s="3" t="inlineStr">
        <is>
          <t>42847922MDD3003, 67953964MDD3005</t>
        </is>
      </c>
    </row>
    <row r="1883">
      <c r="A1883" s="2" t="str">
        <f>HYPERLINK("https://vtmf.veevavault.com/ui/#doc_info/25548595/0/1", "NE - 42847922MDD3003---Investigator Meetings (v0.1)")</f>
        <v>NE - 42847922MDD3003---Investigator Meetings (v0.1)</v>
      </c>
      <c r="B1883" s="3" t="inlineStr">
        <is>
          <t>Non Essential</t>
        </is>
      </c>
      <c r="C1883" s="3" t="inlineStr">
        <is>
          <t>Meeting Activities and Related Documents</t>
        </is>
      </c>
      <c r="D1883" s="3" t="inlineStr">
        <is>
          <t>Investigator Meetings</t>
        </is>
      </c>
      <c r="E1883" s="3" t="inlineStr">
        <is>
          <t>42847922MDD3003_ 67953964MDD3005_Country and Site Selection_RSU Study Team Meeting - 22Jan2024</t>
        </is>
      </c>
      <c r="F1883" s="2" t="str">
        <f>HYPERLINK("https://vtmf.veevavault.com/ui/#doc_info/25548595/0/1", "VTMF-20381717")</f>
        <v>VTMF-20381717</v>
      </c>
      <c r="G1883" s="3" t="inlineStr">
        <is>
          <t/>
        </is>
      </c>
      <c r="H1883" s="3" t="inlineStr">
        <is>
          <t>Debhora Garcia</t>
        </is>
      </c>
      <c r="I1883" s="3" t="inlineStr">
        <is>
          <t>Debhora Garcia</t>
        </is>
      </c>
      <c r="J1883" s="4" t="n">
        <v>45313.76326388889</v>
      </c>
      <c r="K1883" s="5" t="inlineStr">
        <is>
          <t/>
        </is>
      </c>
      <c r="L1883" s="5" t="inlineStr">
        <is>
          <t/>
        </is>
      </c>
      <c r="M1883" s="3" t="inlineStr">
        <is>
          <t>Draft</t>
        </is>
      </c>
      <c r="N1883" s="3" t="inlineStr">
        <is>
          <t/>
        </is>
      </c>
      <c r="O1883" s="3" t="inlineStr">
        <is>
          <t>42847922MDD3003, 67953964MDD3005</t>
        </is>
      </c>
    </row>
    <row r="1884">
      <c r="A1884" s="2" t="str">
        <f>HYPERLINK("https://vtmf.veevavault.com/ui/#doc_info/25665900/0/1", "NE - 42847922MDD3003---Investigator Meetings (v0.1)")</f>
        <v>NE - 42847922MDD3003---Investigator Meetings (v0.1)</v>
      </c>
      <c r="B1884" s="3" t="inlineStr">
        <is>
          <t>Non Essential</t>
        </is>
      </c>
      <c r="C1884" s="3" t="inlineStr">
        <is>
          <t>Meeting Activities and Related Documents</t>
        </is>
      </c>
      <c r="D1884" s="3" t="inlineStr">
        <is>
          <t>Investigator Meetings</t>
        </is>
      </c>
      <c r="E1884" s="3" t="inlineStr">
        <is>
          <t>42847922MDD3003_67953964MDD3005_Country and Site Selection_RSU Study Team Meeting_05Feb2024</t>
        </is>
      </c>
      <c r="F1884" s="2" t="str">
        <f>HYPERLINK("https://vtmf.veevavault.com/ui/#doc_info/25665900/0/1", "VTMF-20485458")</f>
        <v>VTMF-20485458</v>
      </c>
      <c r="G1884" s="3" t="inlineStr">
        <is>
          <t/>
        </is>
      </c>
      <c r="H1884" s="3" t="inlineStr">
        <is>
          <t>Debhora Garcia</t>
        </is>
      </c>
      <c r="I1884" s="3" t="inlineStr">
        <is>
          <t>Debhora Garcia</t>
        </is>
      </c>
      <c r="J1884" s="4" t="n">
        <v>45328.831875</v>
      </c>
      <c r="K1884" s="5" t="inlineStr">
        <is>
          <t/>
        </is>
      </c>
      <c r="L1884" s="5" t="inlineStr">
        <is>
          <t/>
        </is>
      </c>
      <c r="M1884" s="3" t="inlineStr">
        <is>
          <t>Draft</t>
        </is>
      </c>
      <c r="N1884" s="3" t="inlineStr">
        <is>
          <t/>
        </is>
      </c>
      <c r="O1884" s="3" t="inlineStr">
        <is>
          <t>42847922MDD3003, 67953964MDD3005</t>
        </is>
      </c>
    </row>
    <row r="1885">
      <c r="A1885" s="2" t="str">
        <f>HYPERLINK("https://vtmf.veevavault.com/ui/#doc_info/25752754/0/1", "NE - 42847922MDD3003---Investigator Meetings (v0.1)")</f>
        <v>NE - 42847922MDD3003---Investigator Meetings (v0.1)</v>
      </c>
      <c r="B1885" s="3" t="inlineStr">
        <is>
          <t>Non Essential</t>
        </is>
      </c>
      <c r="C1885" s="3" t="inlineStr">
        <is>
          <t>Meeting Activities and Related Documents</t>
        </is>
      </c>
      <c r="D1885" s="3" t="inlineStr">
        <is>
          <t>Investigator Meetings</t>
        </is>
      </c>
      <c r="E1885" s="3" t="inlineStr">
        <is>
          <t>42847922MDD3003_67953964MDD3005_Country and Site Selection_RSU Study Team Meeting_20Feb2024</t>
        </is>
      </c>
      <c r="F1885" s="2" t="str">
        <f>HYPERLINK("https://vtmf.veevavault.com/ui/#doc_info/25752754/0/1", "VTMF-20561449")</f>
        <v>VTMF-20561449</v>
      </c>
      <c r="G1885" s="3" t="inlineStr">
        <is>
          <t/>
        </is>
      </c>
      <c r="H1885" s="3" t="inlineStr">
        <is>
          <t>Debhora Garcia</t>
        </is>
      </c>
      <c r="I1885" s="3" t="inlineStr">
        <is>
          <t>Debhora Garcia</t>
        </is>
      </c>
      <c r="J1885" s="4" t="n">
        <v>45342.87125</v>
      </c>
      <c r="K1885" s="5" t="inlineStr">
        <is>
          <t/>
        </is>
      </c>
      <c r="L1885" s="5" t="inlineStr">
        <is>
          <t/>
        </is>
      </c>
      <c r="M1885" s="3" t="inlineStr">
        <is>
          <t>Draft</t>
        </is>
      </c>
      <c r="N1885" s="3" t="inlineStr">
        <is>
          <t/>
        </is>
      </c>
      <c r="O1885" s="3" t="inlineStr">
        <is>
          <t>42847922MDD3003, 67953964MDD3005</t>
        </is>
      </c>
    </row>
    <row r="1886">
      <c r="A1886" s="2" t="str">
        <f>HYPERLINK("https://vtmf.veevavault.com/ui/#doc_info/25846434/0/1", "NE - 42847922MDD3003---Investigator Meetings (v0.1)")</f>
        <v>NE - 42847922MDD3003---Investigator Meetings (v0.1)</v>
      </c>
      <c r="B1886" s="3" t="inlineStr">
        <is>
          <t>Non Essential</t>
        </is>
      </c>
      <c r="C1886" s="3" t="inlineStr">
        <is>
          <t>Meeting Activities and Related Documents</t>
        </is>
      </c>
      <c r="D1886" s="3" t="inlineStr">
        <is>
          <t>Investigator Meetings</t>
        </is>
      </c>
      <c r="E1886" s="3" t="inlineStr">
        <is>
          <t>42847922MDD3003_67953964MDD3005_Country and Site Selection_RSU Study Team Meeting_4Mar2024</t>
        </is>
      </c>
      <c r="F1886" s="2" t="str">
        <f>HYPERLINK("https://vtmf.veevavault.com/ui/#doc_info/25846434/0/1", "VTMF-20643700")</f>
        <v>VTMF-20643700</v>
      </c>
      <c r="G1886" s="3" t="inlineStr">
        <is>
          <t/>
        </is>
      </c>
      <c r="H1886" s="3" t="inlineStr">
        <is>
          <t>Debhora Garcia</t>
        </is>
      </c>
      <c r="I1886" s="3" t="inlineStr">
        <is>
          <t>Debhora Garcia</t>
        </is>
      </c>
      <c r="J1886" s="4" t="n">
        <v>45355.97675925926</v>
      </c>
      <c r="K1886" s="5" t="inlineStr">
        <is>
          <t/>
        </is>
      </c>
      <c r="L1886" s="5" t="inlineStr">
        <is>
          <t/>
        </is>
      </c>
      <c r="M1886" s="3" t="inlineStr">
        <is>
          <t>Draft</t>
        </is>
      </c>
      <c r="N1886" s="3" t="inlineStr">
        <is>
          <t/>
        </is>
      </c>
      <c r="O1886" s="3" t="inlineStr">
        <is>
          <t>42847922MDD3003, 67953964MDD3005</t>
        </is>
      </c>
    </row>
    <row r="1887">
      <c r="A1887" s="2" t="str">
        <f>HYPERLINK("https://vtmf.veevavault.com/ui/#doc_info/25975890/0/1", "NE - 42847922MDD3003---Investigator Meetings (v0.1)")</f>
        <v>NE - 42847922MDD3003---Investigator Meetings (v0.1)</v>
      </c>
      <c r="B1887" s="3" t="inlineStr">
        <is>
          <t>Non Essential</t>
        </is>
      </c>
      <c r="C1887" s="3" t="inlineStr">
        <is>
          <t>Meeting Activities and Related Documents</t>
        </is>
      </c>
      <c r="D1887" s="3" t="inlineStr">
        <is>
          <t>Investigator Meetings</t>
        </is>
      </c>
      <c r="E1887" s="3" t="inlineStr">
        <is>
          <t>42847922MDD3003_67953964MDD3005_Country and Site Selection_RSU Study Team Meeting_19Mar2024</t>
        </is>
      </c>
      <c r="F1887" s="2" t="str">
        <f>HYPERLINK("https://vtmf.veevavault.com/ui/#doc_info/25975890/0/1", "VTMF-20758384")</f>
        <v>VTMF-20758384</v>
      </c>
      <c r="G1887" s="3" t="inlineStr">
        <is>
          <t/>
        </is>
      </c>
      <c r="H1887" s="3" t="inlineStr">
        <is>
          <t>Debhora Garcia</t>
        </is>
      </c>
      <c r="I1887" s="3" t="inlineStr">
        <is>
          <t>Debhora Garcia</t>
        </is>
      </c>
      <c r="J1887" s="4" t="n">
        <v>45372.811631944445</v>
      </c>
      <c r="K1887" s="5" t="inlineStr">
        <is>
          <t/>
        </is>
      </c>
      <c r="L1887" s="5" t="inlineStr">
        <is>
          <t/>
        </is>
      </c>
      <c r="M1887" s="3" t="inlineStr">
        <is>
          <t>Draft</t>
        </is>
      </c>
      <c r="N1887" s="3" t="inlineStr">
        <is>
          <t/>
        </is>
      </c>
      <c r="O1887" s="3" t="inlineStr">
        <is>
          <t>42847922MDD3003, 67953964MDD3005</t>
        </is>
      </c>
    </row>
    <row r="1888">
      <c r="A1888" s="2" t="str">
        <f>HYPERLINK("https://vtmf.veevavault.com/ui/#doc_info/26183362/0/1", "NE - 42847922MDD3003---Investigator Meetings (v0.1)")</f>
        <v>NE - 42847922MDD3003---Investigator Meetings (v0.1)</v>
      </c>
      <c r="B1888" s="3" t="inlineStr">
        <is>
          <t>Non Essential</t>
        </is>
      </c>
      <c r="C1888" s="3" t="inlineStr">
        <is>
          <t>Meeting Activities and Related Documents</t>
        </is>
      </c>
      <c r="D1888" s="3" t="inlineStr">
        <is>
          <t>Investigator Meetings</t>
        </is>
      </c>
      <c r="E1888" s="3" t="inlineStr">
        <is>
          <t>42847922MDD3003_Greenphire training_LTMs_SMs</t>
        </is>
      </c>
      <c r="F1888" s="2" t="str">
        <f>HYPERLINK("https://vtmf.veevavault.com/ui/#doc_info/26183362/0/1", "VTMF-20941076")</f>
        <v>VTMF-20941076</v>
      </c>
      <c r="G1888" s="3" t="inlineStr">
        <is>
          <t/>
        </is>
      </c>
      <c r="H1888" s="3" t="inlineStr">
        <is>
          <t>Debhora Garcia</t>
        </is>
      </c>
      <c r="I1888" s="3" t="inlineStr">
        <is>
          <t>Debhora Garcia</t>
        </is>
      </c>
      <c r="J1888" s="4" t="n">
        <v>45405.07017361111</v>
      </c>
      <c r="K1888" s="5" t="inlineStr">
        <is>
          <t/>
        </is>
      </c>
      <c r="L1888" s="5" t="inlineStr">
        <is>
          <t/>
        </is>
      </c>
      <c r="M1888" s="3" t="inlineStr">
        <is>
          <t>Draft</t>
        </is>
      </c>
      <c r="N1888" s="3" t="inlineStr">
        <is>
          <t/>
        </is>
      </c>
      <c r="O1888" s="3" t="inlineStr">
        <is>
          <t>42847922MDD3003</t>
        </is>
      </c>
    </row>
    <row r="1889">
      <c r="A1889" s="2" t="str">
        <f>HYPERLINK("https://vtmf.veevavault.com/ui/#doc_info/26227025/0/1", "NE - 42847922MDD3003---Investigator Meetings (v0.1)")</f>
        <v>NE - 42847922MDD3003---Investigator Meetings (v0.1)</v>
      </c>
      <c r="B1889" s="3" t="inlineStr">
        <is>
          <t>Non Essential</t>
        </is>
      </c>
      <c r="C1889" s="3" t="inlineStr">
        <is>
          <t>Meeting Activities and Related Documents</t>
        </is>
      </c>
      <c r="D1889" s="3" t="inlineStr">
        <is>
          <t>Investigator Meetings</t>
        </is>
      </c>
      <c r="E1889" s="3" t="inlineStr">
        <is>
          <t>42847922MDD3003 Start-Up_bi-weekly RSU Study Team Meeting - 29Apr2024</t>
        </is>
      </c>
      <c r="F1889" s="2" t="str">
        <f>HYPERLINK("https://vtmf.veevavault.com/ui/#doc_info/26227025/0/1", "VTMF-20978049")</f>
        <v>VTMF-20978049</v>
      </c>
      <c r="G1889" s="3" t="inlineStr">
        <is>
          <t/>
        </is>
      </c>
      <c r="H1889" s="3" t="inlineStr">
        <is>
          <t>Debhora Garcia</t>
        </is>
      </c>
      <c r="I1889" s="3" t="inlineStr">
        <is>
          <t>Debhora Garcia</t>
        </is>
      </c>
      <c r="J1889" s="4" t="n">
        <v>45411.732083333336</v>
      </c>
      <c r="K1889" s="5" t="inlineStr">
        <is>
          <t/>
        </is>
      </c>
      <c r="L1889" s="5" t="inlineStr">
        <is>
          <t/>
        </is>
      </c>
      <c r="M1889" s="3" t="inlineStr">
        <is>
          <t>Draft</t>
        </is>
      </c>
      <c r="N1889" s="3" t="inlineStr">
        <is>
          <t/>
        </is>
      </c>
      <c r="O1889" s="3" t="inlineStr">
        <is>
          <t>42847922MDD3003</t>
        </is>
      </c>
    </row>
    <row r="1890">
      <c r="A1890" s="2" t="str">
        <f>HYPERLINK("https://vtmf.veevavault.com/ui/#doc_info/26314913/0/1", "NE - 42847922MDD3003---Investigator Meetings (v0.1)")</f>
        <v>NE - 42847922MDD3003---Investigator Meetings (v0.1)</v>
      </c>
      <c r="B1890" s="3" t="inlineStr">
        <is>
          <t>Non Essential</t>
        </is>
      </c>
      <c r="C1890" s="3" t="inlineStr">
        <is>
          <t>Meeting Activities and Related Documents</t>
        </is>
      </c>
      <c r="D1890" s="3" t="inlineStr">
        <is>
          <t>Investigator Meetings</t>
        </is>
      </c>
      <c r="E1890" s="3" t="inlineStr">
        <is>
          <t>42847922MDD3003_Start-Up_bi-weekly RSU Study Team Meeting_13May2024</t>
        </is>
      </c>
      <c r="F1890" s="2" t="str">
        <f>HYPERLINK("https://vtmf.veevavault.com/ui/#doc_info/26314913/0/1", "VTMF-21054566")</f>
        <v>VTMF-21054566</v>
      </c>
      <c r="G1890" s="3" t="inlineStr">
        <is>
          <t/>
        </is>
      </c>
      <c r="H1890" s="3" t="inlineStr">
        <is>
          <t>Debhora Garcia</t>
        </is>
      </c>
      <c r="I1890" s="3" t="inlineStr">
        <is>
          <t>Debhora Garcia</t>
        </is>
      </c>
      <c r="J1890" s="4" t="n">
        <v>45425.748923611114</v>
      </c>
      <c r="K1890" s="5" t="inlineStr">
        <is>
          <t/>
        </is>
      </c>
      <c r="L1890" s="5" t="inlineStr">
        <is>
          <t/>
        </is>
      </c>
      <c r="M1890" s="3" t="inlineStr">
        <is>
          <t>Draft</t>
        </is>
      </c>
      <c r="N1890" s="3" t="inlineStr">
        <is>
          <t/>
        </is>
      </c>
      <c r="O1890" s="3" t="inlineStr">
        <is>
          <t>42847922MDD3003</t>
        </is>
      </c>
    </row>
    <row r="1891">
      <c r="A1891" s="2" t="str">
        <f>HYPERLINK("https://vtmf.veevavault.com/ui/#doc_info/26495348/0/1", "NE - 42847922MDD3003---Investigator Meetings (v0.1)")</f>
        <v>NE - 42847922MDD3003---Investigator Meetings (v0.1)</v>
      </c>
      <c r="B1891" s="3" t="inlineStr">
        <is>
          <t>Non Essential</t>
        </is>
      </c>
      <c r="C1891" s="3" t="inlineStr">
        <is>
          <t>Meeting Activities and Related Documents</t>
        </is>
      </c>
      <c r="D1891" s="3" t="inlineStr">
        <is>
          <t>Investigator Meetings</t>
        </is>
      </c>
      <c r="E1891" s="3" t="inlineStr">
        <is>
          <t>42847922MDD3003_Start-Up_bi-weekly RSU Study Team Meeting_10Jun2024</t>
        </is>
      </c>
      <c r="F1891" s="2" t="str">
        <f>HYPERLINK("https://vtmf.veevavault.com/ui/#doc_info/26495348/0/1", "VTMF-21213884")</f>
        <v>VTMF-21213884</v>
      </c>
      <c r="G1891" s="3" t="inlineStr">
        <is>
          <t/>
        </is>
      </c>
      <c r="H1891" s="3" t="inlineStr">
        <is>
          <t>Debhora Garcia</t>
        </is>
      </c>
      <c r="I1891" s="3" t="inlineStr">
        <is>
          <t>Debhora Garcia</t>
        </is>
      </c>
      <c r="J1891" s="4" t="n">
        <v>45454.14251157407</v>
      </c>
      <c r="K1891" s="5" t="inlineStr">
        <is>
          <t/>
        </is>
      </c>
      <c r="L1891" s="5" t="inlineStr">
        <is>
          <t/>
        </is>
      </c>
      <c r="M1891" s="3" t="inlineStr">
        <is>
          <t>Draft</t>
        </is>
      </c>
      <c r="N1891" s="3" t="inlineStr">
        <is>
          <t/>
        </is>
      </c>
      <c r="O1891" s="3" t="inlineStr">
        <is>
          <t>42847922MDD3003</t>
        </is>
      </c>
    </row>
    <row r="1892">
      <c r="A1892" s="2" t="str">
        <f>HYPERLINK("https://vtmf.veevavault.com/ui/#doc_info/26676657/0/1", "NE - 42847922MDD3003---Investigator Meetings (v0.1)")</f>
        <v>NE - 42847922MDD3003---Investigator Meetings (v0.1)</v>
      </c>
      <c r="B1892" s="3" t="inlineStr">
        <is>
          <t>Non Essential</t>
        </is>
      </c>
      <c r="C1892" s="3" t="inlineStr">
        <is>
          <t>Meeting Activities and Related Documents</t>
        </is>
      </c>
      <c r="D1892" s="3" t="inlineStr">
        <is>
          <t>Investigator Meetings</t>
        </is>
      </c>
      <c r="E1892" s="3" t="inlineStr">
        <is>
          <t>42847922MDD3003_Start-Up_bi-weekly RSU Study Team Meeting_08Jul2024</t>
        </is>
      </c>
      <c r="F1892" s="2" t="str">
        <f>HYPERLINK("https://vtmf.veevavault.com/ui/#doc_info/26676657/0/1", "VTMF-21371990")</f>
        <v>VTMF-21371990</v>
      </c>
      <c r="G1892" s="3" t="inlineStr">
        <is>
          <t/>
        </is>
      </c>
      <c r="H1892" s="3" t="inlineStr">
        <is>
          <t>Debhora Garcia</t>
        </is>
      </c>
      <c r="I1892" s="3" t="inlineStr">
        <is>
          <t>Debhora Garcia</t>
        </is>
      </c>
      <c r="J1892" s="4" t="n">
        <v>45482.82099537037</v>
      </c>
      <c r="K1892" s="5" t="inlineStr">
        <is>
          <t/>
        </is>
      </c>
      <c r="L1892" s="5" t="inlineStr">
        <is>
          <t/>
        </is>
      </c>
      <c r="M1892" s="3" t="inlineStr">
        <is>
          <t>Draft</t>
        </is>
      </c>
      <c r="N1892" s="3" t="inlineStr">
        <is>
          <t/>
        </is>
      </c>
      <c r="O1892" s="3" t="inlineStr">
        <is>
          <t>42847922MDD3003</t>
        </is>
      </c>
    </row>
    <row r="1893">
      <c r="A1893" s="2" t="str">
        <f>HYPERLINK("https://vtmf.veevavault.com/ui/#doc_info/26931103/0/1", "NE - 42847922MDD3003---Investigator Meetings (v0.1)")</f>
        <v>NE - 42847922MDD3003---Investigator Meetings (v0.1)</v>
      </c>
      <c r="B1893" s="3" t="inlineStr">
        <is>
          <t>Non Essential</t>
        </is>
      </c>
      <c r="C1893" s="3" t="inlineStr">
        <is>
          <t>Meeting Activities and Related Documents</t>
        </is>
      </c>
      <c r="D1893" s="3" t="inlineStr">
        <is>
          <t>Investigator Meetings</t>
        </is>
      </c>
      <c r="E1893" s="3" t="inlineStr">
        <is>
          <t>42847922MDD3003_Start-Up_bi-weekly RSU Study Team Meeting_19Aug2024</t>
        </is>
      </c>
      <c r="F1893" s="2" t="str">
        <f>HYPERLINK("https://vtmf.veevavault.com/ui/#doc_info/26931103/0/1", "VTMF-21588222")</f>
        <v>VTMF-21588222</v>
      </c>
      <c r="G1893" s="3" t="inlineStr">
        <is>
          <t/>
        </is>
      </c>
      <c r="H1893" s="3" t="inlineStr">
        <is>
          <t>Debhora Garcia</t>
        </is>
      </c>
      <c r="I1893" s="3" t="inlineStr">
        <is>
          <t>Debhora Garcia</t>
        </is>
      </c>
      <c r="J1893" s="4" t="n">
        <v>45526.10888888889</v>
      </c>
      <c r="K1893" s="5" t="inlineStr">
        <is>
          <t/>
        </is>
      </c>
      <c r="L1893" s="5" t="inlineStr">
        <is>
          <t/>
        </is>
      </c>
      <c r="M1893" s="3" t="inlineStr">
        <is>
          <t>Draft</t>
        </is>
      </c>
      <c r="N1893" s="3" t="inlineStr">
        <is>
          <t/>
        </is>
      </c>
      <c r="O1893" s="3" t="inlineStr">
        <is>
          <t>42847922MDD3003</t>
        </is>
      </c>
    </row>
    <row r="1894">
      <c r="A1894" s="2" t="str">
        <f>HYPERLINK("https://vtmf.veevavault.com/ui/#doc_info/27126216/0/1", "NE - 42847922MDD3003---Investigator Meetings (v0.1)")</f>
        <v>NE - 42847922MDD3003---Investigator Meetings (v0.1)</v>
      </c>
      <c r="B1894" s="3" t="inlineStr">
        <is>
          <t>Non Essential</t>
        </is>
      </c>
      <c r="C1894" s="3" t="inlineStr">
        <is>
          <t>Meeting Activities and Related Documents</t>
        </is>
      </c>
      <c r="D1894" s="3" t="inlineStr">
        <is>
          <t>Investigator Meetings</t>
        </is>
      </c>
      <c r="E1894" s="3" t="inlineStr">
        <is>
          <t>42847922MDD3003_NCC_Start-Up_bi-weekly RSU Study Team Meeting_16Sep2024</t>
        </is>
      </c>
      <c r="F1894" s="2" t="str">
        <f>HYPERLINK("https://vtmf.veevavault.com/ui/#doc_info/27126216/0/1", "VTMF-21746441")</f>
        <v>VTMF-21746441</v>
      </c>
      <c r="G1894" s="3" t="inlineStr">
        <is>
          <t/>
        </is>
      </c>
      <c r="H1894" s="3" t="inlineStr">
        <is>
          <t>Debhora Garcia</t>
        </is>
      </c>
      <c r="I1894" s="3" t="inlineStr">
        <is>
          <t>Debhora Garcia</t>
        </is>
      </c>
      <c r="J1894" s="4" t="n">
        <v>45558.72987268519</v>
      </c>
      <c r="K1894" s="5" t="inlineStr">
        <is>
          <t/>
        </is>
      </c>
      <c r="L1894" s="5" t="inlineStr">
        <is>
          <t/>
        </is>
      </c>
      <c r="M1894" s="3" t="inlineStr">
        <is>
          <t>Draft</t>
        </is>
      </c>
      <c r="N1894" s="3" t="inlineStr">
        <is>
          <t/>
        </is>
      </c>
      <c r="O1894" s="3" t="inlineStr">
        <is>
          <t>42847922MDD3003</t>
        </is>
      </c>
    </row>
    <row r="1895">
      <c r="A1895" s="2" t="str">
        <f>HYPERLINK("https://vtmf.veevavault.com/ui/#doc_info/27252208/0/1", "NE - 42847922MDD3003---Investigator Meetings (v0.1)")</f>
        <v>NE - 42847922MDD3003---Investigator Meetings (v0.1)</v>
      </c>
      <c r="B1895" s="3" t="inlineStr">
        <is>
          <t>Non Essential</t>
        </is>
      </c>
      <c r="C1895" s="3" t="inlineStr">
        <is>
          <t>Meeting Activities and Related Documents</t>
        </is>
      </c>
      <c r="D1895" s="3" t="inlineStr">
        <is>
          <t>Investigator Meetings</t>
        </is>
      </c>
      <c r="E1895" s="3" t="inlineStr">
        <is>
          <t>42847922MDD3003_NCC_Start-Up_bi-weekly RSU Study Team Meeting_14Oct2024</t>
        </is>
      </c>
      <c r="F1895" s="2" t="str">
        <f>HYPERLINK("https://vtmf.veevavault.com/ui/#doc_info/27252208/0/1", "VTMF-21855661")</f>
        <v>VTMF-21855661</v>
      </c>
      <c r="G1895" s="3" t="inlineStr">
        <is>
          <t/>
        </is>
      </c>
      <c r="H1895" s="3" t="inlineStr">
        <is>
          <t>Debhora Garcia</t>
        </is>
      </c>
      <c r="I1895" s="3" t="inlineStr">
        <is>
          <t>Debhora Garcia</t>
        </is>
      </c>
      <c r="J1895" s="4" t="n">
        <v>45579.786724537036</v>
      </c>
      <c r="K1895" s="5" t="inlineStr">
        <is>
          <t/>
        </is>
      </c>
      <c r="L1895" s="5" t="inlineStr">
        <is>
          <t/>
        </is>
      </c>
      <c r="M1895" s="3" t="inlineStr">
        <is>
          <t>Draft</t>
        </is>
      </c>
      <c r="N1895" s="3" t="inlineStr">
        <is>
          <t/>
        </is>
      </c>
      <c r="O1895" s="3" t="inlineStr">
        <is>
          <t>42847922MDD3003</t>
        </is>
      </c>
    </row>
    <row r="1896">
      <c r="A1896" s="2" t="str">
        <f>HYPERLINK("https://vtmf.veevavault.com/ui/#doc_info/21851540/0/1", "NE - 42847922MDD3003---Non Essential (v0.1)")</f>
        <v>NE - 42847922MDD3003---Non Essential (v0.1)</v>
      </c>
      <c r="B1896" s="3" t="inlineStr">
        <is>
          <t>Non Essential</t>
        </is>
      </c>
      <c r="C1896" s="3" t="inlineStr">
        <is>
          <t>J&amp;J Confidential</t>
        </is>
      </c>
      <c r="D1896" s="3" t="inlineStr">
        <is>
          <t/>
        </is>
      </c>
      <c r="E1896" s="3" t="inlineStr">
        <is>
          <t>DH_42847922MDD3003_SP_Overview</t>
        </is>
      </c>
      <c r="F1896" s="2" t="str">
        <f>HYPERLINK("https://vtmf.veevavault.com/ui/#doc_info/21851540/0/1", "VTMF-17163595")</f>
        <v>VTMF-17163595</v>
      </c>
      <c r="G1896" s="3" t="inlineStr">
        <is>
          <t/>
        </is>
      </c>
      <c r="H1896" s="3" t="inlineStr">
        <is>
          <t>Karen Rayment</t>
        </is>
      </c>
      <c r="I1896" s="3" t="inlineStr">
        <is>
          <t>Karen Rayment</t>
        </is>
      </c>
      <c r="J1896" s="4" t="n">
        <v>44707.60518518519</v>
      </c>
      <c r="K1896" s="5" t="inlineStr">
        <is>
          <t/>
        </is>
      </c>
      <c r="L1896" s="5" t="inlineStr">
        <is>
          <t/>
        </is>
      </c>
      <c r="M1896" s="3" t="inlineStr">
        <is>
          <t>Draft</t>
        </is>
      </c>
      <c r="N1896" s="3" t="inlineStr">
        <is>
          <t/>
        </is>
      </c>
      <c r="O1896" s="3" t="inlineStr">
        <is>
          <t>42847922MDD3003</t>
        </is>
      </c>
    </row>
    <row r="1897">
      <c r="A1897" s="2" t="str">
        <f>HYPERLINK("https://vtmf.veevavault.com/ui/#doc_info/21851583/0/7", "NE - 42847922MDD3003---Non Essential (v0.7)")</f>
        <v>NE - 42847922MDD3003---Non Essential (v0.7)</v>
      </c>
      <c r="B1897" s="3" t="inlineStr">
        <is>
          <t>Non Essential</t>
        </is>
      </c>
      <c r="C1897" s="3" t="inlineStr">
        <is>
          <t>J&amp;J Financial Confidential</t>
        </is>
      </c>
      <c r="D1897" s="3" t="inlineStr">
        <is>
          <t/>
        </is>
      </c>
      <c r="E1897" s="3" t="inlineStr">
        <is>
          <t>DH_42847922MDD3003_SP_Agreements</t>
        </is>
      </c>
      <c r="F1897" s="2" t="str">
        <f>HYPERLINK("https://vtmf.veevavault.com/ui/#doc_info/21851583/0/7", "VTMF-17163638")</f>
        <v>VTMF-17163638</v>
      </c>
      <c r="G1897" s="3" t="inlineStr">
        <is>
          <t/>
        </is>
      </c>
      <c r="H1897" s="3" t="inlineStr">
        <is>
          <t>Alessandro Oliveto</t>
        </is>
      </c>
      <c r="I1897" s="3" t="inlineStr">
        <is>
          <t>Alessandro Oliveto</t>
        </is>
      </c>
      <c r="J1897" s="4" t="n">
        <v>46094.68331018519</v>
      </c>
      <c r="K1897" s="5" t="inlineStr">
        <is>
          <t/>
        </is>
      </c>
      <c r="L1897" s="5" t="inlineStr">
        <is>
          <t/>
        </is>
      </c>
      <c r="M1897" s="3" t="inlineStr">
        <is>
          <t>Draft</t>
        </is>
      </c>
      <c r="N1897" s="3" t="inlineStr">
        <is>
          <t/>
        </is>
      </c>
      <c r="O1897" s="3" t="inlineStr">
        <is>
          <t>42847922MDD3003</t>
        </is>
      </c>
    </row>
    <row r="1898">
      <c r="A1898" s="2" t="str">
        <f>HYPERLINK("https://vtmf.veevavault.com/ui/#doc_info/24725268/0/2", "NE - 42847922MDD3003---Non Essential (v0.2)")</f>
        <v>NE - 42847922MDD3003---Non Essential (v0.2)</v>
      </c>
      <c r="B1898" s="3" t="inlineStr">
        <is>
          <t>Non Essential</t>
        </is>
      </c>
      <c r="C1898" s="3" t="inlineStr">
        <is>
          <t>J&amp;J Financial Confidential</t>
        </is>
      </c>
      <c r="D1898" s="3" t="inlineStr">
        <is>
          <t/>
        </is>
      </c>
      <c r="E1898" s="3" t="inlineStr">
        <is>
          <t>42847922MDD3003_eCOA RFI and Proposal Information</t>
        </is>
      </c>
      <c r="F1898" s="2" t="str">
        <f>HYPERLINK("https://vtmf.veevavault.com/ui/#doc_info/24725268/0/2", "VTMF-19660795")</f>
        <v>VTMF-19660795</v>
      </c>
      <c r="G1898" s="3" t="inlineStr">
        <is>
          <t/>
        </is>
      </c>
      <c r="H1898" s="3" t="inlineStr">
        <is>
          <t>Kerry Frattura</t>
        </is>
      </c>
      <c r="I1898" s="3" t="inlineStr">
        <is>
          <t>Kerry Frattura</t>
        </is>
      </c>
      <c r="J1898" s="4" t="n">
        <v>45251.66915509259</v>
      </c>
      <c r="K1898" s="5" t="inlineStr">
        <is>
          <t/>
        </is>
      </c>
      <c r="L1898" s="5" t="inlineStr">
        <is>
          <t/>
        </is>
      </c>
      <c r="M1898" s="3" t="inlineStr">
        <is>
          <t>Draft</t>
        </is>
      </c>
      <c r="N1898" s="3" t="inlineStr">
        <is>
          <t/>
        </is>
      </c>
      <c r="O1898" s="3" t="inlineStr">
        <is>
          <t>42847922MDD3003</t>
        </is>
      </c>
    </row>
    <row r="1899">
      <c r="A1899" s="2" t="str">
        <f>HYPERLINK("https://vtmf.veevavault.com/ui/#doc_info/25799488/0/1", "NE - 42847922MDD3003---Non Essential (v0.1)")</f>
        <v>NE - 42847922MDD3003---Non Essential (v0.1)</v>
      </c>
      <c r="B1899" s="3" t="inlineStr">
        <is>
          <t>Non Essential</t>
        </is>
      </c>
      <c r="C1899" s="3" t="inlineStr">
        <is>
          <t>J&amp;J Confidential</t>
        </is>
      </c>
      <c r="D1899" s="3" t="inlineStr">
        <is>
          <t>J&amp;J Confidential</t>
        </is>
      </c>
      <c r="E1899" s="3" t="inlineStr">
        <is>
          <t>Final Protocol_22Feb2024</t>
        </is>
      </c>
      <c r="F1899" s="2" t="str">
        <f>HYPERLINK("https://vtmf.veevavault.com/ui/#doc_info/25799488/0/1", "VTMF-20602053")</f>
        <v>VTMF-20602053</v>
      </c>
      <c r="G1899" s="3" t="inlineStr">
        <is>
          <t/>
        </is>
      </c>
      <c r="H1899" s="3" t="inlineStr">
        <is>
          <t>Stephanie Bachman</t>
        </is>
      </c>
      <c r="I1899" s="3" t="inlineStr">
        <is>
          <t>Stephanie Bachman</t>
        </is>
      </c>
      <c r="J1899" s="4" t="n">
        <v>45349.59474537037</v>
      </c>
      <c r="K1899" s="5" t="inlineStr">
        <is>
          <t/>
        </is>
      </c>
      <c r="L1899" s="5" t="inlineStr">
        <is>
          <t/>
        </is>
      </c>
      <c r="M1899" s="3" t="inlineStr">
        <is>
          <t>Draft</t>
        </is>
      </c>
      <c r="N1899" s="3" t="inlineStr">
        <is>
          <t/>
        </is>
      </c>
      <c r="O1899" s="3" t="inlineStr">
        <is>
          <t>42847922MDD3003</t>
        </is>
      </c>
    </row>
    <row r="1900">
      <c r="A1900" s="2" t="str">
        <f>HYPERLINK("https://vtmf.veevavault.com/ui/#doc_info/25799886/0/1", "NE - 42847922MDD3003---Non Essential (v0.1)")</f>
        <v>NE - 42847922MDD3003---Non Essential (v0.1)</v>
      </c>
      <c r="B1900" s="3" t="inlineStr">
        <is>
          <t>Non Essential</t>
        </is>
      </c>
      <c r="C1900" s="3" t="inlineStr">
        <is>
          <t>J&amp;J Confidential</t>
        </is>
      </c>
      <c r="D1900" s="3" t="inlineStr">
        <is>
          <t>J&amp;J Confidential</t>
        </is>
      </c>
      <c r="E1900" s="3" t="inlineStr">
        <is>
          <t>Clario WO</t>
        </is>
      </c>
      <c r="F1900" s="2" t="str">
        <f>HYPERLINK("https://vtmf.veevavault.com/ui/#doc_info/25799886/0/1", "VTMF-20602384")</f>
        <v>VTMF-20602384</v>
      </c>
      <c r="G1900" s="3" t="inlineStr">
        <is>
          <t/>
        </is>
      </c>
      <c r="H1900" s="3" t="inlineStr">
        <is>
          <t>Stephanie Bachman</t>
        </is>
      </c>
      <c r="I1900" s="3" t="inlineStr">
        <is>
          <t>Stephanie Bachman</t>
        </is>
      </c>
      <c r="J1900" s="4" t="n">
        <v>45349.626550925925</v>
      </c>
      <c r="K1900" s="5" t="inlineStr">
        <is>
          <t/>
        </is>
      </c>
      <c r="L1900" s="5" t="inlineStr">
        <is>
          <t/>
        </is>
      </c>
      <c r="M1900" s="3" t="inlineStr">
        <is>
          <t>Draft</t>
        </is>
      </c>
      <c r="N1900" s="3" t="inlineStr">
        <is>
          <t/>
        </is>
      </c>
      <c r="O1900" s="3" t="inlineStr">
        <is>
          <t>42847922MDD3003</t>
        </is>
      </c>
    </row>
    <row r="1901">
      <c r="A1901" s="2" t="str">
        <f>HYPERLINK("https://vtmf.veevavault.com/ui/#doc_info/26057431/1/0", "NE - 42847922MDD3003---Non Essential (v1.0)")</f>
        <v>NE - 42847922MDD3003---Non Essential (v1.0)</v>
      </c>
      <c r="B1901" s="3" t="inlineStr">
        <is>
          <t>Non Essential</t>
        </is>
      </c>
      <c r="C1901" s="3" t="inlineStr">
        <is>
          <t>J&amp;J Confidential</t>
        </is>
      </c>
      <c r="D1901" s="3" t="inlineStr">
        <is>
          <t>J&amp;J Confidential</t>
        </is>
      </c>
      <c r="E1901" s="3" t="inlineStr">
        <is>
          <t>D4_PF ISI-P_EN_BG_CZ_IT_PT_RO_SK_ES_SE_12May2021_NA_1 for EU-CTR</t>
        </is>
      </c>
      <c r="F1901" s="2" t="str">
        <f>HYPERLINK("https://vtmf.veevavault.com/ui/#doc_info/26057431/1/0", "VTMF-20830513")</f>
        <v>VTMF-20830513</v>
      </c>
      <c r="G1901" s="3" t="inlineStr">
        <is>
          <t/>
        </is>
      </c>
      <c r="H1901" s="3" t="inlineStr">
        <is>
          <t>Kristina Ruzinska</t>
        </is>
      </c>
      <c r="I1901" s="3" t="inlineStr">
        <is>
          <t>Kristina Ruzinska</t>
        </is>
      </c>
      <c r="J1901" s="4" t="n">
        <v>45385.70269675926</v>
      </c>
      <c r="K1901" s="5" t="n">
        <v>45385.0</v>
      </c>
      <c r="L1901" s="5" t="inlineStr">
        <is>
          <t/>
        </is>
      </c>
      <c r="M1901" s="3" t="inlineStr">
        <is>
          <t>Draft</t>
        </is>
      </c>
      <c r="N1901" s="3" t="inlineStr">
        <is>
          <t/>
        </is>
      </c>
      <c r="O1901" s="3" t="inlineStr">
        <is>
          <t>42847922MDD3003</t>
        </is>
      </c>
    </row>
    <row r="1902">
      <c r="A1902" s="2" t="str">
        <f>HYPERLINK("https://vtmf.veevavault.com/ui/#doc_info/26057461/1/0", "NE - 42847922MDD3003---Non Essential (v1.0)")</f>
        <v>NE - 42847922MDD3003---Non Essential (v1.0)</v>
      </c>
      <c r="B1902" s="3" t="inlineStr">
        <is>
          <t>Non Essential</t>
        </is>
      </c>
      <c r="C1902" s="3" t="inlineStr">
        <is>
          <t>J&amp;J Confidential</t>
        </is>
      </c>
      <c r="D1902" s="3" t="inlineStr">
        <is>
          <t>J&amp;J Confidential</t>
        </is>
      </c>
      <c r="E1902" s="3" t="inlineStr">
        <is>
          <t>D4_PF PGIC_EN_BG_CZ_IT_PT_RO_SK_ES_SE_04Mar2020_1_1 for EU-CTR</t>
        </is>
      </c>
      <c r="F1902" s="2" t="str">
        <f>HYPERLINK("https://vtmf.veevavault.com/ui/#doc_info/26057461/1/0", "VTMF-20830542")</f>
        <v>VTMF-20830542</v>
      </c>
      <c r="G1902" s="3" t="inlineStr">
        <is>
          <t/>
        </is>
      </c>
      <c r="H1902" s="3" t="inlineStr">
        <is>
          <t>Kristina Ruzinska</t>
        </is>
      </c>
      <c r="I1902" s="3" t="inlineStr">
        <is>
          <t>Kristina Ruzinska</t>
        </is>
      </c>
      <c r="J1902" s="4" t="n">
        <v>45385.70594907407</v>
      </c>
      <c r="K1902" s="5" t="n">
        <v>45385.0</v>
      </c>
      <c r="L1902" s="5" t="inlineStr">
        <is>
          <t/>
        </is>
      </c>
      <c r="M1902" s="3" t="inlineStr">
        <is>
          <t>Draft</t>
        </is>
      </c>
      <c r="N1902" s="3" t="inlineStr">
        <is>
          <t/>
        </is>
      </c>
      <c r="O1902" s="3" t="inlineStr">
        <is>
          <t>42847922MDD3003</t>
        </is>
      </c>
    </row>
    <row r="1903">
      <c r="A1903" s="2" t="str">
        <f>HYPERLINK("https://vtmf.veevavault.com/ui/#doc_info/26545687/0/1", "NE - 42847922MDD3003---Non Essential (v0.1)")</f>
        <v>NE - 42847922MDD3003---Non Essential (v0.1)</v>
      </c>
      <c r="B1903" s="3" t="inlineStr">
        <is>
          <t>Non Essential</t>
        </is>
      </c>
      <c r="C1903" s="3" t="inlineStr">
        <is>
          <t>J&amp;J Confidential</t>
        </is>
      </c>
      <c r="D1903" s="3" t="inlineStr">
        <is>
          <t>J&amp;J Confidential</t>
        </is>
      </c>
      <c r="E1903" s="3" t="inlineStr">
        <is>
          <t>Blank CRF</t>
        </is>
      </c>
      <c r="F1903" s="2" t="str">
        <f>HYPERLINK("https://vtmf.veevavault.com/ui/#doc_info/26545687/0/1", "VTMF-21258304")</f>
        <v>VTMF-21258304</v>
      </c>
      <c r="G1903" s="3" t="inlineStr">
        <is>
          <t/>
        </is>
      </c>
      <c r="H1903" s="3" t="inlineStr">
        <is>
          <t>Kristina Ruzinska</t>
        </is>
      </c>
      <c r="I1903" s="3" t="inlineStr">
        <is>
          <t>Kristina Ruzinska</t>
        </is>
      </c>
      <c r="J1903" s="4" t="n">
        <v>45461.569918981484</v>
      </c>
      <c r="K1903" s="5" t="inlineStr">
        <is>
          <t/>
        </is>
      </c>
      <c r="L1903" s="5" t="inlineStr">
        <is>
          <t/>
        </is>
      </c>
      <c r="M1903" s="3" t="inlineStr">
        <is>
          <t>Draft</t>
        </is>
      </c>
      <c r="N1903" s="3" t="inlineStr">
        <is>
          <t/>
        </is>
      </c>
      <c r="O1903" s="3" t="inlineStr">
        <is>
          <t>42847922MDD3003</t>
        </is>
      </c>
    </row>
    <row r="1904">
      <c r="A1904" s="2" t="str">
        <f>HYPERLINK("https://vtmf.veevavault.com/ui/#doc_info/26561115/0/1", "NE - 42847922MDD3003---Non Essential (v0.1)")</f>
        <v>NE - 42847922MDD3003---Non Essential (v0.1)</v>
      </c>
      <c r="B1904" s="3" t="inlineStr">
        <is>
          <t>Non Essential</t>
        </is>
      </c>
      <c r="C1904" s="3" t="inlineStr">
        <is>
          <t>J&amp;J Confidential</t>
        </is>
      </c>
      <c r="D1904" s="3" t="inlineStr">
        <is>
          <t>J&amp;J Confidential</t>
        </is>
      </c>
      <c r="E1904" s="3" t="inlineStr">
        <is>
          <t>LAbCorp_LabLink adHoc reports</t>
        </is>
      </c>
      <c r="F1904" s="2" t="str">
        <f>HYPERLINK("https://vtmf.veevavault.com/ui/#doc_info/26561115/0/1", "VTMF-21271613")</f>
        <v>VTMF-21271613</v>
      </c>
      <c r="G1904" s="3" t="inlineStr">
        <is>
          <t/>
        </is>
      </c>
      <c r="H1904" s="3" t="inlineStr">
        <is>
          <t>Kristina Ruzinska</t>
        </is>
      </c>
      <c r="I1904" s="3" t="inlineStr">
        <is>
          <t>Kristina Ruzinska</t>
        </is>
      </c>
      <c r="J1904" s="4" t="n">
        <v>45463.4515625</v>
      </c>
      <c r="K1904" s="5" t="inlineStr">
        <is>
          <t/>
        </is>
      </c>
      <c r="L1904" s="5" t="inlineStr">
        <is>
          <t/>
        </is>
      </c>
      <c r="M1904" s="3" t="inlineStr">
        <is>
          <t>Draft</t>
        </is>
      </c>
      <c r="N1904" s="3" t="inlineStr">
        <is>
          <t/>
        </is>
      </c>
      <c r="O1904" s="3" t="inlineStr">
        <is>
          <t>42847922MDD3003</t>
        </is>
      </c>
    </row>
    <row r="1905">
      <c r="A1905" s="2" t="str">
        <f>HYPERLINK("https://vtmf.veevavault.com/ui/#doc_info/27268671/0/4", "NE - 42847922MDD3003---Other Meetings (v0.4)")</f>
        <v>NE - 42847922MDD3003---Other Meetings (v0.4)</v>
      </c>
      <c r="B1905" s="3" t="inlineStr">
        <is>
          <t>Non Essential</t>
        </is>
      </c>
      <c r="C1905" s="3" t="inlineStr">
        <is>
          <t>Meeting Activities and Related Documents</t>
        </is>
      </c>
      <c r="D1905" s="3" t="inlineStr">
        <is>
          <t>Other Meetings</t>
        </is>
      </c>
      <c r="E1905" s="3" t="inlineStr">
        <is>
          <t>42847922MDd3003_ DataManagement_Best Practice Tips_19Nov2024</t>
        </is>
      </c>
      <c r="F1905" s="2" t="str">
        <f>HYPERLINK("https://vtmf.veevavault.com/ui/#doc_info/27268671/0/4", "VTMF-21869119")</f>
        <v>VTMF-21869119</v>
      </c>
      <c r="G1905" s="3" t="inlineStr">
        <is>
          <t/>
        </is>
      </c>
      <c r="H1905" s="3" t="inlineStr">
        <is>
          <t>Debhora Garcia</t>
        </is>
      </c>
      <c r="I1905" s="3" t="inlineStr">
        <is>
          <t>Debhora Garcia</t>
        </is>
      </c>
      <c r="J1905" s="4" t="n">
        <v>45615.99895833333</v>
      </c>
      <c r="K1905" s="5" t="inlineStr">
        <is>
          <t/>
        </is>
      </c>
      <c r="L1905" s="5" t="inlineStr">
        <is>
          <t/>
        </is>
      </c>
      <c r="M1905" s="3" t="inlineStr">
        <is>
          <t>Draft</t>
        </is>
      </c>
      <c r="N1905" s="3" t="inlineStr">
        <is>
          <t/>
        </is>
      </c>
      <c r="O1905" s="3" t="inlineStr">
        <is>
          <t>42847922MDD3003</t>
        </is>
      </c>
    </row>
    <row r="1906">
      <c r="A1906" s="2" t="str">
        <f>HYPERLINK("https://vtmf.veevavault.com/ui/#doc_info/27784715/0/1", "NE - 42847922MDD3003---Other Meetings (v0.1)")</f>
        <v>NE - 42847922MDD3003---Other Meetings (v0.1)</v>
      </c>
      <c r="B1906" s="3" t="inlineStr">
        <is>
          <t>Non Essential</t>
        </is>
      </c>
      <c r="C1906" s="3" t="inlineStr">
        <is>
          <t>Meeting Activities and Related Documents</t>
        </is>
      </c>
      <c r="D1906" s="3" t="inlineStr">
        <is>
          <t>Other Meetings</t>
        </is>
      </c>
      <c r="E1906" s="3" t="inlineStr">
        <is>
          <t>42847922MDD3003_NCC_Start-Up_update_02Dec2024</t>
        </is>
      </c>
      <c r="F1906" s="2" t="str">
        <f>HYPERLINK("https://vtmf.veevavault.com/ui/#doc_info/27784715/0/1", "VTMF-22278401")</f>
        <v>VTMF-22278401</v>
      </c>
      <c r="G1906" s="3" t="inlineStr">
        <is>
          <t/>
        </is>
      </c>
      <c r="H1906" s="3" t="inlineStr">
        <is>
          <t>Debhora Garcia</t>
        </is>
      </c>
      <c r="I1906" s="3" t="inlineStr">
        <is>
          <t>Debhora Garcia</t>
        </is>
      </c>
      <c r="J1906" s="4" t="n">
        <v>45628.92851851852</v>
      </c>
      <c r="K1906" s="5" t="inlineStr">
        <is>
          <t/>
        </is>
      </c>
      <c r="L1906" s="5" t="inlineStr">
        <is>
          <t/>
        </is>
      </c>
      <c r="M1906" s="3" t="inlineStr">
        <is>
          <t>Draft</t>
        </is>
      </c>
      <c r="N1906" s="3" t="inlineStr">
        <is>
          <t/>
        </is>
      </c>
      <c r="O1906" s="3" t="inlineStr">
        <is>
          <t>42847922MDD3003</t>
        </is>
      </c>
    </row>
    <row r="1907">
      <c r="A1907" s="2" t="str">
        <f>HYPERLINK("https://vtmf.veevavault.com/ui/#doc_info/28077964/0/1", "NE - 42847922MDD3003---Other Meetings (v0.1)")</f>
        <v>NE - 42847922MDD3003---Other Meetings (v0.1)</v>
      </c>
      <c r="B1907" s="3" t="inlineStr">
        <is>
          <t>Non Essential</t>
        </is>
      </c>
      <c r="C1907" s="3" t="inlineStr">
        <is>
          <t>Meeting Activities and Related Documents</t>
        </is>
      </c>
      <c r="D1907" s="3" t="inlineStr">
        <is>
          <t>Other Meetings</t>
        </is>
      </c>
      <c r="E1907" s="3" t="inlineStr">
        <is>
          <t>42847922MDD3003_NCC_Start-Up_update_14Jan2025</t>
        </is>
      </c>
      <c r="F1907" s="2" t="str">
        <f>HYPERLINK("https://vtmf.veevavault.com/ui/#doc_info/28077964/0/1", "VTMF-22517144")</f>
        <v>VTMF-22517144</v>
      </c>
      <c r="G1907" s="3" t="inlineStr">
        <is>
          <t/>
        </is>
      </c>
      <c r="H1907" s="3" t="inlineStr">
        <is>
          <t>Debhora Garcia</t>
        </is>
      </c>
      <c r="I1907" s="3" t="inlineStr">
        <is>
          <t>Debhora Garcia</t>
        </is>
      </c>
      <c r="J1907" s="4" t="n">
        <v>45671.87287037037</v>
      </c>
      <c r="K1907" s="5" t="inlineStr">
        <is>
          <t/>
        </is>
      </c>
      <c r="L1907" s="5" t="inlineStr">
        <is>
          <t/>
        </is>
      </c>
      <c r="M1907" s="3" t="inlineStr">
        <is>
          <t>Draft</t>
        </is>
      </c>
      <c r="N1907" s="3" t="inlineStr">
        <is>
          <t/>
        </is>
      </c>
      <c r="O1907" s="3" t="inlineStr">
        <is>
          <t>42847922MDD3003</t>
        </is>
      </c>
    </row>
    <row r="1908">
      <c r="A1908" s="2" t="str">
        <f>HYPERLINK("https://vtmf.veevavault.com/ui/#doc_info/28227718/0/1", "NE - 42847922MDD3003---Other Meetings (v0.1)")</f>
        <v>NE - 42847922MDD3003---Other Meetings (v0.1)</v>
      </c>
      <c r="B1908" s="3" t="inlineStr">
        <is>
          <t>Non Essential</t>
        </is>
      </c>
      <c r="C1908" s="3" t="inlineStr">
        <is>
          <t>Meeting Activities and Related Documents</t>
        </is>
      </c>
      <c r="D1908" s="3" t="inlineStr">
        <is>
          <t>Other Meetings</t>
        </is>
      </c>
      <c r="E1908" s="3" t="inlineStr">
        <is>
          <t>42847922MDD3003_NCC_Start-Up_bi-weekly RSU Study Team Meeting_03Feb2025</t>
        </is>
      </c>
      <c r="F1908" s="2" t="str">
        <f>HYPERLINK("https://vtmf.veevavault.com/ui/#doc_info/28227718/0/1", "VTMF-22639989")</f>
        <v>VTMF-22639989</v>
      </c>
      <c r="G1908" s="3" t="inlineStr">
        <is>
          <t/>
        </is>
      </c>
      <c r="H1908" s="3" t="inlineStr">
        <is>
          <t>Debhora Garcia</t>
        </is>
      </c>
      <c r="I1908" s="3" t="inlineStr">
        <is>
          <t>Debhora Garcia</t>
        </is>
      </c>
      <c r="J1908" s="4" t="n">
        <v>45693.01938657407</v>
      </c>
      <c r="K1908" s="5" t="inlineStr">
        <is>
          <t/>
        </is>
      </c>
      <c r="L1908" s="5" t="inlineStr">
        <is>
          <t/>
        </is>
      </c>
      <c r="M1908" s="3" t="inlineStr">
        <is>
          <t>Draft</t>
        </is>
      </c>
      <c r="N1908" s="3" t="inlineStr">
        <is>
          <t/>
        </is>
      </c>
      <c r="O1908" s="3" t="inlineStr">
        <is>
          <t>42847922MDD3003</t>
        </is>
      </c>
    </row>
    <row r="1909">
      <c r="A1909" s="2" t="str">
        <f>HYPERLINK("https://vtmf.veevavault.com/ui/#doc_info/28322677/0/1", "NE - 42847922MDD3003---Other Meetings (v0.1)")</f>
        <v>NE - 42847922MDD3003---Other Meetings (v0.1)</v>
      </c>
      <c r="B1909" s="3" t="inlineStr">
        <is>
          <t>Non Essential</t>
        </is>
      </c>
      <c r="C1909" s="3" t="inlineStr">
        <is>
          <t>Meeting Activities and Related Documents</t>
        </is>
      </c>
      <c r="D1909" s="3" t="inlineStr">
        <is>
          <t>Other Meetings</t>
        </is>
      </c>
      <c r="E1909" s="3" t="inlineStr">
        <is>
          <t>42847922MDD3003_NCC_Start-Up_bi-weekly RSU Study Team Meeting_17Feb2025</t>
        </is>
      </c>
      <c r="F1909" s="2" t="str">
        <f>HYPERLINK("https://vtmf.veevavault.com/ui/#doc_info/28322677/0/1", "VTMF-22721865")</f>
        <v>VTMF-22721865</v>
      </c>
      <c r="G1909" s="3" t="inlineStr">
        <is>
          <t/>
        </is>
      </c>
      <c r="H1909" s="3" t="inlineStr">
        <is>
          <t>Debhora Garcia</t>
        </is>
      </c>
      <c r="I1909" s="3" t="inlineStr">
        <is>
          <t>Debhora Garcia</t>
        </is>
      </c>
      <c r="J1909" s="4" t="n">
        <v>45707.096504629626</v>
      </c>
      <c r="K1909" s="5" t="inlineStr">
        <is>
          <t/>
        </is>
      </c>
      <c r="L1909" s="5" t="inlineStr">
        <is>
          <t/>
        </is>
      </c>
      <c r="M1909" s="3" t="inlineStr">
        <is>
          <t>Draft</t>
        </is>
      </c>
      <c r="N1909" s="3" t="inlineStr">
        <is>
          <t/>
        </is>
      </c>
      <c r="O1909" s="3" t="inlineStr">
        <is>
          <t>42847922MDD3003</t>
        </is>
      </c>
    </row>
    <row r="1910">
      <c r="A1910" s="2" t="str">
        <f>HYPERLINK("https://vtmf.veevavault.com/ui/#doc_info/28696520/0/1", "NE - 42847922MDD3003---Other Meetings (v0.1)")</f>
        <v>NE - 42847922MDD3003---Other Meetings (v0.1)</v>
      </c>
      <c r="B1910" s="3" t="inlineStr">
        <is>
          <t>Non Essential</t>
        </is>
      </c>
      <c r="C1910" s="3" t="inlineStr">
        <is>
          <t>Meeting Activities and Related Documents</t>
        </is>
      </c>
      <c r="D1910" s="3" t="inlineStr">
        <is>
          <t>Other Meetings</t>
        </is>
      </c>
      <c r="E1910" s="3" t="inlineStr">
        <is>
          <t>42847922MDD3003_NCC_Start-Up_bi-weekly RSU Study Team Meeting_17March2025</t>
        </is>
      </c>
      <c r="F1910" s="2" t="str">
        <f>HYPERLINK("https://vtmf.veevavault.com/ui/#doc_info/28696520/0/1", "VTMF-23051689")</f>
        <v>VTMF-23051689</v>
      </c>
      <c r="G1910" s="3" t="inlineStr">
        <is>
          <t/>
        </is>
      </c>
      <c r="H1910" s="3" t="inlineStr">
        <is>
          <t>Debhora Garcia</t>
        </is>
      </c>
      <c r="I1910" s="3" t="inlineStr">
        <is>
          <t>Debhora Garcia</t>
        </is>
      </c>
      <c r="J1910" s="4" t="n">
        <v>45735.07921296296</v>
      </c>
      <c r="K1910" s="5" t="inlineStr">
        <is>
          <t/>
        </is>
      </c>
      <c r="L1910" s="5" t="inlineStr">
        <is>
          <t/>
        </is>
      </c>
      <c r="M1910" s="3" t="inlineStr">
        <is>
          <t>Draft</t>
        </is>
      </c>
      <c r="N1910" s="3" t="inlineStr">
        <is>
          <t/>
        </is>
      </c>
      <c r="O1910" s="3" t="inlineStr">
        <is>
          <t>42847922MDD3003</t>
        </is>
      </c>
    </row>
    <row r="1911">
      <c r="A1911" s="2" t="str">
        <f>HYPERLINK("https://vtmf.veevavault.com/ui/#doc_info/25701649/0/1", "NE - 42847922MDD3003---Reports and Status Documents (v0.1)")</f>
        <v>NE - 42847922MDD3003---Reports and Status Documents (v0.1)</v>
      </c>
      <c r="B1911" s="3" t="inlineStr">
        <is>
          <t>Non Essential</t>
        </is>
      </c>
      <c r="C1911" s="3" t="inlineStr">
        <is>
          <t>Reports and Status Documents</t>
        </is>
      </c>
      <c r="D1911" s="3" t="inlineStr">
        <is>
          <t/>
        </is>
      </c>
      <c r="E1911" s="3" t="inlineStr">
        <is>
          <t>DH_Early Assessment_89495120MDD2001, 42847922MDD3003, 67953964MDD3005, 67953964MDD3007</t>
        </is>
      </c>
      <c r="F1911" s="2" t="str">
        <f>HYPERLINK("https://vtmf.veevavault.com/ui/#doc_info/25701649/0/1", "VTMF-20516787")</f>
        <v>VTMF-20516787</v>
      </c>
      <c r="G1911" s="3" t="inlineStr">
        <is>
          <t/>
        </is>
      </c>
      <c r="H1911" s="3" t="inlineStr">
        <is>
          <t>Jordan Bazarnik</t>
        </is>
      </c>
      <c r="I1911" s="3" t="inlineStr">
        <is>
          <t>Jordan Bazarnik</t>
        </is>
      </c>
      <c r="J1911" s="4" t="n">
        <v>45334.80296296296</v>
      </c>
      <c r="K1911" s="5" t="inlineStr">
        <is>
          <t/>
        </is>
      </c>
      <c r="L1911" s="5" t="inlineStr">
        <is>
          <t/>
        </is>
      </c>
      <c r="M1911" s="3" t="inlineStr">
        <is>
          <t>Draft</t>
        </is>
      </c>
      <c r="N1911" s="3" t="inlineStr">
        <is>
          <t/>
        </is>
      </c>
      <c r="O1911" s="3" t="inlineStr">
        <is>
          <t>42847922MDD3003, 67953964MDD3005, 67953964MDD3007, 89495120MDD2001</t>
        </is>
      </c>
    </row>
    <row r="1912">
      <c r="A1912" s="2" t="str">
        <f>HYPERLINK("https://vtmf.veevavault.com/ui/#doc_info/25946382/0/1", "NE - 42847922MDD3003---Site Templates and Guidelines - Other (v0.1)")</f>
        <v>NE - 42847922MDD3003---Site Templates and Guidelines - Other (v0.1)</v>
      </c>
      <c r="B1912" s="3" t="inlineStr">
        <is>
          <t>Non Essential</t>
        </is>
      </c>
      <c r="C1912" s="3" t="inlineStr">
        <is>
          <t>Site Templates and Guidelines</t>
        </is>
      </c>
      <c r="D1912" s="3" t="inlineStr">
        <is>
          <t>Site Templates and Guidelines</t>
        </is>
      </c>
      <c r="E1912" s="3" t="inlineStr">
        <is>
          <t>42847922MDD3003_Investigator PLS standard communication</t>
        </is>
      </c>
      <c r="F1912" s="2" t="str">
        <f>HYPERLINK("https://vtmf.veevavault.com/ui/#doc_info/25946382/0/1", "VTMF-20732492")</f>
        <v>VTMF-20732492</v>
      </c>
      <c r="G1912" s="3" t="inlineStr">
        <is>
          <t/>
        </is>
      </c>
      <c r="H1912" s="3" t="inlineStr">
        <is>
          <t>Jamie Hardy</t>
        </is>
      </c>
      <c r="I1912" s="3" t="inlineStr">
        <is>
          <t>Jamie Hardy</t>
        </is>
      </c>
      <c r="J1912" s="4" t="n">
        <v>45369.77587962963</v>
      </c>
      <c r="K1912" s="5" t="inlineStr">
        <is>
          <t/>
        </is>
      </c>
      <c r="L1912" s="5" t="inlineStr">
        <is>
          <t/>
        </is>
      </c>
      <c r="M1912" s="3" t="inlineStr">
        <is>
          <t>Draft</t>
        </is>
      </c>
      <c r="N1912" s="3" t="inlineStr">
        <is>
          <t>Available for Distribution</t>
        </is>
      </c>
      <c r="O1912" s="3" t="inlineStr">
        <is>
          <t>42847922MDD3003</t>
        </is>
      </c>
    </row>
    <row r="1913">
      <c r="A1913" s="2" t="str">
        <f>HYPERLINK("https://vtmf.veevavault.com/ui/#doc_info/26007234/0/61", "NE - 42847922MDD3003---Trackers (v0.61)")</f>
        <v>NE - 42847922MDD3003---Trackers (v0.61)</v>
      </c>
      <c r="B1913" s="3" t="inlineStr">
        <is>
          <t>Non Essential</t>
        </is>
      </c>
      <c r="C1913" s="3" t="inlineStr">
        <is>
          <t>Trackers</t>
        </is>
      </c>
      <c r="D1913" s="3" t="inlineStr">
        <is>
          <t/>
        </is>
      </c>
      <c r="E1913" s="3" t="inlineStr">
        <is>
          <t>42847922MDD3003_AI Log</t>
        </is>
      </c>
      <c r="F1913" s="2" t="str">
        <f>HYPERLINK("https://vtmf.veevavault.com/ui/#doc_info/26007234/0/61", "VTMF-20786142")</f>
        <v>VTMF-20786142</v>
      </c>
      <c r="G1913" s="3" t="inlineStr">
        <is>
          <t/>
        </is>
      </c>
      <c r="H1913" s="3" t="inlineStr">
        <is>
          <t>Debhora Garcia</t>
        </is>
      </c>
      <c r="I1913" s="3" t="inlineStr">
        <is>
          <t>Debhora Garcia</t>
        </is>
      </c>
      <c r="J1913" s="4" t="n">
        <v>45838.93913194445</v>
      </c>
      <c r="K1913" s="5" t="inlineStr">
        <is>
          <t/>
        </is>
      </c>
      <c r="L1913" s="5" t="inlineStr">
        <is>
          <t/>
        </is>
      </c>
      <c r="M1913" s="3" t="inlineStr">
        <is>
          <t>Draft</t>
        </is>
      </c>
      <c r="N1913" s="3" t="inlineStr">
        <is>
          <t/>
        </is>
      </c>
      <c r="O1913" s="3" t="inlineStr">
        <is>
          <t>42847922MDD3003</t>
        </is>
      </c>
    </row>
    <row r="1914">
      <c r="A1914" s="2" t="str">
        <f>HYPERLINK("https://vtmf.veevavault.com/ui/#doc_info/26007236/0/62", "NE - 42847922MDD3003---Trackers (v0.62)")</f>
        <v>NE - 42847922MDD3003---Trackers (v0.62)</v>
      </c>
      <c r="B1914" s="3" t="inlineStr">
        <is>
          <t>Non Essential</t>
        </is>
      </c>
      <c r="C1914" s="3" t="inlineStr">
        <is>
          <t>Trackers</t>
        </is>
      </c>
      <c r="D1914" s="3" t="inlineStr">
        <is>
          <t/>
        </is>
      </c>
      <c r="E1914" s="3" t="inlineStr">
        <is>
          <t>42847922MDD3003 - RSU OT</t>
        </is>
      </c>
      <c r="F1914" s="2" t="str">
        <f>HYPERLINK("https://vtmf.veevavault.com/ui/#doc_info/26007236/0/62", "VTMF-20786144")</f>
        <v>VTMF-20786144</v>
      </c>
      <c r="G1914" s="3" t="inlineStr">
        <is>
          <t/>
        </is>
      </c>
      <c r="H1914" s="3" t="inlineStr">
        <is>
          <t>Debhora Garcia</t>
        </is>
      </c>
      <c r="I1914" s="3" t="inlineStr">
        <is>
          <t>Debhora Garcia</t>
        </is>
      </c>
      <c r="J1914" s="4" t="n">
        <v>45838.938738425924</v>
      </c>
      <c r="K1914" s="5" t="inlineStr">
        <is>
          <t/>
        </is>
      </c>
      <c r="L1914" s="5" t="inlineStr">
        <is>
          <t/>
        </is>
      </c>
      <c r="M1914" s="3" t="inlineStr">
        <is>
          <t>Draft</t>
        </is>
      </c>
      <c r="N1914" s="3" t="inlineStr">
        <is>
          <t/>
        </is>
      </c>
      <c r="O1914" s="3" t="inlineStr">
        <is>
          <t>42847922MDD3003</t>
        </is>
      </c>
    </row>
    <row r="1915">
      <c r="A1915" s="2" t="str">
        <f>HYPERLINK("https://vtmf.veevavault.com/ui/#doc_info/26193374/0/1", "NE - 42847922MDD3003---Trackers (v0.1)")</f>
        <v>NE - 42847922MDD3003---Trackers (v0.1)</v>
      </c>
      <c r="B1915" s="3" t="inlineStr">
        <is>
          <t>Non Essential</t>
        </is>
      </c>
      <c r="C1915" s="3" t="inlineStr">
        <is>
          <t>Trackers</t>
        </is>
      </c>
      <c r="D1915" s="3" t="inlineStr">
        <is>
          <t/>
        </is>
      </c>
      <c r="E1915" s="3" t="inlineStr">
        <is>
          <t>42847922MDD3003 - Labcorp_MASCOT Report</t>
        </is>
      </c>
      <c r="F1915" s="2" t="str">
        <f>HYPERLINK("https://vtmf.veevavault.com/ui/#doc_info/26193374/0/1", "VTMF-20949348")</f>
        <v>VTMF-20949348</v>
      </c>
      <c r="G1915" s="3" t="inlineStr">
        <is>
          <t/>
        </is>
      </c>
      <c r="H1915" s="3" t="inlineStr">
        <is>
          <t>Arturo Munguia</t>
        </is>
      </c>
      <c r="I1915" s="3" t="inlineStr">
        <is>
          <t>Arturo Munguia</t>
        </is>
      </c>
      <c r="J1915" s="4" t="n">
        <v>45405.982986111114</v>
      </c>
      <c r="K1915" s="5" t="inlineStr">
        <is>
          <t/>
        </is>
      </c>
      <c r="L1915" s="5" t="inlineStr">
        <is>
          <t/>
        </is>
      </c>
      <c r="M1915" s="3" t="inlineStr">
        <is>
          <t>Draft</t>
        </is>
      </c>
      <c r="N1915" s="3" t="inlineStr">
        <is>
          <t/>
        </is>
      </c>
      <c r="O1915" s="3" t="inlineStr">
        <is>
          <t>42847922MDD3003</t>
        </is>
      </c>
    </row>
    <row r="1916">
      <c r="A1916" s="2" t="str">
        <f>HYPERLINK("https://vtmf.veevavault.com/ui/#doc_info/26232614/0/1", "NE - 42847922MDD3003---Trackers (v0.1)")</f>
        <v>NE - 42847922MDD3003---Trackers (v0.1)</v>
      </c>
      <c r="B1916" s="3" t="inlineStr">
        <is>
          <t>Non Essential</t>
        </is>
      </c>
      <c r="C1916" s="3" t="inlineStr">
        <is>
          <t>Trackers</t>
        </is>
      </c>
      <c r="D1916" s="3" t="inlineStr">
        <is>
          <t/>
        </is>
      </c>
      <c r="E1916" s="3" t="inlineStr">
        <is>
          <t>Cronos access tracker_ongoing</t>
        </is>
      </c>
      <c r="F1916" s="2" t="str">
        <f>HYPERLINK("https://vtmf.veevavault.com/ui/#doc_info/26232614/0/1", "VTMF-20982821")</f>
        <v>VTMF-20982821</v>
      </c>
      <c r="G1916" s="3" t="inlineStr">
        <is>
          <t/>
        </is>
      </c>
      <c r="H1916" s="3" t="inlineStr">
        <is>
          <t>Kristina Ruzinska</t>
        </is>
      </c>
      <c r="I1916" s="3" t="inlineStr">
        <is>
          <t>Kristina Ruzinska</t>
        </is>
      </c>
      <c r="J1916" s="4" t="n">
        <v>45412.45652777778</v>
      </c>
      <c r="K1916" s="5" t="inlineStr">
        <is>
          <t/>
        </is>
      </c>
      <c r="L1916" s="5" t="inlineStr">
        <is>
          <t/>
        </is>
      </c>
      <c r="M1916" s="3" t="inlineStr">
        <is>
          <t>Draft</t>
        </is>
      </c>
      <c r="N1916" s="3" t="inlineStr">
        <is>
          <t/>
        </is>
      </c>
      <c r="O1916" s="3" t="inlineStr">
        <is>
          <t>42847922MDD3003</t>
        </is>
      </c>
    </row>
    <row r="1917">
      <c r="A1917" s="2" t="str">
        <f>HYPERLINK("https://vtmf.veevavault.com/ui/#doc_info/26232767/0/54", "NE - 42847922MDD3003---Trackers (v0.54)")</f>
        <v>NE - 42847922MDD3003---Trackers (v0.54)</v>
      </c>
      <c r="B1917" s="3" t="inlineStr">
        <is>
          <t>Non Essential</t>
        </is>
      </c>
      <c r="C1917" s="3" t="inlineStr">
        <is>
          <t>Trackers</t>
        </is>
      </c>
      <c r="D1917" s="3" t="inlineStr">
        <is>
          <t/>
        </is>
      </c>
      <c r="E1917" s="3" t="inlineStr">
        <is>
          <t>Clario eCOA_Batch loader for shipments 23Apr2025</t>
        </is>
      </c>
      <c r="F1917" s="2" t="str">
        <f>HYPERLINK("https://vtmf.veevavault.com/ui/#doc_info/26232767/0/54", "VTMF-20983051")</f>
        <v>VTMF-20983051</v>
      </c>
      <c r="G1917" s="3" t="inlineStr">
        <is>
          <t/>
        </is>
      </c>
      <c r="H1917" s="3" t="inlineStr">
        <is>
          <t>Debhora Garcia</t>
        </is>
      </c>
      <c r="I1917" s="3" t="inlineStr">
        <is>
          <t>Debhora Garcia</t>
        </is>
      </c>
      <c r="J1917" s="4" t="n">
        <v>45770.23012731481</v>
      </c>
      <c r="K1917" s="5" t="inlineStr">
        <is>
          <t/>
        </is>
      </c>
      <c r="L1917" s="5" t="inlineStr">
        <is>
          <t/>
        </is>
      </c>
      <c r="M1917" s="3" t="inlineStr">
        <is>
          <t>Draft</t>
        </is>
      </c>
      <c r="N1917" s="3" t="inlineStr">
        <is>
          <t/>
        </is>
      </c>
      <c r="O1917" s="3" t="inlineStr">
        <is>
          <t>42847922MDD3003</t>
        </is>
      </c>
    </row>
    <row r="1918">
      <c r="A1918" s="2" t="str">
        <f>HYPERLINK("https://vtmf.veevavault.com/ui/#doc_info/26238678/11/139", "NE - 42847922MDD3003---Trackers (v11.139)")</f>
        <v>NE - 42847922MDD3003---Trackers (v11.139)</v>
      </c>
      <c r="B1918" s="3" t="inlineStr">
        <is>
          <t>Non Essential</t>
        </is>
      </c>
      <c r="C1918" s="3" t="inlineStr">
        <is>
          <t>Trackers</t>
        </is>
      </c>
      <c r="D1918" s="3" t="inlineStr">
        <is>
          <t/>
        </is>
      </c>
      <c r="E1918" s="3" t="inlineStr">
        <is>
          <t>42847922MDD3003_Labcorp_Global Access List_05Jun2026</t>
        </is>
      </c>
      <c r="F1918" s="2" t="str">
        <f>HYPERLINK("https://vtmf.veevavault.com/ui/#doc_info/26238678/11/139", "VTMF-20988200")</f>
        <v>VTMF-20988200</v>
      </c>
      <c r="G1918" s="3" t="inlineStr">
        <is>
          <t/>
        </is>
      </c>
      <c r="H1918" s="3" t="inlineStr">
        <is>
          <t>Debhora Garcia</t>
        </is>
      </c>
      <c r="I1918" s="3" t="inlineStr">
        <is>
          <t>Debhora Garcia</t>
        </is>
      </c>
      <c r="J1918" s="4" t="n">
        <v>46179.11671296296</v>
      </c>
      <c r="K1918" s="5" t="n">
        <v>45453.0</v>
      </c>
      <c r="L1918" s="5" t="inlineStr">
        <is>
          <t/>
        </is>
      </c>
      <c r="M1918" s="3" t="inlineStr">
        <is>
          <t>Draft</t>
        </is>
      </c>
      <c r="N1918" s="3" t="inlineStr">
        <is>
          <t/>
        </is>
      </c>
      <c r="O1918" s="3" t="inlineStr">
        <is>
          <t>42847922MDD3003</t>
        </is>
      </c>
    </row>
    <row r="1919">
      <c r="A1919" s="2" t="str">
        <f>HYPERLINK("https://vtmf.veevavault.com/ui/#doc_info/26251823/0/10", "NE - 42847922MDD3003---Trackers (v0.10)")</f>
        <v>NE - 42847922MDD3003---Trackers (v0.10)</v>
      </c>
      <c r="B1919" s="3" t="inlineStr">
        <is>
          <t>Non Essential</t>
        </is>
      </c>
      <c r="C1919" s="3" t="inlineStr">
        <is>
          <t>Trackers</t>
        </is>
      </c>
      <c r="D1919" s="3" t="inlineStr">
        <is>
          <t/>
        </is>
      </c>
      <c r="E1919" s="3" t="inlineStr">
        <is>
          <t>42847922MDD3003 Global Documents Tracker 02May2024</t>
        </is>
      </c>
      <c r="F1919" s="2" t="str">
        <f>HYPERLINK("https://vtmf.veevavault.com/ui/#doc_info/26251823/0/10", "VTMF-20999625")</f>
        <v>VTMF-20999625</v>
      </c>
      <c r="G1919" s="3" t="inlineStr">
        <is>
          <t/>
        </is>
      </c>
      <c r="H1919" s="3" t="inlineStr">
        <is>
          <t>Kristina Ruzinska</t>
        </is>
      </c>
      <c r="I1919" s="3" t="inlineStr">
        <is>
          <t>Kristina Ruzinska</t>
        </is>
      </c>
      <c r="J1919" s="4" t="n">
        <v>45533.46467592593</v>
      </c>
      <c r="K1919" s="5" t="inlineStr">
        <is>
          <t/>
        </is>
      </c>
      <c r="L1919" s="5" t="inlineStr">
        <is>
          <t/>
        </is>
      </c>
      <c r="M1919" s="3" t="inlineStr">
        <is>
          <t>Draft</t>
        </is>
      </c>
      <c r="N1919" s="3" t="inlineStr">
        <is>
          <t/>
        </is>
      </c>
      <c r="O1919" s="3" t="inlineStr">
        <is>
          <t>42847922MDD3003</t>
        </is>
      </c>
    </row>
    <row r="1920">
      <c r="A1920" s="2" t="str">
        <f>HYPERLINK("https://vtmf.veevavault.com/ui/#doc_info/26312514/0/9", "NE - 42847922MDD3003---Trackers (v0.9)")</f>
        <v>NE - 42847922MDD3003---Trackers (v0.9)</v>
      </c>
      <c r="B1920" s="3" t="inlineStr">
        <is>
          <t>Non Essential</t>
        </is>
      </c>
      <c r="C1920" s="3" t="inlineStr">
        <is>
          <t>Trackers</t>
        </is>
      </c>
      <c r="D1920" s="3" t="inlineStr">
        <is>
          <t/>
        </is>
      </c>
      <c r="E1920" s="3" t="inlineStr">
        <is>
          <t>42847922MDD3003 Clario Sponsor Portal Access Tracker 21Aug2024</t>
        </is>
      </c>
      <c r="F1920" s="2" t="str">
        <f>HYPERLINK("https://vtmf.veevavault.com/ui/#doc_info/26312514/0/9", "VTMF-21052661")</f>
        <v>VTMF-21052661</v>
      </c>
      <c r="G1920" s="3" t="inlineStr">
        <is>
          <t/>
        </is>
      </c>
      <c r="H1920" s="3" t="inlineStr">
        <is>
          <t>Francesca Cavaciocchi</t>
        </is>
      </c>
      <c r="I1920" s="3" t="inlineStr">
        <is>
          <t>Francesca Cavaciocchi</t>
        </is>
      </c>
      <c r="J1920" s="4" t="n">
        <v>45727.74883101852</v>
      </c>
      <c r="K1920" s="5" t="inlineStr">
        <is>
          <t/>
        </is>
      </c>
      <c r="L1920" s="5" t="inlineStr">
        <is>
          <t/>
        </is>
      </c>
      <c r="M1920" s="3" t="inlineStr">
        <is>
          <t>Draft</t>
        </is>
      </c>
      <c r="N1920" s="3" t="inlineStr">
        <is>
          <t/>
        </is>
      </c>
      <c r="O1920" s="3" t="inlineStr">
        <is>
          <t>42847922MDD3003</t>
        </is>
      </c>
    </row>
    <row r="1921">
      <c r="A1921" s="2" t="str">
        <f>HYPERLINK("https://vtmf.veevavault.com/ui/#doc_info/26325029/2/63", "NE - 42847922MDD3003---Trackers (v2.63)")</f>
        <v>NE - 42847922MDD3003---Trackers (v2.63)</v>
      </c>
      <c r="B1921" s="3" t="inlineStr">
        <is>
          <t>Non Essential</t>
        </is>
      </c>
      <c r="C1921" s="3" t="inlineStr">
        <is>
          <t>Trackers</t>
        </is>
      </c>
      <c r="D1921" s="3" t="inlineStr">
        <is>
          <t/>
        </is>
      </c>
      <c r="E1921" s="3" t="inlineStr">
        <is>
          <t>42847922MDD3003_Labcorp_Portal Access List_05Jun2026</t>
        </is>
      </c>
      <c r="F1921" s="2" t="str">
        <f>HYPERLINK("https://vtmf.veevavault.com/ui/#doc_info/26325029/2/63", "VTMF-21063549")</f>
        <v>VTMF-21063549</v>
      </c>
      <c r="G1921" s="3" t="inlineStr">
        <is>
          <t/>
        </is>
      </c>
      <c r="H1921" s="3" t="inlineStr">
        <is>
          <t>Debhora Garcia</t>
        </is>
      </c>
      <c r="I1921" s="3" t="inlineStr">
        <is>
          <t>Debhora Garcia</t>
        </is>
      </c>
      <c r="J1921" s="4" t="n">
        <v>46179.11620370371</v>
      </c>
      <c r="K1921" s="5" t="n">
        <v>45686.0</v>
      </c>
      <c r="L1921" s="5" t="inlineStr">
        <is>
          <t/>
        </is>
      </c>
      <c r="M1921" s="3" t="inlineStr">
        <is>
          <t>Draft</t>
        </is>
      </c>
      <c r="N1921" s="3" t="inlineStr">
        <is>
          <t/>
        </is>
      </c>
      <c r="O1921" s="3" t="inlineStr">
        <is>
          <t>42847922MDD3003</t>
        </is>
      </c>
    </row>
    <row r="1922">
      <c r="A1922" s="2" t="str">
        <f>HYPERLINK("https://vtmf.veevavault.com/ui/#doc_info/26349440/0/2", "NE - 42847922MDD3003---Trackers (v0.2)")</f>
        <v>NE - 42847922MDD3003---Trackers (v0.2)</v>
      </c>
      <c r="B1922" s="3" t="inlineStr">
        <is>
          <t>Non Essential</t>
        </is>
      </c>
      <c r="C1922" s="3" t="inlineStr">
        <is>
          <t>Trackers</t>
        </is>
      </c>
      <c r="D1922" s="3" t="inlineStr">
        <is>
          <t/>
        </is>
      </c>
      <c r="E1922" s="3" t="inlineStr">
        <is>
          <t>4G Import Report_US Sites_On going</t>
        </is>
      </c>
      <c r="F1922" s="2" t="str">
        <f>HYPERLINK("https://vtmf.veevavault.com/ui/#doc_info/26349440/0/2", "VTMF-21084964")</f>
        <v>VTMF-21084964</v>
      </c>
      <c r="G1922" s="3" t="inlineStr">
        <is>
          <t/>
        </is>
      </c>
      <c r="H1922" s="3" t="inlineStr">
        <is>
          <t>Gina Stefanelli</t>
        </is>
      </c>
      <c r="I1922" s="3" t="inlineStr">
        <is>
          <t>Gina Stefanelli</t>
        </is>
      </c>
      <c r="J1922" s="4" t="n">
        <v>45448.6899537037</v>
      </c>
      <c r="K1922" s="5" t="inlineStr">
        <is>
          <t/>
        </is>
      </c>
      <c r="L1922" s="5" t="inlineStr">
        <is>
          <t/>
        </is>
      </c>
      <c r="M1922" s="3" t="inlineStr">
        <is>
          <t>Draft</t>
        </is>
      </c>
      <c r="N1922" s="3" t="inlineStr">
        <is>
          <t/>
        </is>
      </c>
      <c r="O1922" s="3" t="inlineStr">
        <is>
          <t>42847922MDD3003</t>
        </is>
      </c>
    </row>
    <row r="1923">
      <c r="A1923" s="2" t="str">
        <f>HYPERLINK("https://vtmf.veevavault.com/ui/#doc_info/27260284/0/33", "NE - 42847922MDD3003---Trackers (v0.33)")</f>
        <v>NE - 42847922MDD3003---Trackers (v0.33)</v>
      </c>
      <c r="B1923" s="3" t="inlineStr">
        <is>
          <t>Non Essential</t>
        </is>
      </c>
      <c r="C1923" s="3" t="inlineStr">
        <is>
          <t>Trackers</t>
        </is>
      </c>
      <c r="D1923" s="3" t="inlineStr">
        <is>
          <t/>
        </is>
      </c>
      <c r="E1923" s="3" t="inlineStr">
        <is>
          <t>42847922MDD3003_LabCorp user list_16Apr2026</t>
        </is>
      </c>
      <c r="F1923" s="2" t="str">
        <f>HYPERLINK("https://vtmf.veevavault.com/ui/#doc_info/27260284/0/33", "VTMF-21861905")</f>
        <v>VTMF-21861905</v>
      </c>
      <c r="G1923" s="3" t="inlineStr">
        <is>
          <t/>
        </is>
      </c>
      <c r="H1923" s="3" t="inlineStr">
        <is>
          <t>Debhora Garcia</t>
        </is>
      </c>
      <c r="I1923" s="3" t="inlineStr">
        <is>
          <t>Debhora Garcia</t>
        </is>
      </c>
      <c r="J1923" s="4" t="n">
        <v>46128.83361111111</v>
      </c>
      <c r="K1923" s="5" t="inlineStr">
        <is>
          <t/>
        </is>
      </c>
      <c r="L1923" s="5" t="inlineStr">
        <is>
          <t/>
        </is>
      </c>
      <c r="M1923" s="3" t="inlineStr">
        <is>
          <t>Draft</t>
        </is>
      </c>
      <c r="N1923" s="3" t="inlineStr">
        <is>
          <t/>
        </is>
      </c>
      <c r="O1923" s="3" t="inlineStr">
        <is>
          <t>42847922MDD3003</t>
        </is>
      </c>
    </row>
    <row r="1924">
      <c r="A1924" s="2" t="str">
        <f>HYPERLINK("https://vtmf.veevavault.com/ui/#doc_info/27915676/14/1", "NE - 42847922MDD3003---Trackers (v14.1)")</f>
        <v>NE - 42847922MDD3003---Trackers (v14.1)</v>
      </c>
      <c r="B1924" s="3" t="inlineStr">
        <is>
          <t>Non Essential</t>
        </is>
      </c>
      <c r="C1924" s="3" t="inlineStr">
        <is>
          <t>Trackers</t>
        </is>
      </c>
      <c r="D1924" s="3" t="inlineStr">
        <is>
          <t/>
        </is>
      </c>
      <c r="E1924" s="3" t="inlineStr">
        <is>
          <t>MDD3003_Imperial _Shipment activity by protocol</t>
        </is>
      </c>
      <c r="F1924" s="2" t="str">
        <f>HYPERLINK("https://vtmf.veevavault.com/ui/#doc_info/27915676/14/1", "VTMF-22381793")</f>
        <v>VTMF-22381793</v>
      </c>
      <c r="G1924" s="3" t="inlineStr">
        <is>
          <t/>
        </is>
      </c>
      <c r="H1924" s="3" t="inlineStr">
        <is>
          <t>Kristina Ruzinska</t>
        </is>
      </c>
      <c r="I1924" s="3" t="inlineStr">
        <is>
          <t>Kristina Ruzinska</t>
        </is>
      </c>
      <c r="J1924" s="4" t="n">
        <v>46106.75528935185</v>
      </c>
      <c r="K1924" s="5" t="n">
        <v>45910.0</v>
      </c>
      <c r="L1924" s="5" t="inlineStr">
        <is>
          <t/>
        </is>
      </c>
      <c r="M1924" s="3" t="inlineStr">
        <is>
          <t>Draft</t>
        </is>
      </c>
      <c r="N1924" s="3" t="inlineStr">
        <is>
          <t/>
        </is>
      </c>
      <c r="O1924" s="3" t="inlineStr">
        <is>
          <t>42847922MDD3003</t>
        </is>
      </c>
    </row>
    <row r="1925">
      <c r="A1925" s="2" t="str">
        <f>HYPERLINK("https://vtmf.veevavault.com/ui/#doc_info/30258144/0/1", "NE - 42847922MDD3003---Trackers (v0.1)")</f>
        <v>NE - 42847922MDD3003---Trackers (v0.1)</v>
      </c>
      <c r="B1925" s="3" t="inlineStr">
        <is>
          <t>Non Essential</t>
        </is>
      </c>
      <c r="C1925" s="3" t="inlineStr">
        <is>
          <t>Trackers</t>
        </is>
      </c>
      <c r="D1925" s="3" t="inlineStr">
        <is>
          <t/>
        </is>
      </c>
      <c r="E1925" s="3" t="inlineStr">
        <is>
          <t>42847922MDD3003_Labcorp_Portal Access List_22Oct2025</t>
        </is>
      </c>
      <c r="F1925" s="2" t="str">
        <f>HYPERLINK("https://vtmf.veevavault.com/ui/#doc_info/30258144/0/1", "VTMF-24364572")</f>
        <v>VTMF-24364572</v>
      </c>
      <c r="G1925" s="3" t="inlineStr">
        <is>
          <t/>
        </is>
      </c>
      <c r="H1925" s="3" t="inlineStr">
        <is>
          <t>System</t>
        </is>
      </c>
      <c r="I1925" s="3" t="inlineStr">
        <is>
          <t>Gina Stefanelli</t>
        </is>
      </c>
      <c r="J1925" s="4" t="n">
        <v>45959.584386574075</v>
      </c>
      <c r="K1925" s="5" t="n">
        <v>45686.0</v>
      </c>
      <c r="L1925" s="5" t="inlineStr">
        <is>
          <t/>
        </is>
      </c>
      <c r="M1925" s="3" t="inlineStr">
        <is>
          <t>Draft</t>
        </is>
      </c>
      <c r="N1925" s="3" t="inlineStr">
        <is>
          <t/>
        </is>
      </c>
      <c r="O1925" s="3" t="inlineStr">
        <is>
          <t>42847922MDD3003</t>
        </is>
      </c>
    </row>
    <row r="1926">
      <c r="A1926" s="2" t="str">
        <f>HYPERLINK("https://vtmf.veevavault.com/ui/#doc_info/29714805/0/1", "NE - 42847922MDD3003---Trial Conduct-General Documentation (v0.1)")</f>
        <v>NE - 42847922MDD3003---Trial Conduct-General Documentation (v0.1)</v>
      </c>
      <c r="B1926" s="3" t="inlineStr">
        <is>
          <t>Non Essential</t>
        </is>
      </c>
      <c r="C1926" s="3" t="inlineStr">
        <is>
          <t>Data Management</t>
        </is>
      </c>
      <c r="D1926" s="3" t="inlineStr">
        <is>
          <t>Trial Conduct</t>
        </is>
      </c>
      <c r="E1926" s="3" t="inlineStr">
        <is>
          <t>NC-041059._42847922MDD3003 SRP annotated 06 Aug 2025</t>
        </is>
      </c>
      <c r="F1926" s="2" t="str">
        <f>HYPERLINK("https://vtmf.veevavault.com/ui/#doc_info/29714805/0/1", "VTMF-23908528")</f>
        <v>VTMF-23908528</v>
      </c>
      <c r="G1926" s="3" t="inlineStr">
        <is>
          <t/>
        </is>
      </c>
      <c r="H1926" s="3" t="inlineStr">
        <is>
          <t>JAMES SHARP</t>
        </is>
      </c>
      <c r="I1926" s="3" t="inlineStr">
        <is>
          <t>JAMES SHARP</t>
        </is>
      </c>
      <c r="J1926" s="4" t="n">
        <v>45875.836909722224</v>
      </c>
      <c r="K1926" s="5" t="inlineStr">
        <is>
          <t/>
        </is>
      </c>
      <c r="L1926" s="5" t="n">
        <v>45875.0</v>
      </c>
      <c r="M1926" s="3" t="inlineStr">
        <is>
          <t>Draft</t>
        </is>
      </c>
      <c r="N1926" s="3" t="inlineStr">
        <is>
          <t/>
        </is>
      </c>
      <c r="O1926" s="3" t="inlineStr">
        <is>
          <t>42847922MDD3003</t>
        </is>
      </c>
    </row>
    <row r="1927">
      <c r="A1927" s="2" t="str">
        <f>HYPERLINK("https://vtmf.veevavault.com/ui/#doc_info/29593153/0/1", "NE - 42847922MDD3003---Trial Conduct-Metrics / Reports (v0.1)")</f>
        <v>NE - 42847922MDD3003---Trial Conduct-Metrics / Reports (v0.1)</v>
      </c>
      <c r="B1927" s="3" t="inlineStr">
        <is>
          <t>Non Essential</t>
        </is>
      </c>
      <c r="C1927" s="3" t="inlineStr">
        <is>
          <t>Data Management</t>
        </is>
      </c>
      <c r="D1927" s="3" t="inlineStr">
        <is>
          <t>Trial Conduct</t>
        </is>
      </c>
      <c r="E1927" s="3" t="inlineStr">
        <is>
          <t>42847922MDD3003_18 JUL 2025</t>
        </is>
      </c>
      <c r="F1927" s="2" t="str">
        <f>HYPERLINK("https://vtmf.veevavault.com/ui/#doc_info/29593153/0/1", "VTMF-23804725")</f>
        <v>VTMF-23804725</v>
      </c>
      <c r="G1927" s="3" t="inlineStr">
        <is>
          <t/>
        </is>
      </c>
      <c r="H1927" s="3" t="inlineStr">
        <is>
          <t>Shyamaprasad Ghosh</t>
        </is>
      </c>
      <c r="I1927" s="3" t="inlineStr">
        <is>
          <t>Shyamaprasad Ghosh</t>
        </is>
      </c>
      <c r="J1927" s="4" t="n">
        <v>45859.58295138889</v>
      </c>
      <c r="K1927" s="5" t="inlineStr">
        <is>
          <t/>
        </is>
      </c>
      <c r="L1927" s="5" t="n">
        <v>45859.0</v>
      </c>
      <c r="M1927" s="3" t="inlineStr">
        <is>
          <t>Draft</t>
        </is>
      </c>
      <c r="N1927" s="3" t="inlineStr">
        <is>
          <t/>
        </is>
      </c>
      <c r="O1927" s="3" t="inlineStr">
        <is>
          <t>42847922MDD3003</t>
        </is>
      </c>
    </row>
    <row r="1928">
      <c r="A1928" s="2" t="str">
        <f>HYPERLINK("https://vtmf.veevavault.com/ui/#doc_info/29781770/0/1", "NE - 42847922MDD3003---Trial Conduct-Metrics / Reports (v0.1)")</f>
        <v>NE - 42847922MDD3003---Trial Conduct-Metrics / Reports (v0.1)</v>
      </c>
      <c r="B1928" s="3" t="inlineStr">
        <is>
          <t>Non Essential</t>
        </is>
      </c>
      <c r="C1928" s="3" t="inlineStr">
        <is>
          <t>Data Management</t>
        </is>
      </c>
      <c r="D1928" s="3" t="inlineStr">
        <is>
          <t>Trial Conduct</t>
        </is>
      </c>
      <c r="E1928" s="3" t="inlineStr">
        <is>
          <t>42847922MDD3003_Single Slider_D4U Status</t>
        </is>
      </c>
      <c r="F1928" s="2" t="str">
        <f>HYPERLINK("https://vtmf.veevavault.com/ui/#doc_info/29781770/0/1", "VTMF-23966098")</f>
        <v>VTMF-23966098</v>
      </c>
      <c r="G1928" s="3" t="inlineStr">
        <is>
          <t/>
        </is>
      </c>
      <c r="H1928" s="3" t="inlineStr">
        <is>
          <t>Shyamaprasad Ghosh</t>
        </is>
      </c>
      <c r="I1928" s="3" t="inlineStr">
        <is>
          <t>Shyamaprasad Ghosh</t>
        </is>
      </c>
      <c r="J1928" s="4" t="n">
        <v>45887.58945601852</v>
      </c>
      <c r="K1928" s="5" t="inlineStr">
        <is>
          <t/>
        </is>
      </c>
      <c r="L1928" s="5" t="n">
        <v>45887.0</v>
      </c>
      <c r="M1928" s="3" t="inlineStr">
        <is>
          <t>Draft</t>
        </is>
      </c>
      <c r="N1928" s="3" t="inlineStr">
        <is>
          <t/>
        </is>
      </c>
      <c r="O1928" s="3" t="inlineStr">
        <is>
          <t>42847922MDD3003</t>
        </is>
      </c>
    </row>
    <row r="1929">
      <c r="A1929" s="2" t="str">
        <f>HYPERLINK("https://vtmf.veevavault.com/ui/#doc_info/29951245/0/1", "NE - 42847922MDD3003---Trial Conduct-Metrics / Reports (v0.1)")</f>
        <v>NE - 42847922MDD3003---Trial Conduct-Metrics / Reports (v0.1)</v>
      </c>
      <c r="B1929" s="3" t="inlineStr">
        <is>
          <t>Non Essential</t>
        </is>
      </c>
      <c r="C1929" s="3" t="inlineStr">
        <is>
          <t>Data Management</t>
        </is>
      </c>
      <c r="D1929" s="3" t="inlineStr">
        <is>
          <t>Trial Conduct</t>
        </is>
      </c>
      <c r="E1929" s="3" t="inlineStr">
        <is>
          <t/>
        </is>
      </c>
      <c r="F1929" s="2" t="str">
        <f>HYPERLINK("https://vtmf.veevavault.com/ui/#doc_info/29951245/0/1", "VTMF-24112029")</f>
        <v>VTMF-24112029</v>
      </c>
      <c r="G1929" s="3" t="inlineStr">
        <is>
          <t/>
        </is>
      </c>
      <c r="H1929" s="3" t="inlineStr">
        <is>
          <t>Shyamaprasad Ghosh</t>
        </is>
      </c>
      <c r="I1929" s="3" t="inlineStr">
        <is>
          <t>Shyamaprasad Ghosh</t>
        </is>
      </c>
      <c r="J1929" s="4" t="n">
        <v>45915.404594907406</v>
      </c>
      <c r="K1929" s="5" t="inlineStr">
        <is>
          <t/>
        </is>
      </c>
      <c r="L1929" s="5" t="n">
        <v>45915.0</v>
      </c>
      <c r="M1929" s="3" t="inlineStr">
        <is>
          <t>Draft</t>
        </is>
      </c>
      <c r="N1929" s="3" t="inlineStr">
        <is>
          <t/>
        </is>
      </c>
      <c r="O1929" s="3" t="inlineStr">
        <is>
          <t>42847922MDD3003</t>
        </is>
      </c>
    </row>
    <row r="1930">
      <c r="A1930" s="2" t="str">
        <f>HYPERLINK("https://vtmf.veevavault.com/ui/#doc_info/30145160/0/1", "NE - 42847922MDD3003---Trial Conduct-Metrics / Reports (v0.1)")</f>
        <v>NE - 42847922MDD3003---Trial Conduct-Metrics / Reports (v0.1)</v>
      </c>
      <c r="B1930" s="3" t="inlineStr">
        <is>
          <t>Non Essential</t>
        </is>
      </c>
      <c r="C1930" s="3" t="inlineStr">
        <is>
          <t>Data Management</t>
        </is>
      </c>
      <c r="D1930" s="3" t="inlineStr">
        <is>
          <t>Trial Conduct</t>
        </is>
      </c>
      <c r="E1930" s="3" t="inlineStr">
        <is>
          <t/>
        </is>
      </c>
      <c r="F1930" s="2" t="str">
        <f>HYPERLINK("https://vtmf.veevavault.com/ui/#doc_info/30145160/0/1", "VTMF-24268493")</f>
        <v>VTMF-24268493</v>
      </c>
      <c r="G1930" s="3" t="inlineStr">
        <is>
          <t/>
        </is>
      </c>
      <c r="H1930" s="3" t="inlineStr">
        <is>
          <t>Shyamaprasad Ghosh</t>
        </is>
      </c>
      <c r="I1930" s="3" t="inlineStr">
        <is>
          <t>Shyamaprasad Ghosh</t>
        </is>
      </c>
      <c r="J1930" s="4" t="n">
        <v>45943.673796296294</v>
      </c>
      <c r="K1930" s="5" t="inlineStr">
        <is>
          <t/>
        </is>
      </c>
      <c r="L1930" s="5" t="n">
        <v>45943.0</v>
      </c>
      <c r="M1930" s="3" t="inlineStr">
        <is>
          <t>Draft</t>
        </is>
      </c>
      <c r="N1930" s="3" t="inlineStr">
        <is>
          <t/>
        </is>
      </c>
      <c r="O1930" s="3" t="inlineStr">
        <is>
          <t>42847922MDD3003</t>
        </is>
      </c>
    </row>
    <row r="1931">
      <c r="A1931" s="2" t="str">
        <f>HYPERLINK("https://vtmf.veevavault.com/ui/#doc_info/30145500/0/1", "NE - 42847922MDD3003---Trial Conduct-Metrics / Reports (v0.1)")</f>
        <v>NE - 42847922MDD3003---Trial Conduct-Metrics / Reports (v0.1)</v>
      </c>
      <c r="B1931" s="3" t="inlineStr">
        <is>
          <t>Non Essential</t>
        </is>
      </c>
      <c r="C1931" s="3" t="inlineStr">
        <is>
          <t>Data Management</t>
        </is>
      </c>
      <c r="D1931" s="3" t="inlineStr">
        <is>
          <t>Trial Conduct</t>
        </is>
      </c>
      <c r="E1931" s="3" t="inlineStr">
        <is>
          <t/>
        </is>
      </c>
      <c r="F1931" s="2" t="str">
        <f>HYPERLINK("https://vtmf.veevavault.com/ui/#doc_info/30145500/0/1", "VTMF-24268806")</f>
        <v>VTMF-24268806</v>
      </c>
      <c r="G1931" s="3" t="inlineStr">
        <is>
          <t/>
        </is>
      </c>
      <c r="H1931" s="3" t="inlineStr">
        <is>
          <t>Shyamaprasad Ghosh</t>
        </is>
      </c>
      <c r="I1931" s="3" t="inlineStr">
        <is>
          <t>Shyamaprasad Ghosh</t>
        </is>
      </c>
      <c r="J1931" s="4" t="n">
        <v>45943.70914351852</v>
      </c>
      <c r="K1931" s="5" t="inlineStr">
        <is>
          <t/>
        </is>
      </c>
      <c r="L1931" s="5" t="n">
        <v>45943.0</v>
      </c>
      <c r="M1931" s="3" t="inlineStr">
        <is>
          <t>Draft</t>
        </is>
      </c>
      <c r="N1931" s="3" t="inlineStr">
        <is>
          <t/>
        </is>
      </c>
      <c r="O1931" s="3" t="inlineStr">
        <is>
          <t>42847922MDD3003</t>
        </is>
      </c>
    </row>
    <row r="1932">
      <c r="A1932" s="2" t="str">
        <f>HYPERLINK("https://vtmf.veevavault.com/ui/#doc_info/30383635/0/1", "NE - 42847922MDD3003---Trial Conduct-Metrics / Reports (v0.1)")</f>
        <v>NE - 42847922MDD3003---Trial Conduct-Metrics / Reports (v0.1)</v>
      </c>
      <c r="B1932" s="3" t="inlineStr">
        <is>
          <t>Non Essential</t>
        </is>
      </c>
      <c r="C1932" s="3" t="inlineStr">
        <is>
          <t>Data Management</t>
        </is>
      </c>
      <c r="D1932" s="3" t="inlineStr">
        <is>
          <t>Trial Conduct</t>
        </is>
      </c>
      <c r="E1932" s="3" t="inlineStr">
        <is>
          <t/>
        </is>
      </c>
      <c r="F1932" s="2" t="str">
        <f>HYPERLINK("https://vtmf.veevavault.com/ui/#doc_info/30383635/0/1", "VTMF-24472901")</f>
        <v>VTMF-24472901</v>
      </c>
      <c r="G1932" s="3" t="inlineStr">
        <is>
          <t/>
        </is>
      </c>
      <c r="H1932" s="3" t="inlineStr">
        <is>
          <t>Shyamaprasad Ghosh</t>
        </is>
      </c>
      <c r="I1932" s="3" t="inlineStr">
        <is>
          <t>Shyamaprasad Ghosh</t>
        </is>
      </c>
      <c r="J1932" s="4" t="n">
        <v>45975.47856481482</v>
      </c>
      <c r="K1932" s="5" t="inlineStr">
        <is>
          <t/>
        </is>
      </c>
      <c r="L1932" s="5" t="n">
        <v>45975.0</v>
      </c>
      <c r="M1932" s="3" t="inlineStr">
        <is>
          <t>Draft</t>
        </is>
      </c>
      <c r="N1932" s="3" t="inlineStr">
        <is>
          <t/>
        </is>
      </c>
      <c r="O1932" s="3" t="inlineStr">
        <is>
          <t>42847922MDD3003</t>
        </is>
      </c>
    </row>
    <row r="1933">
      <c r="A1933" s="2" t="str">
        <f>HYPERLINK("https://vtmf.veevavault.com/ui/#doc_info/30383673/0/1", "NE - 42847922MDD3003---Trial Conduct-Metrics / Reports (v0.1)")</f>
        <v>NE - 42847922MDD3003---Trial Conduct-Metrics / Reports (v0.1)</v>
      </c>
      <c r="B1933" s="3" t="inlineStr">
        <is>
          <t>Non Essential</t>
        </is>
      </c>
      <c r="C1933" s="3" t="inlineStr">
        <is>
          <t>Data Management</t>
        </is>
      </c>
      <c r="D1933" s="3" t="inlineStr">
        <is>
          <t>Trial Conduct</t>
        </is>
      </c>
      <c r="E1933" s="3" t="inlineStr">
        <is>
          <t/>
        </is>
      </c>
      <c r="F1933" s="2" t="str">
        <f>HYPERLINK("https://vtmf.veevavault.com/ui/#doc_info/30383673/0/1", "VTMF-24472971")</f>
        <v>VTMF-24472971</v>
      </c>
      <c r="G1933" s="3" t="inlineStr">
        <is>
          <t/>
        </is>
      </c>
      <c r="H1933" s="3" t="inlineStr">
        <is>
          <t>Shyamaprasad Ghosh</t>
        </is>
      </c>
      <c r="I1933" s="3" t="inlineStr">
        <is>
          <t>Shyamaprasad Ghosh</t>
        </is>
      </c>
      <c r="J1933" s="4" t="n">
        <v>45975.48427083333</v>
      </c>
      <c r="K1933" s="5" t="inlineStr">
        <is>
          <t/>
        </is>
      </c>
      <c r="L1933" s="5" t="n">
        <v>45975.0</v>
      </c>
      <c r="M1933" s="3" t="inlineStr">
        <is>
          <t>Draft</t>
        </is>
      </c>
      <c r="N1933" s="3" t="inlineStr">
        <is>
          <t/>
        </is>
      </c>
      <c r="O1933" s="3" t="inlineStr">
        <is>
          <t>42847922MDD3003</t>
        </is>
      </c>
    </row>
    <row r="1934">
      <c r="A1934" s="2" t="str">
        <f>HYPERLINK("https://vtmf.veevavault.com/ui/#doc_info/30590667/0/1", "NE - 42847922MDD3003---Trial Conduct-Metrics / Reports (v0.1)")</f>
        <v>NE - 42847922MDD3003---Trial Conduct-Metrics / Reports (v0.1)</v>
      </c>
      <c r="B1934" s="3" t="inlineStr">
        <is>
          <t>Non Essential</t>
        </is>
      </c>
      <c r="C1934" s="3" t="inlineStr">
        <is>
          <t>Data Management</t>
        </is>
      </c>
      <c r="D1934" s="3" t="inlineStr">
        <is>
          <t>Trial Conduct</t>
        </is>
      </c>
      <c r="E1934" s="3" t="inlineStr">
        <is>
          <t/>
        </is>
      </c>
      <c r="F1934" s="2" t="str">
        <f>HYPERLINK("https://vtmf.veevavault.com/ui/#doc_info/30590667/0/1", "VTMF-24647778")</f>
        <v>VTMF-24647778</v>
      </c>
      <c r="G1934" s="3" t="inlineStr">
        <is>
          <t/>
        </is>
      </c>
      <c r="H1934" s="3" t="inlineStr">
        <is>
          <t>Shyamaprasad Ghosh</t>
        </is>
      </c>
      <c r="I1934" s="3" t="inlineStr">
        <is>
          <t>Shyamaprasad Ghosh</t>
        </is>
      </c>
      <c r="J1934" s="4" t="n">
        <v>46003.31732638889</v>
      </c>
      <c r="K1934" s="5" t="inlineStr">
        <is>
          <t/>
        </is>
      </c>
      <c r="L1934" s="5" t="n">
        <v>46003.0</v>
      </c>
      <c r="M1934" s="3" t="inlineStr">
        <is>
          <t>Draft</t>
        </is>
      </c>
      <c r="N1934" s="3" t="inlineStr">
        <is>
          <t/>
        </is>
      </c>
      <c r="O1934" s="3" t="inlineStr">
        <is>
          <t>42847922MDD3003</t>
        </is>
      </c>
    </row>
    <row r="1935">
      <c r="A1935" s="2" t="str">
        <f>HYPERLINK("https://vtmf.veevavault.com/ui/#doc_info/30590672/0/1", "NE - 42847922MDD3003---Trial Conduct-Metrics / Reports (v0.1)")</f>
        <v>NE - 42847922MDD3003---Trial Conduct-Metrics / Reports (v0.1)</v>
      </c>
      <c r="B1935" s="3" t="inlineStr">
        <is>
          <t>Non Essential</t>
        </is>
      </c>
      <c r="C1935" s="3" t="inlineStr">
        <is>
          <t>Data Management</t>
        </is>
      </c>
      <c r="D1935" s="3" t="inlineStr">
        <is>
          <t>Trial Conduct</t>
        </is>
      </c>
      <c r="E1935" s="3" t="inlineStr">
        <is>
          <t/>
        </is>
      </c>
      <c r="F1935" s="2" t="str">
        <f>HYPERLINK("https://vtmf.veevavault.com/ui/#doc_info/30590672/0/1", "VTMF-24647788")</f>
        <v>VTMF-24647788</v>
      </c>
      <c r="G1935" s="3" t="inlineStr">
        <is>
          <t/>
        </is>
      </c>
      <c r="H1935" s="3" t="inlineStr">
        <is>
          <t>Shyamaprasad Ghosh</t>
        </is>
      </c>
      <c r="I1935" s="3" t="inlineStr">
        <is>
          <t>Shyamaprasad Ghosh</t>
        </is>
      </c>
      <c r="J1935" s="4" t="n">
        <v>46003.31884259259</v>
      </c>
      <c r="K1935" s="5" t="inlineStr">
        <is>
          <t/>
        </is>
      </c>
      <c r="L1935" s="5" t="n">
        <v>46003.0</v>
      </c>
      <c r="M1935" s="3" t="inlineStr">
        <is>
          <t>Draft</t>
        </is>
      </c>
      <c r="N1935" s="3" t="inlineStr">
        <is>
          <t/>
        </is>
      </c>
      <c r="O1935" s="3" t="inlineStr">
        <is>
          <t>42847922MDD3003</t>
        </is>
      </c>
    </row>
    <row r="1936">
      <c r="A1936" s="2" t="str">
        <f>HYPERLINK("https://vtmf.veevavault.com/ui/#doc_info/30783653/0/1", "NE - 42847922MDD3003---Trial Conduct-Metrics / Reports (v0.1)")</f>
        <v>NE - 42847922MDD3003---Trial Conduct-Metrics / Reports (v0.1)</v>
      </c>
      <c r="B1936" s="3" t="inlineStr">
        <is>
          <t>Non Essential</t>
        </is>
      </c>
      <c r="C1936" s="3" t="inlineStr">
        <is>
          <t>Data Management</t>
        </is>
      </c>
      <c r="D1936" s="3" t="inlineStr">
        <is>
          <t>Trial Conduct</t>
        </is>
      </c>
      <c r="E1936" s="3" t="inlineStr">
        <is>
          <t/>
        </is>
      </c>
      <c r="F1936" s="2" t="str">
        <f>HYPERLINK("https://vtmf.veevavault.com/ui/#doc_info/30783653/0/1", "VTMF-24806453")</f>
        <v>VTMF-24806453</v>
      </c>
      <c r="G1936" s="3" t="inlineStr">
        <is>
          <t/>
        </is>
      </c>
      <c r="H1936" s="3" t="inlineStr">
        <is>
          <t>Shyamaprasad Ghosh</t>
        </is>
      </c>
      <c r="I1936" s="3" t="inlineStr">
        <is>
          <t>Shyamaprasad Ghosh</t>
        </is>
      </c>
      <c r="J1936" s="4" t="n">
        <v>46037.37887731481</v>
      </c>
      <c r="K1936" s="5" t="inlineStr">
        <is>
          <t/>
        </is>
      </c>
      <c r="L1936" s="5" t="n">
        <v>46037.0</v>
      </c>
      <c r="M1936" s="3" t="inlineStr">
        <is>
          <t>Draft</t>
        </is>
      </c>
      <c r="N1936" s="3" t="inlineStr">
        <is>
          <t/>
        </is>
      </c>
      <c r="O1936" s="3" t="inlineStr">
        <is>
          <t>42847922MDD3003</t>
        </is>
      </c>
    </row>
    <row r="1937">
      <c r="A1937" s="2" t="str">
        <f>HYPERLINK("https://vtmf.veevavault.com/ui/#doc_info/30783660/0/1", "NE - 42847922MDD3003---Trial Conduct-Metrics / Reports (v0.1)")</f>
        <v>NE - 42847922MDD3003---Trial Conduct-Metrics / Reports (v0.1)</v>
      </c>
      <c r="B1937" s="3" t="inlineStr">
        <is>
          <t>Non Essential</t>
        </is>
      </c>
      <c r="C1937" s="3" t="inlineStr">
        <is>
          <t>Data Management</t>
        </is>
      </c>
      <c r="D1937" s="3" t="inlineStr">
        <is>
          <t>Trial Conduct</t>
        </is>
      </c>
      <c r="E1937" s="3" t="inlineStr">
        <is>
          <t/>
        </is>
      </c>
      <c r="F1937" s="2" t="str">
        <f>HYPERLINK("https://vtmf.veevavault.com/ui/#doc_info/30783660/0/1", "VTMF-24806467")</f>
        <v>VTMF-24806467</v>
      </c>
      <c r="G1937" s="3" t="inlineStr">
        <is>
          <t/>
        </is>
      </c>
      <c r="H1937" s="3" t="inlineStr">
        <is>
          <t>Shyamaprasad Ghosh</t>
        </is>
      </c>
      <c r="I1937" s="3" t="inlineStr">
        <is>
          <t>Shyamaprasad Ghosh</t>
        </is>
      </c>
      <c r="J1937" s="4" t="n">
        <v>46037.380532407406</v>
      </c>
      <c r="K1937" s="5" t="inlineStr">
        <is>
          <t/>
        </is>
      </c>
      <c r="L1937" s="5" t="n">
        <v>46037.0</v>
      </c>
      <c r="M1937" s="3" t="inlineStr">
        <is>
          <t>Draft</t>
        </is>
      </c>
      <c r="N1937" s="3" t="inlineStr">
        <is>
          <t/>
        </is>
      </c>
      <c r="O1937" s="3" t="inlineStr">
        <is>
          <t>42847922MDD3003</t>
        </is>
      </c>
    </row>
    <row r="1938">
      <c r="A1938" s="2" t="str">
        <f>HYPERLINK("https://vtmf.veevavault.com/ui/#doc_info/30987041/0/1", "NE - 42847922MDD3003---Trial Conduct-Metrics / Reports (v0.1)")</f>
        <v>NE - 42847922MDD3003---Trial Conduct-Metrics / Reports (v0.1)</v>
      </c>
      <c r="B1938" s="3" t="inlineStr">
        <is>
          <t>Non Essential</t>
        </is>
      </c>
      <c r="C1938" s="3" t="inlineStr">
        <is>
          <t>Data Management</t>
        </is>
      </c>
      <c r="D1938" s="3" t="inlineStr">
        <is>
          <t>Trial Conduct</t>
        </is>
      </c>
      <c r="E1938" s="3" t="inlineStr">
        <is>
          <t>42847922MDD3003_13 FEB 2026</t>
        </is>
      </c>
      <c r="F1938" s="2" t="str">
        <f>HYPERLINK("https://vtmf.veevavault.com/ui/#doc_info/30987041/0/1", "VTMF-24977926")</f>
        <v>VTMF-24977926</v>
      </c>
      <c r="G1938" s="3" t="inlineStr">
        <is>
          <t/>
        </is>
      </c>
      <c r="H1938" s="3" t="inlineStr">
        <is>
          <t>Shyamaprasad Ghosh</t>
        </is>
      </c>
      <c r="I1938" s="3" t="inlineStr">
        <is>
          <t>Shyamaprasad Ghosh</t>
        </is>
      </c>
      <c r="J1938" s="4" t="n">
        <v>46066.519537037035</v>
      </c>
      <c r="K1938" s="5" t="inlineStr">
        <is>
          <t/>
        </is>
      </c>
      <c r="L1938" s="5" t="n">
        <v>46066.0</v>
      </c>
      <c r="M1938" s="3" t="inlineStr">
        <is>
          <t>Draft</t>
        </is>
      </c>
      <c r="N1938" s="3" t="inlineStr">
        <is>
          <t/>
        </is>
      </c>
      <c r="O1938" s="3" t="inlineStr">
        <is>
          <t>42847922MDD3003</t>
        </is>
      </c>
    </row>
    <row r="1939">
      <c r="A1939" s="2" t="str">
        <f>HYPERLINK("https://vtmf.veevavault.com/ui/#doc_info/30987050/0/1", "NE - 42847922MDD3003---Trial Conduct-Metrics / Reports (v0.1)")</f>
        <v>NE - 42847922MDD3003---Trial Conduct-Metrics / Reports (v0.1)</v>
      </c>
      <c r="B1939" s="3" t="inlineStr">
        <is>
          <t>Non Essential</t>
        </is>
      </c>
      <c r="C1939" s="3" t="inlineStr">
        <is>
          <t>Data Management</t>
        </is>
      </c>
      <c r="D1939" s="3" t="inlineStr">
        <is>
          <t>Trial Conduct</t>
        </is>
      </c>
      <c r="E1939" s="3" t="inlineStr">
        <is>
          <t>42847922MDD3003_13 FEB 2026</t>
        </is>
      </c>
      <c r="F1939" s="2" t="str">
        <f>HYPERLINK("https://vtmf.veevavault.com/ui/#doc_info/30987050/0/1", "VTMF-24977938")</f>
        <v>VTMF-24977938</v>
      </c>
      <c r="G1939" s="3" t="inlineStr">
        <is>
          <t/>
        </is>
      </c>
      <c r="H1939" s="3" t="inlineStr">
        <is>
          <t>Shyamaprasad Ghosh</t>
        </is>
      </c>
      <c r="I1939" s="3" t="inlineStr">
        <is>
          <t>Shyamaprasad Ghosh</t>
        </is>
      </c>
      <c r="J1939" s="4" t="n">
        <v>46066.52070601852</v>
      </c>
      <c r="K1939" s="5" t="inlineStr">
        <is>
          <t/>
        </is>
      </c>
      <c r="L1939" s="5" t="n">
        <v>46066.0</v>
      </c>
      <c r="M1939" s="3" t="inlineStr">
        <is>
          <t>Draft</t>
        </is>
      </c>
      <c r="N1939" s="3" t="inlineStr">
        <is>
          <t/>
        </is>
      </c>
      <c r="O1939" s="3" t="inlineStr">
        <is>
          <t>42847922MDD3003</t>
        </is>
      </c>
    </row>
    <row r="1940">
      <c r="A1940" s="2" t="str">
        <f>HYPERLINK("https://vtmf.veevavault.com/ui/#doc_info/31193884/0/1", "NE - 42847922MDD3003---Trial Conduct-Metrics / Reports (v0.1)")</f>
        <v>NE - 42847922MDD3003---Trial Conduct-Metrics / Reports (v0.1)</v>
      </c>
      <c r="B1940" s="3" t="inlineStr">
        <is>
          <t>Non Essential</t>
        </is>
      </c>
      <c r="C1940" s="3" t="inlineStr">
        <is>
          <t>Data Management</t>
        </is>
      </c>
      <c r="D1940" s="3" t="inlineStr">
        <is>
          <t>Trial Conduct</t>
        </is>
      </c>
      <c r="E1940" s="3" t="inlineStr">
        <is>
          <t>42847922MDD3003_Single Slider PPT_16-Mar-2026</t>
        </is>
      </c>
      <c r="F1940" s="2" t="str">
        <f>HYPERLINK("https://vtmf.veevavault.com/ui/#doc_info/31193884/0/1", "VTMF-25152858")</f>
        <v>VTMF-25152858</v>
      </c>
      <c r="G1940" s="3" t="inlineStr">
        <is>
          <t/>
        </is>
      </c>
      <c r="H1940" s="3" t="inlineStr">
        <is>
          <t>Juhita Kshatriya</t>
        </is>
      </c>
      <c r="I1940" s="3" t="inlineStr">
        <is>
          <t>Juhita Kshatriya</t>
        </is>
      </c>
      <c r="J1940" s="4" t="n">
        <v>46098.30521990741</v>
      </c>
      <c r="K1940" s="5" t="inlineStr">
        <is>
          <t/>
        </is>
      </c>
      <c r="L1940" s="5" t="n">
        <v>46098.0</v>
      </c>
      <c r="M1940" s="3" t="inlineStr">
        <is>
          <t>Draft</t>
        </is>
      </c>
      <c r="N1940" s="3" t="inlineStr">
        <is>
          <t/>
        </is>
      </c>
      <c r="O1940" s="3" t="inlineStr">
        <is>
          <t>42847922MDD3003</t>
        </is>
      </c>
    </row>
    <row r="1941">
      <c r="A1941" s="2" t="str">
        <f>HYPERLINK("https://vtmf.veevavault.com/ui/#doc_info/31193888/0/1", "NE - 42847922MDD3003---Trial Conduct-Metrics / Reports (v0.1)")</f>
        <v>NE - 42847922MDD3003---Trial Conduct-Metrics / Reports (v0.1)</v>
      </c>
      <c r="B1941" s="3" t="inlineStr">
        <is>
          <t>Non Essential</t>
        </is>
      </c>
      <c r="C1941" s="3" t="inlineStr">
        <is>
          <t>Data Management</t>
        </is>
      </c>
      <c r="D1941" s="3" t="inlineStr">
        <is>
          <t>Trial Conduct</t>
        </is>
      </c>
      <c r="E1941" s="3" t="inlineStr">
        <is>
          <t>D4U Metrics_Detailed status of RR Listing_42847922MDD3003</t>
        </is>
      </c>
      <c r="F1941" s="2" t="str">
        <f>HYPERLINK("https://vtmf.veevavault.com/ui/#doc_info/31193888/0/1", "VTMF-25152863")</f>
        <v>VTMF-25152863</v>
      </c>
      <c r="G1941" s="3" t="inlineStr">
        <is>
          <t/>
        </is>
      </c>
      <c r="H1941" s="3" t="inlineStr">
        <is>
          <t>Juhita Kshatriya</t>
        </is>
      </c>
      <c r="I1941" s="3" t="inlineStr">
        <is>
          <t>Juhita Kshatriya</t>
        </is>
      </c>
      <c r="J1941" s="4" t="n">
        <v>46098.306226851855</v>
      </c>
      <c r="K1941" s="5" t="inlineStr">
        <is>
          <t/>
        </is>
      </c>
      <c r="L1941" s="5" t="n">
        <v>46098.0</v>
      </c>
      <c r="M1941" s="3" t="inlineStr">
        <is>
          <t>Draft</t>
        </is>
      </c>
      <c r="N1941" s="3" t="inlineStr">
        <is>
          <t/>
        </is>
      </c>
      <c r="O1941" s="3" t="inlineStr">
        <is>
          <t>42847922MDD3003</t>
        </is>
      </c>
    </row>
    <row r="1942">
      <c r="A1942" s="2" t="str">
        <f>HYPERLINK("https://vtmf.veevavault.com/ui/#doc_info/31497602/0/1", "NE - 42847922MDD3003---Trial Conduct-Metrics / Reports (v0.1)")</f>
        <v>NE - 42847922MDD3003---Trial Conduct-Metrics / Reports (v0.1)</v>
      </c>
      <c r="B1942" s="3" t="inlineStr">
        <is>
          <t>Non Essential</t>
        </is>
      </c>
      <c r="C1942" s="3" t="inlineStr">
        <is>
          <t>Data Management</t>
        </is>
      </c>
      <c r="D1942" s="3" t="inlineStr">
        <is>
          <t>Trial Conduct</t>
        </is>
      </c>
      <c r="E1942" s="3" t="inlineStr">
        <is>
          <t/>
        </is>
      </c>
      <c r="F1942" s="2" t="str">
        <f>HYPERLINK("https://vtmf.veevavault.com/ui/#doc_info/31497602/0/1", "VTMF-25416950")</f>
        <v>VTMF-25416950</v>
      </c>
      <c r="G1942" s="3" t="inlineStr">
        <is>
          <t/>
        </is>
      </c>
      <c r="H1942" s="3" t="inlineStr">
        <is>
          <t>Shyamaprasad Ghosh</t>
        </is>
      </c>
      <c r="I1942" s="3" t="inlineStr">
        <is>
          <t>Shyamaprasad Ghosh</t>
        </is>
      </c>
      <c r="J1942" s="4" t="n">
        <v>46133.3659375</v>
      </c>
      <c r="K1942" s="5" t="inlineStr">
        <is>
          <t/>
        </is>
      </c>
      <c r="L1942" s="5" t="n">
        <v>46133.0</v>
      </c>
      <c r="M1942" s="3" t="inlineStr">
        <is>
          <t>Draft</t>
        </is>
      </c>
      <c r="N1942" s="3" t="inlineStr">
        <is>
          <t/>
        </is>
      </c>
      <c r="O1942" s="3" t="inlineStr">
        <is>
          <t>42847922MDD3003</t>
        </is>
      </c>
    </row>
    <row r="1943">
      <c r="A1943" s="2" t="str">
        <f>HYPERLINK("https://vtmf.veevavault.com/ui/#doc_info/31497608/0/1", "NE - 42847922MDD3003---Trial Conduct-Metrics / Reports (v0.1)")</f>
        <v>NE - 42847922MDD3003---Trial Conduct-Metrics / Reports (v0.1)</v>
      </c>
      <c r="B1943" s="3" t="inlineStr">
        <is>
          <t>Non Essential</t>
        </is>
      </c>
      <c r="C1943" s="3" t="inlineStr">
        <is>
          <t>Data Management</t>
        </is>
      </c>
      <c r="D1943" s="3" t="inlineStr">
        <is>
          <t>Trial Conduct</t>
        </is>
      </c>
      <c r="E1943" s="3" t="inlineStr">
        <is>
          <t/>
        </is>
      </c>
      <c r="F1943" s="2" t="str">
        <f>HYPERLINK("https://vtmf.veevavault.com/ui/#doc_info/31497608/0/1", "VTMF-25416960")</f>
        <v>VTMF-25416960</v>
      </c>
      <c r="G1943" s="3" t="inlineStr">
        <is>
          <t/>
        </is>
      </c>
      <c r="H1943" s="3" t="inlineStr">
        <is>
          <t>Shyamaprasad Ghosh</t>
        </is>
      </c>
      <c r="I1943" s="3" t="inlineStr">
        <is>
          <t>Shyamaprasad Ghosh</t>
        </is>
      </c>
      <c r="J1943" s="4" t="n">
        <v>46133.36675925926</v>
      </c>
      <c r="K1943" s="5" t="inlineStr">
        <is>
          <t/>
        </is>
      </c>
      <c r="L1943" s="5" t="n">
        <v>46133.0</v>
      </c>
      <c r="M1943" s="3" t="inlineStr">
        <is>
          <t>Draft</t>
        </is>
      </c>
      <c r="N1943" s="3" t="inlineStr">
        <is>
          <t/>
        </is>
      </c>
      <c r="O1943" s="3" t="inlineStr">
        <is>
          <t>42847922MDD3003</t>
        </is>
      </c>
    </row>
    <row r="1944">
      <c r="A1944" s="2" t="str">
        <f>HYPERLINK("https://vtmf.veevavault.com/ui/#doc_info/31501317/0/1", "NE - 42847922MDD3003---Trial Conduct-Metrics / Reports (v0.1)")</f>
        <v>NE - 42847922MDD3003---Trial Conduct-Metrics / Reports (v0.1)</v>
      </c>
      <c r="B1944" s="3" t="inlineStr">
        <is>
          <t>Non Essential</t>
        </is>
      </c>
      <c r="C1944" s="3" t="inlineStr">
        <is>
          <t>Data Management</t>
        </is>
      </c>
      <c r="D1944" s="3" t="inlineStr">
        <is>
          <t>Trial Conduct</t>
        </is>
      </c>
      <c r="E1944" s="3" t="inlineStr">
        <is>
          <t/>
        </is>
      </c>
      <c r="F1944" s="2" t="str">
        <f>HYPERLINK("https://vtmf.veevavault.com/ui/#doc_info/31501317/0/1", "VTMF-25419494")</f>
        <v>VTMF-25419494</v>
      </c>
      <c r="G1944" s="3" t="inlineStr">
        <is>
          <t/>
        </is>
      </c>
      <c r="H1944" s="3" t="inlineStr">
        <is>
          <t>Shyamaprasad Ghosh</t>
        </is>
      </c>
      <c r="I1944" s="3" t="inlineStr">
        <is>
          <t>Shyamaprasad Ghosh</t>
        </is>
      </c>
      <c r="J1944" s="4" t="n">
        <v>46133.70240740741</v>
      </c>
      <c r="K1944" s="5" t="inlineStr">
        <is>
          <t/>
        </is>
      </c>
      <c r="L1944" s="5" t="n">
        <v>46133.0</v>
      </c>
      <c r="M1944" s="3" t="inlineStr">
        <is>
          <t>Draft</t>
        </is>
      </c>
      <c r="N1944" s="3" t="inlineStr">
        <is>
          <t/>
        </is>
      </c>
      <c r="O1944" s="3" t="inlineStr">
        <is>
          <t>42847922MDD3003</t>
        </is>
      </c>
    </row>
    <row r="1945">
      <c r="A1945" s="2" t="str">
        <f>HYPERLINK("https://vtmf.veevavault.com/ui/#doc_info/31686564/0/1", "NE - 42847922MDD3003---Trial Conduct-Metrics / Reports (v0.1)")</f>
        <v>NE - 42847922MDD3003---Trial Conduct-Metrics / Reports (v0.1)</v>
      </c>
      <c r="B1945" s="3" t="inlineStr">
        <is>
          <t>Non Essential</t>
        </is>
      </c>
      <c r="C1945" s="3" t="inlineStr">
        <is>
          <t>Data Management</t>
        </is>
      </c>
      <c r="D1945" s="3" t="inlineStr">
        <is>
          <t>Trial Conduct</t>
        </is>
      </c>
      <c r="E1945" s="3" t="inlineStr">
        <is>
          <t/>
        </is>
      </c>
      <c r="F1945" s="2" t="str">
        <f>HYPERLINK("https://vtmf.veevavault.com/ui/#doc_info/31686564/0/1", "VTMF-25570337")</f>
        <v>VTMF-25570337</v>
      </c>
      <c r="G1945" s="3" t="inlineStr">
        <is>
          <t/>
        </is>
      </c>
      <c r="H1945" s="3" t="inlineStr">
        <is>
          <t>Shyamaprasad Ghosh</t>
        </is>
      </c>
      <c r="I1945" s="3" t="inlineStr">
        <is>
          <t>Shyamaprasad Ghosh</t>
        </is>
      </c>
      <c r="J1945" s="4" t="n">
        <v>46160.51787037037</v>
      </c>
      <c r="K1945" s="5" t="inlineStr">
        <is>
          <t/>
        </is>
      </c>
      <c r="L1945" s="5" t="n">
        <v>46160.0</v>
      </c>
      <c r="M1945" s="3" t="inlineStr">
        <is>
          <t>Draft</t>
        </is>
      </c>
      <c r="N1945" s="3" t="inlineStr">
        <is>
          <t/>
        </is>
      </c>
      <c r="O1945" s="3" t="inlineStr">
        <is>
          <t>42847922MDD3003</t>
        </is>
      </c>
    </row>
    <row r="1946">
      <c r="A1946" s="2" t="str">
        <f>HYPERLINK("https://vtmf.veevavault.com/ui/#doc_info/31686650/0/1", "NE - 42847922MDD3003---Trial Conduct-Metrics / Reports (v0.1)")</f>
        <v>NE - 42847922MDD3003---Trial Conduct-Metrics / Reports (v0.1)</v>
      </c>
      <c r="B1946" s="3" t="inlineStr">
        <is>
          <t>Non Essential</t>
        </is>
      </c>
      <c r="C1946" s="3" t="inlineStr">
        <is>
          <t>Data Management</t>
        </is>
      </c>
      <c r="D1946" s="3" t="inlineStr">
        <is>
          <t>Trial Conduct</t>
        </is>
      </c>
      <c r="E1946" s="3" t="inlineStr">
        <is>
          <t/>
        </is>
      </c>
      <c r="F1946" s="2" t="str">
        <f>HYPERLINK("https://vtmf.veevavault.com/ui/#doc_info/31686650/0/1", "VTMF-25570400")</f>
        <v>VTMF-25570400</v>
      </c>
      <c r="G1946" s="3" t="inlineStr">
        <is>
          <t/>
        </is>
      </c>
      <c r="H1946" s="3" t="inlineStr">
        <is>
          <t>Shyamaprasad Ghosh</t>
        </is>
      </c>
      <c r="I1946" s="3" t="inlineStr">
        <is>
          <t>Shyamaprasad Ghosh</t>
        </is>
      </c>
      <c r="J1946" s="4" t="n">
        <v>46160.52510416666</v>
      </c>
      <c r="K1946" s="5" t="inlineStr">
        <is>
          <t/>
        </is>
      </c>
      <c r="L1946" s="5" t="n">
        <v>46160.0</v>
      </c>
      <c r="M1946" s="3" t="inlineStr">
        <is>
          <t>Draft</t>
        </is>
      </c>
      <c r="N1946" s="3" t="inlineStr">
        <is>
          <t/>
        </is>
      </c>
      <c r="O1946" s="3" t="inlineStr">
        <is>
          <t>42847922MDD3003</t>
        </is>
      </c>
    </row>
    <row r="1947">
      <c r="A1947" s="2" t="str">
        <f>HYPERLINK("https://vtmf.veevavault.com/ui/#doc_info/31687121/0/1", "NE - 42847922MDD3003---Trial Conduct-Metrics / Reports (v0.1)")</f>
        <v>NE - 42847922MDD3003---Trial Conduct-Metrics / Reports (v0.1)</v>
      </c>
      <c r="B1947" s="3" t="inlineStr">
        <is>
          <t>Non Essential</t>
        </is>
      </c>
      <c r="C1947" s="3" t="inlineStr">
        <is>
          <t>Data Management</t>
        </is>
      </c>
      <c r="D1947" s="3" t="inlineStr">
        <is>
          <t>Trial Conduct</t>
        </is>
      </c>
      <c r="E1947" s="3" t="inlineStr">
        <is>
          <t/>
        </is>
      </c>
      <c r="F1947" s="2" t="str">
        <f>HYPERLINK("https://vtmf.veevavault.com/ui/#doc_info/31687121/0/1", "VTMF-25570867")</f>
        <v>VTMF-25570867</v>
      </c>
      <c r="G1947" s="3" t="inlineStr">
        <is>
          <t/>
        </is>
      </c>
      <c r="H1947" s="3" t="inlineStr">
        <is>
          <t>Shyamaprasad Ghosh</t>
        </is>
      </c>
      <c r="I1947" s="3" t="inlineStr">
        <is>
          <t>Shyamaprasad Ghosh</t>
        </is>
      </c>
      <c r="J1947" s="4" t="n">
        <v>46160.576203703706</v>
      </c>
      <c r="K1947" s="5" t="inlineStr">
        <is>
          <t/>
        </is>
      </c>
      <c r="L1947" s="5" t="n">
        <v>46160.0</v>
      </c>
      <c r="M1947" s="3" t="inlineStr">
        <is>
          <t>Draft</t>
        </is>
      </c>
      <c r="N1947" s="3" t="inlineStr">
        <is>
          <t/>
        </is>
      </c>
      <c r="O1947" s="3" t="inlineStr">
        <is>
          <t>42847922MDD3003</t>
        </is>
      </c>
    </row>
    <row r="1948">
      <c r="A1948" s="2" t="str">
        <f>HYPERLINK("https://vtmf.veevavault.com/ui/#doc_info/31887378/0/1", "NE - 42847922MDD3003---Trial Conduct-Metrics / Reports (v0.1)")</f>
        <v>NE - 42847922MDD3003---Trial Conduct-Metrics / Reports (v0.1)</v>
      </c>
      <c r="B1948" s="3" t="inlineStr">
        <is>
          <t>Non Essential</t>
        </is>
      </c>
      <c r="C1948" s="3" t="inlineStr">
        <is>
          <t>Data Management</t>
        </is>
      </c>
      <c r="D1948" s="3" t="inlineStr">
        <is>
          <t>Trial Conduct</t>
        </is>
      </c>
      <c r="E1948" s="3" t="inlineStr">
        <is>
          <t/>
        </is>
      </c>
      <c r="F1948" s="2" t="str">
        <f>HYPERLINK("https://vtmf.veevavault.com/ui/#doc_info/31887378/0/1", "VTMF-25743677")</f>
        <v>VTMF-25743677</v>
      </c>
      <c r="G1948" s="3" t="inlineStr">
        <is>
          <t/>
        </is>
      </c>
      <c r="H1948" s="3" t="inlineStr">
        <is>
          <t>Shyamaprasad Ghosh</t>
        </is>
      </c>
      <c r="I1948" s="3" t="inlineStr">
        <is>
          <t>Shyamaprasad Ghosh</t>
        </is>
      </c>
      <c r="J1948" s="4" t="n">
        <v>46189.62525462963</v>
      </c>
      <c r="K1948" s="5" t="inlineStr">
        <is>
          <t/>
        </is>
      </c>
      <c r="L1948" s="5" t="n">
        <v>46189.0</v>
      </c>
      <c r="M1948" s="3" t="inlineStr">
        <is>
          <t>Draft</t>
        </is>
      </c>
      <c r="N1948" s="3" t="inlineStr">
        <is>
          <t/>
        </is>
      </c>
      <c r="O1948" s="3" t="inlineStr">
        <is>
          <t>42847922MDD3003</t>
        </is>
      </c>
    </row>
    <row r="1949">
      <c r="A1949" s="2" t="str">
        <f>HYPERLINK("https://vtmf.veevavault.com/ui/#doc_info/31887383/0/1", "NE - 42847922MDD3003---Trial Conduct-Metrics / Reports (v0.1)")</f>
        <v>NE - 42847922MDD3003---Trial Conduct-Metrics / Reports (v0.1)</v>
      </c>
      <c r="B1949" s="3" t="inlineStr">
        <is>
          <t>Non Essential</t>
        </is>
      </c>
      <c r="C1949" s="3" t="inlineStr">
        <is>
          <t>Data Management</t>
        </is>
      </c>
      <c r="D1949" s="3" t="inlineStr">
        <is>
          <t>Trial Conduct</t>
        </is>
      </c>
      <c r="E1949" s="3" t="inlineStr">
        <is>
          <t/>
        </is>
      </c>
      <c r="F1949" s="2" t="str">
        <f>HYPERLINK("https://vtmf.veevavault.com/ui/#doc_info/31887383/0/1", "VTMF-25743693")</f>
        <v>VTMF-25743693</v>
      </c>
      <c r="G1949" s="3" t="inlineStr">
        <is>
          <t/>
        </is>
      </c>
      <c r="H1949" s="3" t="inlineStr">
        <is>
          <t>Shyamaprasad Ghosh</t>
        </is>
      </c>
      <c r="I1949" s="3" t="inlineStr">
        <is>
          <t>Shyamaprasad Ghosh</t>
        </is>
      </c>
      <c r="J1949" s="4" t="n">
        <v>46189.626921296294</v>
      </c>
      <c r="K1949" s="5" t="inlineStr">
        <is>
          <t/>
        </is>
      </c>
      <c r="L1949" s="5" t="n">
        <v>46189.0</v>
      </c>
      <c r="M1949" s="3" t="inlineStr">
        <is>
          <t>Draft</t>
        </is>
      </c>
      <c r="N1949" s="3" t="inlineStr">
        <is>
          <t/>
        </is>
      </c>
      <c r="O1949" s="3" t="inlineStr">
        <is>
          <t>42847922MDD3003</t>
        </is>
      </c>
    </row>
    <row r="1950">
      <c r="A1950" s="2" t="str">
        <f>HYPERLINK("https://vtmf.veevavault.com/ui/#doc_info/29536143/1/0", "NE - 42847922MDD3003---Trial Conduct-Quality Control Documentation (v1.0)")</f>
        <v>NE - 42847922MDD3003---Trial Conduct-Quality Control Documentation (v1.0)</v>
      </c>
      <c r="B1950" s="3" t="inlineStr">
        <is>
          <t>Non Essential</t>
        </is>
      </c>
      <c r="C1950" s="3" t="inlineStr">
        <is>
          <t>Data Management</t>
        </is>
      </c>
      <c r="D1950" s="3" t="inlineStr">
        <is>
          <t>Trial Conduct</t>
        </is>
      </c>
      <c r="E1950" s="3" t="inlineStr">
        <is>
          <t>Quality Review Evidence_DM_10Jul25</t>
        </is>
      </c>
      <c r="F1950" s="2" t="str">
        <f>HYPERLINK("https://vtmf.veevavault.com/ui/#doc_info/29536143/1/0", "VTMF-23756052")</f>
        <v>VTMF-23756052</v>
      </c>
      <c r="G1950" s="3" t="inlineStr">
        <is>
          <t/>
        </is>
      </c>
      <c r="H1950" s="3" t="inlineStr">
        <is>
          <t>Amrita Trueblood</t>
        </is>
      </c>
      <c r="I1950" s="3" t="inlineStr">
        <is>
          <t>Amrita Trueblood</t>
        </is>
      </c>
      <c r="J1950" s="4" t="n">
        <v>45848.89440972222</v>
      </c>
      <c r="K1950" s="5" t="n">
        <v>45848.0</v>
      </c>
      <c r="L1950" s="5" t="n">
        <v>45848.0</v>
      </c>
      <c r="M1950" s="3" t="inlineStr">
        <is>
          <t>Draft</t>
        </is>
      </c>
      <c r="N1950" s="3" t="inlineStr">
        <is>
          <t/>
        </is>
      </c>
      <c r="O1950" s="3" t="inlineStr">
        <is>
          <t>42847922MDD3003</t>
        </is>
      </c>
    </row>
    <row r="1951">
      <c r="A1951" s="2" t="str">
        <f>HYPERLINK("https://vtmf.veevavault.com/ui/#doc_info/29536150/1/0", "NE - 42847922MDD3003---Trial Conduct-Quality Control Documentation (v1.0)")</f>
        <v>NE - 42847922MDD3003---Trial Conduct-Quality Control Documentation (v1.0)</v>
      </c>
      <c r="B1951" s="3" t="inlineStr">
        <is>
          <t>Non Essential</t>
        </is>
      </c>
      <c r="C1951" s="3" t="inlineStr">
        <is>
          <t>Data Management</t>
        </is>
      </c>
      <c r="D1951" s="3" t="inlineStr">
        <is>
          <t>Trial Conduct</t>
        </is>
      </c>
      <c r="E1951" s="3" t="inlineStr">
        <is>
          <t>Quality Review Evidence</t>
        </is>
      </c>
      <c r="F1951" s="2" t="str">
        <f>HYPERLINK("https://vtmf.veevavault.com/ui/#doc_info/29536150/1/0", "VTMF-23756062")</f>
        <v>VTMF-23756062</v>
      </c>
      <c r="G1951" s="3" t="inlineStr">
        <is>
          <t/>
        </is>
      </c>
      <c r="H1951" s="3" t="inlineStr">
        <is>
          <t>Amrita Trueblood</t>
        </is>
      </c>
      <c r="I1951" s="3" t="inlineStr">
        <is>
          <t>Amrita Trueblood</t>
        </is>
      </c>
      <c r="J1951" s="4" t="n">
        <v>45848.895162037035</v>
      </c>
      <c r="K1951" s="5" t="n">
        <v>45848.0</v>
      </c>
      <c r="L1951" s="5" t="n">
        <v>45848.0</v>
      </c>
      <c r="M1951" s="3" t="inlineStr">
        <is>
          <t>Draft</t>
        </is>
      </c>
      <c r="N1951" s="3" t="inlineStr">
        <is>
          <t/>
        </is>
      </c>
      <c r="O1951" s="3" t="inlineStr">
        <is>
          <t>42847922MDD3003</t>
        </is>
      </c>
    </row>
    <row r="1952">
      <c r="A1952" s="2" t="str">
        <f>HYPERLINK("https://vtmf.veevavault.com/ui/#doc_info/26757457/1/0", "NE - 42847922MDD3003---Trial SetUp-eCRF Documentation (v1.0)")</f>
        <v>NE - 42847922MDD3003---Trial SetUp-eCRF Documentation (v1.0)</v>
      </c>
      <c r="B1952" s="3" t="inlineStr">
        <is>
          <t>Non Essential</t>
        </is>
      </c>
      <c r="C1952" s="3" t="inlineStr">
        <is>
          <t>Data Management</t>
        </is>
      </c>
      <c r="D1952" s="3" t="inlineStr">
        <is>
          <t>Trial Setup</t>
        </is>
      </c>
      <c r="E1952" s="3" t="inlineStr">
        <is>
          <t>20240723_42847922MDD3003__v3590_Blank_Annotated_uniques</t>
        </is>
      </c>
      <c r="F1952" s="2" t="str">
        <f>HYPERLINK("https://vtmf.veevavault.com/ui/#doc_info/26757457/1/0", "VTMF-21442217")</f>
        <v>VTMF-21442217</v>
      </c>
      <c r="G1952" s="3" t="inlineStr">
        <is>
          <t/>
        </is>
      </c>
      <c r="H1952" s="3" t="inlineStr">
        <is>
          <t>Amrita Trueblood</t>
        </is>
      </c>
      <c r="I1952" s="3" t="inlineStr">
        <is>
          <t>Amrita Trueblood</t>
        </is>
      </c>
      <c r="J1952" s="4" t="n">
        <v>45496.85949074074</v>
      </c>
      <c r="K1952" s="5" t="n">
        <v>45496.0</v>
      </c>
      <c r="L1952" s="5" t="n">
        <v>45496.0</v>
      </c>
      <c r="M1952" s="3" t="inlineStr">
        <is>
          <t>Draft</t>
        </is>
      </c>
      <c r="N1952" s="3" t="inlineStr">
        <is>
          <t/>
        </is>
      </c>
      <c r="O1952" s="3" t="inlineStr">
        <is>
          <t>42847922MDD3003</t>
        </is>
      </c>
    </row>
    <row r="1953">
      <c r="A1953" s="2" t="str">
        <f>HYPERLINK("https://vtmf.veevavault.com/ui/#doc_info/26739877/0/1", "NE - 42847922MDD3003---Trial SetUp-General Documentation (v0.1)")</f>
        <v>NE - 42847922MDD3003---Trial SetUp-General Documentation (v0.1)</v>
      </c>
      <c r="B1953" s="3" t="inlineStr">
        <is>
          <t>Non Essential</t>
        </is>
      </c>
      <c r="C1953" s="3" t="inlineStr">
        <is>
          <t>Data Management</t>
        </is>
      </c>
      <c r="D1953" s="3" t="inlineStr">
        <is>
          <t>Trial Setup</t>
        </is>
      </c>
      <c r="E1953" s="3" t="inlineStr">
        <is>
          <t>42847922MDD3003 Integrated Review Plan TV-eFRM-13940</t>
        </is>
      </c>
      <c r="F1953" s="2" t="str">
        <f>HYPERLINK("https://vtmf.veevavault.com/ui/#doc_info/26739877/0/1", "VTMF-21427186")</f>
        <v>VTMF-21427186</v>
      </c>
      <c r="G1953" s="3" t="inlineStr">
        <is>
          <t/>
        </is>
      </c>
      <c r="H1953" s="3" t="inlineStr">
        <is>
          <t>Laree LaPierre</t>
        </is>
      </c>
      <c r="I1953" s="3" t="inlineStr">
        <is>
          <t>Laree LaPierre</t>
        </is>
      </c>
      <c r="J1953" s="4" t="n">
        <v>45492.92246527778</v>
      </c>
      <c r="K1953" s="5" t="inlineStr">
        <is>
          <t/>
        </is>
      </c>
      <c r="L1953" s="5" t="n">
        <v>45492.0</v>
      </c>
      <c r="M1953" s="3" t="inlineStr">
        <is>
          <t>Draft</t>
        </is>
      </c>
      <c r="N1953" s="3" t="inlineStr">
        <is>
          <t/>
        </is>
      </c>
      <c r="O1953" s="3" t="inlineStr">
        <is>
          <t>42847922MDD3003</t>
        </is>
      </c>
    </row>
    <row r="1954">
      <c r="A1954" s="2" t="str">
        <f>HYPERLINK("https://vtmf.veevavault.com/ui/#doc_info/29073006/0/1", "NE - 42847922MDD3003---Trial SetUp-General Documentation (v0.1)")</f>
        <v>NE - 42847922MDD3003---Trial SetUp-General Documentation (v0.1)</v>
      </c>
      <c r="B1954" s="3" t="inlineStr">
        <is>
          <t>Non Essential</t>
        </is>
      </c>
      <c r="C1954" s="3" t="inlineStr">
        <is>
          <t>Data Management</t>
        </is>
      </c>
      <c r="D1954" s="3" t="inlineStr">
        <is>
          <t>Trial Setup</t>
        </is>
      </c>
      <c r="E1954" s="3" t="inlineStr">
        <is>
          <t>Beacon-Biosignals_Clinical-Study-Data-Management-Plan_v1.0</t>
        </is>
      </c>
      <c r="F1954" s="2" t="str">
        <f>HYPERLINK("https://vtmf.veevavault.com/ui/#doc_info/29073006/0/1", "VTMF-23359579")</f>
        <v>VTMF-23359579</v>
      </c>
      <c r="G1954" s="3" t="inlineStr">
        <is>
          <t/>
        </is>
      </c>
      <c r="H1954" s="3" t="inlineStr">
        <is>
          <t>System</t>
        </is>
      </c>
      <c r="I1954" s="3" t="inlineStr">
        <is>
          <t>Amrita Trueblood</t>
        </is>
      </c>
      <c r="J1954" s="4" t="n">
        <v>45785.88282407408</v>
      </c>
      <c r="K1954" s="5" t="inlineStr">
        <is>
          <t/>
        </is>
      </c>
      <c r="L1954" s="5" t="n">
        <v>45776.0</v>
      </c>
      <c r="M1954" s="3" t="inlineStr">
        <is>
          <t>Draft</t>
        </is>
      </c>
      <c r="N1954" s="3" t="inlineStr">
        <is>
          <t/>
        </is>
      </c>
      <c r="O1954" s="3" t="inlineStr">
        <is>
          <t>42847922MDD3003</t>
        </is>
      </c>
    </row>
    <row r="1955">
      <c r="A1955" s="2" t="str">
        <f>HYPERLINK("https://vtmf.veevavault.com/ui/#doc_info/25498754/0/1", "NE - 42847922MDD3003---Working Documents (v0.1)")</f>
        <v>NE - 42847922MDD3003---Working Documents (v0.1)</v>
      </c>
      <c r="B1955" s="3" t="inlineStr">
        <is>
          <t>Non Essential</t>
        </is>
      </c>
      <c r="C1955" s="3" t="inlineStr">
        <is>
          <t>Working Documents</t>
        </is>
      </c>
      <c r="D1955" s="3" t="inlineStr">
        <is>
          <t/>
        </is>
      </c>
      <c r="E1955" s="3" t="inlineStr">
        <is>
          <t>42847922MDD3003_Clinical Protocol_Final Drafr_03-Jan-2024</t>
        </is>
      </c>
      <c r="F1955" s="2" t="str">
        <f>HYPERLINK("https://vtmf.veevavault.com/ui/#doc_info/25498754/0/1", "VTMF-20338410")</f>
        <v>VTMF-20338410</v>
      </c>
      <c r="G1955" s="3" t="inlineStr">
        <is>
          <t/>
        </is>
      </c>
      <c r="H1955" s="3" t="inlineStr">
        <is>
          <t>Arturo Munguia</t>
        </is>
      </c>
      <c r="I1955" s="3" t="inlineStr">
        <is>
          <t>Arturo Munguia</t>
        </is>
      </c>
      <c r="J1955" s="4" t="n">
        <v>45303.729050925926</v>
      </c>
      <c r="K1955" s="5" t="inlineStr">
        <is>
          <t/>
        </is>
      </c>
      <c r="L1955" s="5" t="inlineStr">
        <is>
          <t/>
        </is>
      </c>
      <c r="M1955" s="3" t="inlineStr">
        <is>
          <t>Draft</t>
        </is>
      </c>
      <c r="N1955" s="3" t="inlineStr">
        <is>
          <t/>
        </is>
      </c>
      <c r="O1955" s="3" t="inlineStr">
        <is>
          <t>42847922MDD3003</t>
        </is>
      </c>
    </row>
    <row r="1956">
      <c r="A1956" s="2" t="str">
        <f>HYPERLINK("https://vtmf.veevavault.com/ui/#doc_info/25549309/0/1", "NE - 42847922MDD3003---Working Documents (v0.1)")</f>
        <v>NE - 42847922MDD3003---Working Documents (v0.1)</v>
      </c>
      <c r="B1956" s="3" t="inlineStr">
        <is>
          <t>Non Essential</t>
        </is>
      </c>
      <c r="C1956" s="3" t="inlineStr">
        <is>
          <t>Working Documents</t>
        </is>
      </c>
      <c r="D1956" s="3" t="inlineStr">
        <is>
          <t/>
        </is>
      </c>
      <c r="E1956" s="3" t="inlineStr">
        <is>
          <t>42847922MDD3003_Master Clinical ICF Part 2_v0.9_22Jan2024_Cohort 2_clean</t>
        </is>
      </c>
      <c r="F1956" s="2" t="str">
        <f>HYPERLINK("https://vtmf.veevavault.com/ui/#doc_info/25549309/0/1", "VTMF-20382293")</f>
        <v>VTMF-20382293</v>
      </c>
      <c r="G1956" s="3" t="inlineStr">
        <is>
          <t/>
        </is>
      </c>
      <c r="H1956" s="3" t="inlineStr">
        <is>
          <t>Debhora Garcia</t>
        </is>
      </c>
      <c r="I1956" s="3" t="inlineStr">
        <is>
          <t>Debhora Garcia</t>
        </is>
      </c>
      <c r="J1956" s="4" t="n">
        <v>45313.85193287037</v>
      </c>
      <c r="K1956" s="5" t="inlineStr">
        <is>
          <t/>
        </is>
      </c>
      <c r="L1956" s="5" t="inlineStr">
        <is>
          <t/>
        </is>
      </c>
      <c r="M1956" s="3" t="inlineStr">
        <is>
          <t>Draft</t>
        </is>
      </c>
      <c r="N1956" s="3" t="inlineStr">
        <is>
          <t/>
        </is>
      </c>
      <c r="O1956" s="3" t="inlineStr">
        <is>
          <t>42847922MDD3003</t>
        </is>
      </c>
    </row>
    <row r="1957">
      <c r="A1957" s="2" t="str">
        <f>HYPERLINK("https://vtmf.veevavault.com/ui/#doc_info/25549327/0/1", "NE - 42847922MDD3003---Working Documents (v0.1)")</f>
        <v>NE - 42847922MDD3003---Working Documents (v0.1)</v>
      </c>
      <c r="B1957" s="3" t="inlineStr">
        <is>
          <t>Non Essential</t>
        </is>
      </c>
      <c r="C1957" s="3" t="inlineStr">
        <is>
          <t>Working Documents</t>
        </is>
      </c>
      <c r="D1957" s="3" t="inlineStr">
        <is>
          <t/>
        </is>
      </c>
      <c r="E1957" s="3" t="inlineStr">
        <is>
          <t>42847922MDD3003_Master Clinical ICF Part 1 and 2_v0.9_22Jan2024_Cohort 1_clean</t>
        </is>
      </c>
      <c r="F1957" s="2" t="str">
        <f>HYPERLINK("https://vtmf.veevavault.com/ui/#doc_info/25549327/0/1", "VTMF-20382311")</f>
        <v>VTMF-20382311</v>
      </c>
      <c r="G1957" s="3" t="inlineStr">
        <is>
          <t/>
        </is>
      </c>
      <c r="H1957" s="3" t="inlineStr">
        <is>
          <t>Debhora Garcia</t>
        </is>
      </c>
      <c r="I1957" s="3" t="inlineStr">
        <is>
          <t>Debhora Garcia</t>
        </is>
      </c>
      <c r="J1957" s="4" t="n">
        <v>45313.85355324074</v>
      </c>
      <c r="K1957" s="5" t="inlineStr">
        <is>
          <t/>
        </is>
      </c>
      <c r="L1957" s="5" t="inlineStr">
        <is>
          <t/>
        </is>
      </c>
      <c r="M1957" s="3" t="inlineStr">
        <is>
          <t>Draft</t>
        </is>
      </c>
      <c r="N1957" s="3" t="inlineStr">
        <is>
          <t/>
        </is>
      </c>
      <c r="O1957" s="3" t="inlineStr">
        <is>
          <t>42847922MDD3003</t>
        </is>
      </c>
    </row>
    <row r="1958">
      <c r="A1958" s="2" t="str">
        <f>HYPERLINK("https://vtmf.veevavault.com/ui/#doc_info/25752267/0/1", "NE - 42847922MDD3003---Working Documents (v0.1)")</f>
        <v>NE - 42847922MDD3003---Working Documents (v0.1)</v>
      </c>
      <c r="B1958" s="3" t="inlineStr">
        <is>
          <t>Non Essential</t>
        </is>
      </c>
      <c r="C1958" s="3" t="inlineStr">
        <is>
          <t>Working Documents</t>
        </is>
      </c>
      <c r="D1958" s="3" t="inlineStr">
        <is>
          <t/>
        </is>
      </c>
      <c r="E1958" s="3" t="inlineStr">
        <is>
          <t>42847922MDD3003 - Investigator Financial Disclosure Form</t>
        </is>
      </c>
      <c r="F1958" s="2" t="str">
        <f>HYPERLINK("https://vtmf.veevavault.com/ui/#doc_info/25752267/0/1", "VTMF-20561015")</f>
        <v>VTMF-20561015</v>
      </c>
      <c r="G1958" s="3" t="inlineStr">
        <is>
          <t/>
        </is>
      </c>
      <c r="H1958" s="3" t="inlineStr">
        <is>
          <t>Arturo Munguia</t>
        </is>
      </c>
      <c r="I1958" s="3" t="inlineStr">
        <is>
          <t>Arturo Munguia</t>
        </is>
      </c>
      <c r="J1958" s="4" t="n">
        <v>45342.808125</v>
      </c>
      <c r="K1958" s="5" t="inlineStr">
        <is>
          <t/>
        </is>
      </c>
      <c r="L1958" s="5" t="inlineStr">
        <is>
          <t/>
        </is>
      </c>
      <c r="M1958" s="3" t="inlineStr">
        <is>
          <t>Draft</t>
        </is>
      </c>
      <c r="N1958" s="3" t="inlineStr">
        <is>
          <t/>
        </is>
      </c>
      <c r="O1958" s="3" t="inlineStr">
        <is>
          <t>42847922MDD3003</t>
        </is>
      </c>
    </row>
    <row r="1959">
      <c r="A1959" s="2" t="str">
        <f>HYPERLINK("https://vtmf.veevavault.com/ui/#doc_info/25800843/0/1", "NE - 42847922MDD3003---Working Documents (v0.1)")</f>
        <v>NE - 42847922MDD3003---Working Documents (v0.1)</v>
      </c>
      <c r="B1959" s="3" t="inlineStr">
        <is>
          <t>Non Essential</t>
        </is>
      </c>
      <c r="C1959" s="3" t="inlineStr">
        <is>
          <t>Working Documents</t>
        </is>
      </c>
      <c r="D1959" s="3" t="inlineStr">
        <is>
          <t/>
        </is>
      </c>
      <c r="E1959" s="3" t="inlineStr">
        <is>
          <t>42847922MDD3003: Pregnancy in Clinical Study ICF_22-Feb-2024_V1.0_Track Change Version</t>
        </is>
      </c>
      <c r="F1959" s="2" t="str">
        <f>HYPERLINK("https://vtmf.veevavault.com/ui/#doc_info/25800843/0/1", "VTMF-20603208")</f>
        <v>VTMF-20603208</v>
      </c>
      <c r="G1959" s="3" t="inlineStr">
        <is>
          <t/>
        </is>
      </c>
      <c r="H1959" s="3" t="inlineStr">
        <is>
          <t>Arturo Munguia</t>
        </is>
      </c>
      <c r="I1959" s="3" t="inlineStr">
        <is>
          <t>Arturo Munguia</t>
        </is>
      </c>
      <c r="J1959" s="4" t="n">
        <v>45349.66363425926</v>
      </c>
      <c r="K1959" s="5" t="inlineStr">
        <is>
          <t/>
        </is>
      </c>
      <c r="L1959" s="5" t="inlineStr">
        <is>
          <t/>
        </is>
      </c>
      <c r="M1959" s="3" t="inlineStr">
        <is>
          <t>Draft</t>
        </is>
      </c>
      <c r="N1959" s="3" t="inlineStr">
        <is>
          <t/>
        </is>
      </c>
      <c r="O1959" s="3" t="inlineStr">
        <is>
          <t>42847922MDD3003</t>
        </is>
      </c>
    </row>
    <row r="1960">
      <c r="A1960" s="2" t="str">
        <f>HYPERLINK("https://vtmf.veevavault.com/ui/#doc_info/25802335/0/1", "NE - 42847922MDD3003---Working Documents (v0.1)")</f>
        <v>NE - 42847922MDD3003---Working Documents (v0.1)</v>
      </c>
      <c r="B1960" s="3" t="inlineStr">
        <is>
          <t>Non Essential</t>
        </is>
      </c>
      <c r="C1960" s="3" t="inlineStr">
        <is>
          <t>Working Documents</t>
        </is>
      </c>
      <c r="D1960" s="3" t="inlineStr">
        <is>
          <t/>
        </is>
      </c>
      <c r="E1960" s="3" t="inlineStr">
        <is>
          <t>42847922MDD3003: Master Clinical ICF Study Part 1 and Part 2_26-Feb-2024_V1.0_Track Change Version</t>
        </is>
      </c>
      <c r="F1960" s="2" t="str">
        <f>HYPERLINK("https://vtmf.veevavault.com/ui/#doc_info/25802335/0/1", "VTMF-20604515")</f>
        <v>VTMF-20604515</v>
      </c>
      <c r="G1960" s="3" t="inlineStr">
        <is>
          <t/>
        </is>
      </c>
      <c r="H1960" s="3" t="inlineStr">
        <is>
          <t>Arturo Munguia</t>
        </is>
      </c>
      <c r="I1960" s="3" t="inlineStr">
        <is>
          <t>Arturo Munguia</t>
        </is>
      </c>
      <c r="J1960" s="4" t="n">
        <v>45349.79556712963</v>
      </c>
      <c r="K1960" s="5" t="inlineStr">
        <is>
          <t/>
        </is>
      </c>
      <c r="L1960" s="5" t="inlineStr">
        <is>
          <t/>
        </is>
      </c>
      <c r="M1960" s="3" t="inlineStr">
        <is>
          <t>Draft</t>
        </is>
      </c>
      <c r="N1960" s="3" t="inlineStr">
        <is>
          <t/>
        </is>
      </c>
      <c r="O1960" s="3" t="inlineStr">
        <is>
          <t>42847922MDD3003</t>
        </is>
      </c>
    </row>
    <row r="1961">
      <c r="A1961" s="2" t="str">
        <f>HYPERLINK("https://vtmf.veevavault.com/ui/#doc_info/25802336/0/1", "NE - 42847922MDD3003---Working Documents (v0.1)")</f>
        <v>NE - 42847922MDD3003---Working Documents (v0.1)</v>
      </c>
      <c r="B1961" s="3" t="inlineStr">
        <is>
          <t>Non Essential</t>
        </is>
      </c>
      <c r="C1961" s="3" t="inlineStr">
        <is>
          <t>Working Documents</t>
        </is>
      </c>
      <c r="D1961" s="3" t="inlineStr">
        <is>
          <t/>
        </is>
      </c>
      <c r="E1961" s="3" t="inlineStr">
        <is>
          <t>42847922MDD3003: Master Clinical ICF Study Part 2_26-Feb-2024_V1.0_Track Change Version</t>
        </is>
      </c>
      <c r="F1961" s="2" t="str">
        <f>HYPERLINK("https://vtmf.veevavault.com/ui/#doc_info/25802336/0/1", "VTMF-20604516")</f>
        <v>VTMF-20604516</v>
      </c>
      <c r="G1961" s="3" t="inlineStr">
        <is>
          <t/>
        </is>
      </c>
      <c r="H1961" s="3" t="inlineStr">
        <is>
          <t>Arturo Munguia</t>
        </is>
      </c>
      <c r="I1961" s="3" t="inlineStr">
        <is>
          <t>Arturo Munguia</t>
        </is>
      </c>
      <c r="J1961" s="4" t="n">
        <v>45349.79556712963</v>
      </c>
      <c r="K1961" s="5" t="inlineStr">
        <is>
          <t/>
        </is>
      </c>
      <c r="L1961" s="5" t="inlineStr">
        <is>
          <t/>
        </is>
      </c>
      <c r="M1961" s="3" t="inlineStr">
        <is>
          <t>Draft</t>
        </is>
      </c>
      <c r="N1961" s="3" t="inlineStr">
        <is>
          <t/>
        </is>
      </c>
      <c r="O1961" s="3" t="inlineStr">
        <is>
          <t>42847922MDD3003</t>
        </is>
      </c>
    </row>
    <row r="1962">
      <c r="A1962" s="2" t="str">
        <f>HYPERLINK("https://vtmf.veevavault.com/ui/#doc_info/25993574/0/1", "NE - 42847922MDD3003---Working Documents (v0.1)")</f>
        <v>NE - 42847922MDD3003---Working Documents (v0.1)</v>
      </c>
      <c r="B1962" s="3" t="inlineStr">
        <is>
          <t>Non Essential</t>
        </is>
      </c>
      <c r="C1962" s="3" t="inlineStr">
        <is>
          <t>Working Documents</t>
        </is>
      </c>
      <c r="D1962" s="3" t="inlineStr">
        <is>
          <t/>
        </is>
      </c>
      <c r="E1962" s="3" t="inlineStr">
        <is>
          <t>42847922MDD3003: Master Clinical ICF Study Part 2_21-Mar-2024_V2.0_Track Change Version</t>
        </is>
      </c>
      <c r="F1962" s="2" t="str">
        <f>HYPERLINK("https://vtmf.veevavault.com/ui/#doc_info/25993574/0/1", "VTMF-20773920")</f>
        <v>VTMF-20773920</v>
      </c>
      <c r="G1962" s="3" t="inlineStr">
        <is>
          <t/>
        </is>
      </c>
      <c r="H1962" s="3" t="inlineStr">
        <is>
          <t>Arturo Munguia</t>
        </is>
      </c>
      <c r="I1962" s="3" t="inlineStr">
        <is>
          <t>Arturo Munguia</t>
        </is>
      </c>
      <c r="J1962" s="4" t="n">
        <v>45376.66396990741</v>
      </c>
      <c r="K1962" s="5" t="inlineStr">
        <is>
          <t/>
        </is>
      </c>
      <c r="L1962" s="5" t="inlineStr">
        <is>
          <t/>
        </is>
      </c>
      <c r="M1962" s="3" t="inlineStr">
        <is>
          <t>Draft</t>
        </is>
      </c>
      <c r="N1962" s="3" t="inlineStr">
        <is>
          <t/>
        </is>
      </c>
      <c r="O1962" s="3" t="inlineStr">
        <is>
          <t>42847922MDD3003</t>
        </is>
      </c>
    </row>
    <row r="1963">
      <c r="A1963" s="2" t="str">
        <f>HYPERLINK("https://vtmf.veevavault.com/ui/#doc_info/25994236/0/1", "NE - 42847922MDD3003---Working Documents (v0.1)")</f>
        <v>NE - 42847922MDD3003---Working Documents (v0.1)</v>
      </c>
      <c r="B1963" s="3" t="inlineStr">
        <is>
          <t>Non Essential</t>
        </is>
      </c>
      <c r="C1963" s="3" t="inlineStr">
        <is>
          <t>Working Documents</t>
        </is>
      </c>
      <c r="D1963" s="3" t="inlineStr">
        <is>
          <t/>
        </is>
      </c>
      <c r="E1963" s="3" t="inlineStr">
        <is>
          <t>42847922MDD3003: Master Clinical ICF Study Part 1 and Part 2_21-Mar-2024_V2.0_Track Change Version</t>
        </is>
      </c>
      <c r="F1963" s="2" t="str">
        <f>HYPERLINK("https://vtmf.veevavault.com/ui/#doc_info/25994236/0/1", "VTMF-20774455")</f>
        <v>VTMF-20774455</v>
      </c>
      <c r="G1963" s="3" t="inlineStr">
        <is>
          <t/>
        </is>
      </c>
      <c r="H1963" s="3" t="inlineStr">
        <is>
          <t>Arturo Munguia</t>
        </is>
      </c>
      <c r="I1963" s="3" t="inlineStr">
        <is>
          <t>Arturo Munguia</t>
        </is>
      </c>
      <c r="J1963" s="4" t="n">
        <v>45376.71922453704</v>
      </c>
      <c r="K1963" s="5" t="inlineStr">
        <is>
          <t/>
        </is>
      </c>
      <c r="L1963" s="5" t="inlineStr">
        <is>
          <t/>
        </is>
      </c>
      <c r="M1963" s="3" t="inlineStr">
        <is>
          <t>Draft</t>
        </is>
      </c>
      <c r="N1963" s="3" t="inlineStr">
        <is>
          <t/>
        </is>
      </c>
      <c r="O1963" s="3" t="inlineStr">
        <is>
          <t>42847922MDD3003</t>
        </is>
      </c>
    </row>
    <row r="1964">
      <c r="A1964" s="2" t="str">
        <f>HYPERLINK("https://vtmf.veevavault.com/ui/#doc_info/26455457/0/1", "NE - 42847922MDD3003---Working Documents (v0.1)")</f>
        <v>NE - 42847922MDD3003---Working Documents (v0.1)</v>
      </c>
      <c r="B1964" s="3" t="inlineStr">
        <is>
          <t>Non Essential</t>
        </is>
      </c>
      <c r="C1964" s="3" t="inlineStr">
        <is>
          <t>Working Documents</t>
        </is>
      </c>
      <c r="D1964" s="3" t="inlineStr">
        <is>
          <t/>
        </is>
      </c>
      <c r="E1964" s="3" t="inlineStr">
        <is>
          <t>Protocol Amendment 1_track change version</t>
        </is>
      </c>
      <c r="F1964" s="2" t="str">
        <f>HYPERLINK("https://vtmf.veevavault.com/ui/#doc_info/26455457/0/1", "VTMF-21178276")</f>
        <v>VTMF-21178276</v>
      </c>
      <c r="G1964" s="3" t="inlineStr">
        <is>
          <t/>
        </is>
      </c>
      <c r="H1964" s="3" t="inlineStr">
        <is>
          <t>Debhora Garcia</t>
        </is>
      </c>
      <c r="I1964" s="3" t="inlineStr">
        <is>
          <t>Debhora Garcia</t>
        </is>
      </c>
      <c r="J1964" s="4" t="n">
        <v>45447.97052083333</v>
      </c>
      <c r="K1964" s="5" t="inlineStr">
        <is>
          <t/>
        </is>
      </c>
      <c r="L1964" s="5" t="inlineStr">
        <is>
          <t/>
        </is>
      </c>
      <c r="M1964" s="3" t="inlineStr">
        <is>
          <t>Draft</t>
        </is>
      </c>
      <c r="N1964" s="3" t="inlineStr">
        <is>
          <t/>
        </is>
      </c>
      <c r="O1964" s="3" t="inlineStr">
        <is>
          <t>42847922MDD3003</t>
        </is>
      </c>
    </row>
    <row r="1965">
      <c r="A1965" s="2" t="str">
        <f>HYPERLINK("https://vtmf.veevavault.com/ui/#doc_info/31769432/0/1", "42847922MDD3003---SAE Reconciliation-28 May 2026 (v0.1)")</f>
        <v>42847922MDD3003---SAE Reconciliation-28 May 2026 (v0.1)</v>
      </c>
      <c r="B1965" s="3" t="inlineStr">
        <is>
          <t>Data Management</t>
        </is>
      </c>
      <c r="C1965" s="3" t="inlineStr">
        <is>
          <t>Database</t>
        </is>
      </c>
      <c r="D1965" s="3" t="inlineStr">
        <is>
          <t>SAE Reconciliation</t>
        </is>
      </c>
      <c r="E1965" s="3" t="inlineStr">
        <is>
          <t>42847922MDD3003_SAE_reconciliation listing VIZ10203P_2026-May-28 (1)_for signature</t>
        </is>
      </c>
      <c r="F1965" s="2" t="str">
        <f>HYPERLINK("https://vtmf.veevavault.com/ui/#doc_info/31769432/0/1", "VTMF-25642837")</f>
        <v>VTMF-25642837</v>
      </c>
      <c r="G1965" s="3" t="inlineStr">
        <is>
          <t/>
        </is>
      </c>
      <c r="H1965" s="3" t="inlineStr">
        <is>
          <t>System</t>
        </is>
      </c>
      <c r="I1965" s="3" t="inlineStr">
        <is>
          <t>JAMES SHARP</t>
        </is>
      </c>
      <c r="J1965" s="4" t="n">
        <v>46170.72912037037</v>
      </c>
      <c r="K1965" s="5" t="inlineStr">
        <is>
          <t/>
        </is>
      </c>
      <c r="L1965" s="5" t="n">
        <v>46170.0</v>
      </c>
      <c r="M1965" s="3" t="inlineStr">
        <is>
          <t>In QC Review</t>
        </is>
      </c>
      <c r="N1965" s="3" t="inlineStr">
        <is>
          <t>Database Lock, Study Close</t>
        </is>
      </c>
      <c r="O1965" s="3" t="inlineStr">
        <is>
          <t>42847922MDD3003</t>
        </is>
      </c>
    </row>
    <row r="1966">
      <c r="A1966" s="2" t="str">
        <f>HYPERLINK("https://vtmf.veevavault.com/ui/#doc_info/31716789/0/1", "42847922MDD3003-- - Other Safety Documentation-02 Apr 2026 (v0.1)")</f>
        <v>42847922MDD3003-- - Other Safety Documentation-02 Apr 2026 (v0.1)</v>
      </c>
      <c r="B1966" s="3" t="inlineStr">
        <is>
          <t>Safety Reporting</t>
        </is>
      </c>
      <c r="C1966" s="3" t="inlineStr">
        <is>
          <t>Trial Status Reporting</t>
        </is>
      </c>
      <c r="D1966" s="3" t="inlineStr">
        <is>
          <t>Other Safety Documentation</t>
        </is>
      </c>
      <c r="E1966" s="3" t="inlineStr">
        <is>
          <t>Janssen Seltorexant MDD3003 MSS Summary N18_07 Feb to 06 Mar 2026_Safety Call 20Mar2026</t>
        </is>
      </c>
      <c r="F1966" s="2" t="str">
        <f>HYPERLINK("https://vtmf.veevavault.com/ui/#doc_info/31716789/0/1", "VTMF-25596385")</f>
        <v>VTMF-25596385</v>
      </c>
      <c r="G1966" s="3" t="inlineStr">
        <is>
          <t/>
        </is>
      </c>
      <c r="H1966" s="3" t="inlineStr">
        <is>
          <t>System</t>
        </is>
      </c>
      <c r="I1966" s="3" t="inlineStr">
        <is>
          <t>Ankita P Dhamanaskar</t>
        </is>
      </c>
      <c r="J1966" s="4" t="n">
        <v>46163.702673611115</v>
      </c>
      <c r="K1966" s="5" t="inlineStr">
        <is>
          <t/>
        </is>
      </c>
      <c r="L1966" s="5" t="n">
        <v>46114.0</v>
      </c>
      <c r="M1966" s="3" t="inlineStr">
        <is>
          <t>QC Rejected</t>
        </is>
      </c>
      <c r="N1966" s="3" t="inlineStr">
        <is>
          <t>Study Close</t>
        </is>
      </c>
      <c r="O1966" s="3" t="inlineStr">
        <is>
          <t>42847922MDD3003</t>
        </is>
      </c>
    </row>
    <row r="1967">
      <c r="A1967" s="2" t="str">
        <f>HYPERLINK("https://vtmf.veevavault.com/ui/#doc_info/31716798/0/1", "42847922MDD3003-- - Other Safety Documentation-04 Mar 2026 (v0.1)")</f>
        <v>42847922MDD3003-- - Other Safety Documentation-04 Mar 2026 (v0.1)</v>
      </c>
      <c r="B1967" s="3" t="inlineStr">
        <is>
          <t>Safety Reporting</t>
        </is>
      </c>
      <c r="C1967" s="3" t="inlineStr">
        <is>
          <t>Trial Status Reporting</t>
        </is>
      </c>
      <c r="D1967" s="3" t="inlineStr">
        <is>
          <t>Other Safety Documentation</t>
        </is>
      </c>
      <c r="E1967" s="3" t="inlineStr">
        <is>
          <t>Janssen Seltorexant MDD3003 MSS Summary N17_02 Dec to 06 Feb 2026_Safety Call 20Feb2026</t>
        </is>
      </c>
      <c r="F1967" s="2" t="str">
        <f>HYPERLINK("https://vtmf.veevavault.com/ui/#doc_info/31716798/0/1", "VTMF-25596408")</f>
        <v>VTMF-25596408</v>
      </c>
      <c r="G1967" s="3" t="inlineStr">
        <is>
          <t/>
        </is>
      </c>
      <c r="H1967" s="3" t="inlineStr">
        <is>
          <t>System</t>
        </is>
      </c>
      <c r="I1967" s="3" t="inlineStr">
        <is>
          <t>Ankita P Dhamanaskar</t>
        </is>
      </c>
      <c r="J1967" s="4" t="n">
        <v>46163.70511574074</v>
      </c>
      <c r="K1967" s="5" t="inlineStr">
        <is>
          <t/>
        </is>
      </c>
      <c r="L1967" s="5" t="n">
        <v>46085.0</v>
      </c>
      <c r="M1967" s="3" t="inlineStr">
        <is>
          <t>QC Rejected</t>
        </is>
      </c>
      <c r="N1967" s="3" t="inlineStr">
        <is>
          <t>Study Close</t>
        </is>
      </c>
      <c r="O1967" s="3" t="inlineStr">
        <is>
          <t>42847922MDD3003</t>
        </is>
      </c>
    </row>
    <row r="1968">
      <c r="A1968" s="2" t="str">
        <f>HYPERLINK("https://vtmf.veevavault.com/ui/#doc_info/31717145/0/1", "42847922MDD3003-- - Other Safety Documentation-08 Dec 2025 (v0.1)")</f>
        <v>42847922MDD3003-- - Other Safety Documentation-08 Dec 2025 (v0.1)</v>
      </c>
      <c r="B1968" s="3" t="inlineStr">
        <is>
          <t>Safety Reporting</t>
        </is>
      </c>
      <c r="C1968" s="3" t="inlineStr">
        <is>
          <t>Trial Status Reporting</t>
        </is>
      </c>
      <c r="D1968" s="3" t="inlineStr">
        <is>
          <t>Other Safety Documentation</t>
        </is>
      </c>
      <c r="E1968" s="3" t="inlineStr">
        <is>
          <t>Janssen 42847922MDD3003_MSS Report No 14 04-October-2025 to 07-November-2025 Safety Call 21 November 2025_New</t>
        </is>
      </c>
      <c r="F1968" s="2" t="str">
        <f>HYPERLINK("https://vtmf.veevavault.com/ui/#doc_info/31717145/0/1", "VTMF-25596568")</f>
        <v>VTMF-25596568</v>
      </c>
      <c r="G1968" s="3" t="inlineStr">
        <is>
          <t/>
        </is>
      </c>
      <c r="H1968" s="3" t="inlineStr">
        <is>
          <t>System</t>
        </is>
      </c>
      <c r="I1968" s="3" t="inlineStr">
        <is>
          <t>Ankita P Dhamanaskar</t>
        </is>
      </c>
      <c r="J1968" s="4" t="n">
        <v>46163.728483796294</v>
      </c>
      <c r="K1968" s="5" t="inlineStr">
        <is>
          <t/>
        </is>
      </c>
      <c r="L1968" s="5" t="n">
        <v>45999.0</v>
      </c>
      <c r="M1968" s="3" t="inlineStr">
        <is>
          <t>QC Rejected</t>
        </is>
      </c>
      <c r="N1968" s="3" t="inlineStr">
        <is>
          <t>Study Close</t>
        </is>
      </c>
      <c r="O1968" s="3" t="inlineStr">
        <is>
          <t>42847922MDD3003</t>
        </is>
      </c>
    </row>
    <row r="1969">
      <c r="A1969" s="2" t="str">
        <f>HYPERLINK("https://vtmf.veevavault.com/ui/#doc_info/31716377/0/1", "42847922MDD3003-- - Other Safety Documentation-08 Oct 2025 (v0.1)")</f>
        <v>42847922MDD3003-- - Other Safety Documentation-08 Oct 2025 (v0.1)</v>
      </c>
      <c r="B1969" s="3" t="inlineStr">
        <is>
          <t>Safety Reporting</t>
        </is>
      </c>
      <c r="C1969" s="3" t="inlineStr">
        <is>
          <t>Trial Status Reporting</t>
        </is>
      </c>
      <c r="D1969" s="3" t="inlineStr">
        <is>
          <t>Other Safety Documentation</t>
        </is>
      </c>
      <c r="E1969" s="3" t="inlineStr">
        <is>
          <t>Janssen 42847922MDD3003_MSS Report No 12 16 August 2025 to 19 September 2025_Safety Call 26 Sep 2025</t>
        </is>
      </c>
      <c r="F1969" s="2" t="str">
        <f>HYPERLINK("https://vtmf.veevavault.com/ui/#doc_info/31716377/0/1", "VTMF-25596013")</f>
        <v>VTMF-25596013</v>
      </c>
      <c r="G1969" s="3" t="inlineStr">
        <is>
          <t/>
        </is>
      </c>
      <c r="H1969" s="3" t="inlineStr">
        <is>
          <t>System</t>
        </is>
      </c>
      <c r="I1969" s="3" t="inlineStr">
        <is>
          <t>Ankita P Dhamanaskar</t>
        </is>
      </c>
      <c r="J1969" s="4" t="n">
        <v>46163.680868055555</v>
      </c>
      <c r="K1969" s="5" t="inlineStr">
        <is>
          <t/>
        </is>
      </c>
      <c r="L1969" s="5" t="n">
        <v>45938.0</v>
      </c>
      <c r="M1969" s="3" t="inlineStr">
        <is>
          <t>QC Rejected</t>
        </is>
      </c>
      <c r="N1969" s="3" t="inlineStr">
        <is>
          <t>Study Close</t>
        </is>
      </c>
      <c r="O1969" s="3" t="inlineStr">
        <is>
          <t>42847922MDD3003</t>
        </is>
      </c>
    </row>
    <row r="1970">
      <c r="A1970" s="2" t="str">
        <f>HYPERLINK("https://vtmf.veevavault.com/ui/#doc_info/31825292/0/1", "42847922MDD3003-- - Other Safety Documentation-22 May 2026 (v0.1)")</f>
        <v>42847922MDD3003-- - Other Safety Documentation-22 May 2026 (v0.1)</v>
      </c>
      <c r="B1970" s="3" t="inlineStr">
        <is>
          <t>Safety Reporting</t>
        </is>
      </c>
      <c r="C1970" s="3" t="inlineStr">
        <is>
          <t>Trial Status Reporting</t>
        </is>
      </c>
      <c r="D1970" s="3" t="inlineStr">
        <is>
          <t>Other Safety Documentation</t>
        </is>
      </c>
      <c r="E1970" s="3" t="inlineStr">
        <is>
          <t>Janssen Seltorexant MDD3003 MSS Summary N20_04 Apr to 03 May 2026_Safety Call 15May2026</t>
        </is>
      </c>
      <c r="F1970" s="2" t="str">
        <f>HYPERLINK("https://vtmf.veevavault.com/ui/#doc_info/31825292/0/1", "VTMF-25691298")</f>
        <v>VTMF-25691298</v>
      </c>
      <c r="G1970" s="3" t="inlineStr">
        <is>
          <t/>
        </is>
      </c>
      <c r="H1970" s="3" t="inlineStr">
        <is>
          <t>System</t>
        </is>
      </c>
      <c r="I1970" s="3" t="inlineStr">
        <is>
          <t>Ankita P Dhamanaskar</t>
        </is>
      </c>
      <c r="J1970" s="4" t="n">
        <v>46178.759305555555</v>
      </c>
      <c r="K1970" s="5" t="inlineStr">
        <is>
          <t/>
        </is>
      </c>
      <c r="L1970" s="5" t="n">
        <v>46164.0</v>
      </c>
      <c r="M1970" s="3" t="inlineStr">
        <is>
          <t>QC Rejected</t>
        </is>
      </c>
      <c r="N1970" s="3" t="inlineStr">
        <is>
          <t>Study Close</t>
        </is>
      </c>
      <c r="O1970" s="3" t="inlineStr">
        <is>
          <t>42847922MDD3003</t>
        </is>
      </c>
    </row>
    <row r="1971">
      <c r="A1971" s="2" t="str">
        <f>HYPERLINK("https://vtmf.veevavault.com/ui/#doc_info/31717008/0/1", "42847922MDD3003-- - Other Safety Documentation-27 Jan 2026 (v0.1)")</f>
        <v>42847922MDD3003-- - Other Safety Documentation-27 Jan 2026 (v0.1)</v>
      </c>
      <c r="B1971" s="3" t="inlineStr">
        <is>
          <t>Safety Reporting</t>
        </is>
      </c>
      <c r="C1971" s="3" t="inlineStr">
        <is>
          <t>Trial Status Reporting</t>
        </is>
      </c>
      <c r="D1971" s="3" t="inlineStr">
        <is>
          <t>Other Safety Documentation</t>
        </is>
      </c>
      <c r="E1971" s="3" t="inlineStr">
        <is>
          <t>Janssen Seltorexant MDD3003 MSS Summary N16_02 Dec to 02 Jan 2026_Safety Call 16Jan2026</t>
        </is>
      </c>
      <c r="F1971" s="2" t="str">
        <f>HYPERLINK("https://vtmf.veevavault.com/ui/#doc_info/31717008/0/1", "VTMF-25596435")</f>
        <v>VTMF-25596435</v>
      </c>
      <c r="G1971" s="3" t="inlineStr">
        <is>
          <t/>
        </is>
      </c>
      <c r="H1971" s="3" t="inlineStr">
        <is>
          <t>System</t>
        </is>
      </c>
      <c r="I1971" s="3" t="inlineStr">
        <is>
          <t>Ankita P Dhamanaskar</t>
        </is>
      </c>
      <c r="J1971" s="4" t="n">
        <v>46163.70752314815</v>
      </c>
      <c r="K1971" s="5" t="inlineStr">
        <is>
          <t/>
        </is>
      </c>
      <c r="L1971" s="5" t="n">
        <v>46049.0</v>
      </c>
      <c r="M1971" s="3" t="inlineStr">
        <is>
          <t>QC Rejected</t>
        </is>
      </c>
      <c r="N1971" s="3" t="inlineStr">
        <is>
          <t>Study Close</t>
        </is>
      </c>
      <c r="O1971" s="3" t="inlineStr">
        <is>
          <t>42847922MDD3003</t>
        </is>
      </c>
    </row>
    <row r="1972">
      <c r="A1972" s="2" t="str">
        <f>HYPERLINK("https://vtmf.veevavault.com/ui/#doc_info/31716759/0/1", "42847922MDD3003-- - Other Safety Documentation-28 Apr 2026 (v0.1)")</f>
        <v>42847922MDD3003-- - Other Safety Documentation-28 Apr 2026 (v0.1)</v>
      </c>
      <c r="B1972" s="3" t="inlineStr">
        <is>
          <t>Safety Reporting</t>
        </is>
      </c>
      <c r="C1972" s="3" t="inlineStr">
        <is>
          <t>Trial Status Reporting</t>
        </is>
      </c>
      <c r="D1972" s="3" t="inlineStr">
        <is>
          <t>Other Safety Documentation</t>
        </is>
      </c>
      <c r="E1972" s="3" t="inlineStr">
        <is>
          <t>Janssen Seltorexant MDD3003 MSS Summary N19_07 Mar to 03 Apr 2026_Safety Call 17Apr2026</t>
        </is>
      </c>
      <c r="F1972" s="2" t="str">
        <f>HYPERLINK("https://vtmf.veevavault.com/ui/#doc_info/31716759/0/1", "VTMF-25596314")</f>
        <v>VTMF-25596314</v>
      </c>
      <c r="G1972" s="3" t="inlineStr">
        <is>
          <t/>
        </is>
      </c>
      <c r="H1972" s="3" t="inlineStr">
        <is>
          <t>System</t>
        </is>
      </c>
      <c r="I1972" s="3" t="inlineStr">
        <is>
          <t>Ankita P Dhamanaskar</t>
        </is>
      </c>
      <c r="J1972" s="4" t="n">
        <v>46163.69841435185</v>
      </c>
      <c r="K1972" s="5" t="inlineStr">
        <is>
          <t/>
        </is>
      </c>
      <c r="L1972" s="5" t="n">
        <v>46140.0</v>
      </c>
      <c r="M1972" s="3" t="inlineStr">
        <is>
          <t>QC Rejected</t>
        </is>
      </c>
      <c r="N1972" s="3" t="inlineStr">
        <is>
          <t>Study Close</t>
        </is>
      </c>
      <c r="O1972" s="3" t="inlineStr">
        <is>
          <t>42847922MDD3003</t>
        </is>
      </c>
    </row>
    <row r="1973">
      <c r="A1973" s="2" t="str">
        <f>HYPERLINK("https://vtmf.veevavault.com/ui/#doc_info/31717021/0/1", "42847922MDD3003-- - Other Safety Documentation-29 Dec 2025 (v0.1)")</f>
        <v>42847922MDD3003-- - Other Safety Documentation-29 Dec 2025 (v0.1)</v>
      </c>
      <c r="B1973" s="3" t="inlineStr">
        <is>
          <t>Safety Reporting</t>
        </is>
      </c>
      <c r="C1973" s="3" t="inlineStr">
        <is>
          <t>Trial Status Reporting</t>
        </is>
      </c>
      <c r="D1973" s="3" t="inlineStr">
        <is>
          <t>Other Safety Documentation</t>
        </is>
      </c>
      <c r="E1973" s="3" t="inlineStr">
        <is>
          <t>Janssen Seltorexant MDD3003 MSS Summary N15_08 Nov to 01 Dec 2025_Safety Call 19Dec2025_Final</t>
        </is>
      </c>
      <c r="F1973" s="2" t="str">
        <f>HYPERLINK("https://vtmf.veevavault.com/ui/#doc_info/31717021/0/1", "VTMF-25596456")</f>
        <v>VTMF-25596456</v>
      </c>
      <c r="G1973" s="3" t="inlineStr">
        <is>
          <t/>
        </is>
      </c>
      <c r="H1973" s="3" t="inlineStr">
        <is>
          <t>System</t>
        </is>
      </c>
      <c r="I1973" s="3" t="inlineStr">
        <is>
          <t>Ankita P Dhamanaskar</t>
        </is>
      </c>
      <c r="J1973" s="4" t="n">
        <v>46163.71021990741</v>
      </c>
      <c r="K1973" s="5" t="inlineStr">
        <is>
          <t/>
        </is>
      </c>
      <c r="L1973" s="5" t="n">
        <v>46020.0</v>
      </c>
      <c r="M1973" s="3" t="inlineStr">
        <is>
          <t>QC Rejected</t>
        </is>
      </c>
      <c r="N1973" s="3" t="inlineStr">
        <is>
          <t>Study Close</t>
        </is>
      </c>
      <c r="O1973" s="3" t="inlineStr">
        <is>
          <t>42847922MDD3003</t>
        </is>
      </c>
    </row>
    <row r="1974">
      <c r="A1974" s="2" t="str">
        <f>HYPERLINK("https://vtmf.veevavault.com/ui/#doc_info/31717089/0/1", "42847922MDD3003-- - Other Safety Documentation-30 Oct 2025 (v0.1)")</f>
        <v>42847922MDD3003-- - Other Safety Documentation-30 Oct 2025 (v0.1)</v>
      </c>
      <c r="B1974" s="3" t="inlineStr">
        <is>
          <t>Safety Reporting</t>
        </is>
      </c>
      <c r="C1974" s="3" t="inlineStr">
        <is>
          <t>Trial Status Reporting</t>
        </is>
      </c>
      <c r="D1974" s="3" t="inlineStr">
        <is>
          <t>Other Safety Documentation</t>
        </is>
      </c>
      <c r="E1974" s="3" t="inlineStr">
        <is>
          <t>Janssen 42847922MDD3003_MSS Report No 13 20-September-2025 to 03-October-2025 Safety Call 17 October 2025_Final</t>
        </is>
      </c>
      <c r="F1974" s="2" t="str">
        <f>HYPERLINK("https://vtmf.veevavault.com/ui/#doc_info/31717089/0/1", "VTMF-25596620")</f>
        <v>VTMF-25596620</v>
      </c>
      <c r="G1974" s="3" t="inlineStr">
        <is>
          <t/>
        </is>
      </c>
      <c r="H1974" s="3" t="inlineStr">
        <is>
          <t>System</t>
        </is>
      </c>
      <c r="I1974" s="3" t="inlineStr">
        <is>
          <t>Ankita P Dhamanaskar</t>
        </is>
      </c>
      <c r="J1974" s="4" t="n">
        <v>46163.733252314814</v>
      </c>
      <c r="K1974" s="5" t="inlineStr">
        <is>
          <t/>
        </is>
      </c>
      <c r="L1974" s="5" t="n">
        <v>45960.0</v>
      </c>
      <c r="M1974" s="3" t="inlineStr">
        <is>
          <t>QC Rejected</t>
        </is>
      </c>
      <c r="N1974" s="3" t="inlineStr">
        <is>
          <t>Study Close</t>
        </is>
      </c>
      <c r="O1974" s="3" t="inlineStr">
        <is>
          <t>42847922MDD3003</t>
        </is>
      </c>
    </row>
    <row r="1975">
      <c r="A1975" s="2" t="str">
        <f>HYPERLINK("https://vtmf.veevavault.com/ui/#doc_info/26094270/1/0", "NE - 42847922MDD3003---Trackers (v1.0)")</f>
        <v>NE - 42847922MDD3003---Trackers (v1.0)</v>
      </c>
      <c r="B1975" s="3" t="inlineStr">
        <is>
          <t>Non Essential</t>
        </is>
      </c>
      <c r="C1975" s="3" t="inlineStr">
        <is>
          <t>Trackers</t>
        </is>
      </c>
      <c r="D1975" s="3" t="inlineStr">
        <is>
          <t/>
        </is>
      </c>
      <c r="E1975" s="3" t="inlineStr">
        <is>
          <t>42847922MDD3003_Clario Batch Loader Tracker_09Apr2024</t>
        </is>
      </c>
      <c r="F1975" s="2" t="str">
        <f>HYPERLINK("https://vtmf.veevavault.com/ui/#doc_info/26094270/1/0", "VTMF-20862889")</f>
        <v>VTMF-20862889</v>
      </c>
      <c r="G1975" s="3" t="inlineStr">
        <is>
          <t/>
        </is>
      </c>
      <c r="H1975" s="3" t="inlineStr">
        <is>
          <t>System</t>
        </is>
      </c>
      <c r="I1975" s="3" t="inlineStr">
        <is>
          <t>Jamie Hardy</t>
        </is>
      </c>
      <c r="J1975" s="4" t="n">
        <v>45391.60517361111</v>
      </c>
      <c r="K1975" s="5" t="n">
        <v>45391.0</v>
      </c>
      <c r="L1975" s="5" t="inlineStr">
        <is>
          <t/>
        </is>
      </c>
      <c r="M1975" s="3" t="inlineStr">
        <is>
          <t>Superseded</t>
        </is>
      </c>
      <c r="N1975" s="3" t="inlineStr">
        <is>
          <t/>
        </is>
      </c>
      <c r="O1975" s="3" t="inlineStr">
        <is>
          <t>42847922MDD3003</t>
        </is>
      </c>
    </row>
  </sheetData>
  <autoFilter ref="A1:O1975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2026-06-18T03:26:24Z</dcterms:created>
  <dc:creator>Apache POI</dc:creator>
</cp:coreProperties>
</file>